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380" windowHeight="9345" tabRatio="885" activeTab="0"/>
  </bookViews>
  <sheets>
    <sheet name="TOT-0614" sheetId="1" r:id="rId1"/>
    <sheet name="LI-06 (1)" sheetId="2" r:id="rId2"/>
    <sheet name="Atentado" sheetId="3" r:id="rId3"/>
    <sheet name="LI-YACY-06 (1)" sheetId="4" r:id="rId4"/>
    <sheet name="LI-INTESAR-06 (1)" sheetId="5" r:id="rId5"/>
    <sheet name="LI-INTESAR2-06 (1)" sheetId="6" r:id="rId6"/>
    <sheet name="TR-06 (1)" sheetId="7" r:id="rId7"/>
    <sheet name="TR-LITSA SG-06 (1)" sheetId="8" r:id="rId8"/>
    <sheet name="TR-TIBA-04 (1)" sheetId="9" r:id="rId9"/>
    <sheet name="SA-06 (1)" sheetId="10" r:id="rId10"/>
    <sheet name="SA-TIBA-06 (1)" sheetId="11" r:id="rId11"/>
    <sheet name="SA-LIMSA-06 (1)" sheetId="12" r:id="rId12"/>
    <sheet name="SA-LINSA-06 (1)" sheetId="13" r:id="rId13"/>
    <sheet name="SA-TRANSPORTEL-06 (1)" sheetId="14" r:id="rId14"/>
    <sheet name="RE-06 (1)" sheetId="15" r:id="rId15"/>
    <sheet name="RE-YACY-08 (1)" sheetId="16" r:id="rId16"/>
    <sheet name="SUP-YACYLEC" sheetId="17" r:id="rId17"/>
    <sheet name="SUP-LITSA T. SG" sheetId="18" r:id="rId18"/>
    <sheet name="SUP-LINSA" sheetId="19" r:id="rId19"/>
    <sheet name="SUP-TIBA" sheetId="20" r:id="rId20"/>
    <sheet name="SUP-LIMSA" sheetId="21" r:id="rId21"/>
    <sheet name="Tasa" sheetId="22" r:id="rId22"/>
    <sheet name="DATO" sheetId="23" r:id="rId23"/>
  </sheets>
  <externalReferences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20">'SUP-LIMSA'!$A$1:$AE$84</definedName>
    <definedName name="_xlnm.Print_Area" localSheetId="18">'SUP-LINSA'!$A$1:$AD$96</definedName>
    <definedName name="_xlnm.Print_Area" localSheetId="19">'SUP-TIBA'!$A$1:$AE$84</definedName>
    <definedName name="_xlnm.Print_Area" localSheetId="16">'SUP-YACYLEC'!$A$1:$AD$76</definedName>
    <definedName name="_xlnm.Print_Area" localSheetId="21">'Tasa'!$A$1:$V$105</definedName>
    <definedName name="_xlnm.Print_Area" localSheetId="0">'TOT-0614'!$A$1:$J$50</definedName>
    <definedName name="DD" localSheetId="2">'Atentado'!DD</definedName>
    <definedName name="DD" localSheetId="5">'LI-INTESAR2-06 (1)'!DD</definedName>
    <definedName name="DD" localSheetId="15">'RE-YACY-08 (1)'!DD</definedName>
    <definedName name="DD" localSheetId="12">'SA-LINSA-06 (1)'!DD</definedName>
    <definedName name="DD" localSheetId="13">'SA-TRANSPORTEL-06 (1)'!DD</definedName>
    <definedName name="DD" localSheetId="20">'SUP-LIMSA'!DD</definedName>
    <definedName name="DD" localSheetId="18">'SUP-LINSA'!DD</definedName>
    <definedName name="DD" localSheetId="17">'SUP-LITSA T. SG'!DD</definedName>
    <definedName name="DD" localSheetId="19">'SUP-TIBA'!DD</definedName>
    <definedName name="DD" localSheetId="16">'SUP-YACYLEC'!DD</definedName>
    <definedName name="DD" localSheetId="21">'Tasa'!DD</definedName>
    <definedName name="DD" localSheetId="7">'TR-LITSA SG-06 (1)'!DD</definedName>
    <definedName name="DD" localSheetId="8">'TR-TIBA-04 (1)'!DD</definedName>
    <definedName name="DD">[0]!DD</definedName>
    <definedName name="DDD" localSheetId="2">'Atentado'!DDD</definedName>
    <definedName name="DDD" localSheetId="5">'LI-INTESAR2-06 (1)'!DDD</definedName>
    <definedName name="DDD" localSheetId="15">'RE-YACY-08 (1)'!DDD</definedName>
    <definedName name="DDD" localSheetId="12">'SA-LINSA-06 (1)'!DDD</definedName>
    <definedName name="DDD" localSheetId="13">'SA-TRANSPORTEL-06 (1)'!DDD</definedName>
    <definedName name="DDD" localSheetId="20">'SUP-LIMSA'!DDD</definedName>
    <definedName name="DDD" localSheetId="18">'SUP-LINSA'!DDD</definedName>
    <definedName name="DDD" localSheetId="17">'SUP-LITSA T. SG'!DDD</definedName>
    <definedName name="DDD" localSheetId="19">'SUP-TIBA'!DDD</definedName>
    <definedName name="DDD" localSheetId="16">'SUP-YACYLEC'!DDD</definedName>
    <definedName name="DDD" localSheetId="21">'Tasa'!DDD</definedName>
    <definedName name="DDD" localSheetId="7">'TR-LITSA SG-06 (1)'!DDD</definedName>
    <definedName name="DDD" localSheetId="8">'TR-TIBA-04 (1)'!DDD</definedName>
    <definedName name="DDD">[0]!DDD</definedName>
    <definedName name="DISTROCUYO" localSheetId="2">'Atentado'!DISTROCUYO</definedName>
    <definedName name="DISTROCUYO" localSheetId="5">'LI-INTESAR2-06 (1)'!DISTROCUYO</definedName>
    <definedName name="DISTROCUYO" localSheetId="15">'RE-YACY-08 (1)'!DISTROCUYO</definedName>
    <definedName name="DISTROCUYO" localSheetId="12">'SA-LINSA-06 (1)'!DISTROCUYO</definedName>
    <definedName name="DISTROCUYO" localSheetId="13">'SA-TRANSPORTEL-06 (1)'!DISTROCUYO</definedName>
    <definedName name="DISTROCUYO" localSheetId="20">'SUP-LIMSA'!DISTROCUYO</definedName>
    <definedName name="DISTROCUYO" localSheetId="18">'SUP-LINSA'!DISTROCUYO</definedName>
    <definedName name="DISTROCUYO" localSheetId="17">'SUP-LITSA T. SG'!DISTROCUYO</definedName>
    <definedName name="DISTROCUYO" localSheetId="19">'SUP-TIBA'!DISTROCUYO</definedName>
    <definedName name="DISTROCUYO" localSheetId="16">'SUP-YACYLEC'!DISTROCUYO</definedName>
    <definedName name="DISTROCUYO" localSheetId="21">'Tasa'!DISTROCUYO</definedName>
    <definedName name="DISTROCUYO" localSheetId="7">'TR-LITSA SG-06 (1)'!DISTROCUYO</definedName>
    <definedName name="DISTROCUYO" localSheetId="8">'TR-TIBA-04 (1)'!DISTROCUYO</definedName>
    <definedName name="DISTROCUYO">[0]!DISTROCUYO</definedName>
    <definedName name="FER" localSheetId="2">'Atentado'!FER</definedName>
    <definedName name="FER" localSheetId="5">'LI-INTESAR2-06 (1)'!FER</definedName>
    <definedName name="FER" localSheetId="15">'RE-YACY-08 (1)'!FER</definedName>
    <definedName name="FER" localSheetId="12">'SA-LINSA-06 (1)'!FER</definedName>
    <definedName name="FER" localSheetId="13">'SA-TRANSPORTEL-06 (1)'!FER</definedName>
    <definedName name="FER" localSheetId="20">'SUP-LIMSA'!FER</definedName>
    <definedName name="FER" localSheetId="18">'SUP-LINSA'!FER</definedName>
    <definedName name="FER" localSheetId="17">'SUP-LITSA T. SG'!FER</definedName>
    <definedName name="FER" localSheetId="19">'SUP-TIBA'!FER</definedName>
    <definedName name="FER" localSheetId="16">'SUP-YACYLEC'!FER</definedName>
    <definedName name="FER" localSheetId="21">'Tasa'!FER</definedName>
    <definedName name="FER" localSheetId="7">'TR-LITSA SG-06 (1)'!FER</definedName>
    <definedName name="FER" localSheetId="8">'TR-TIBA-04 (1)'!FER</definedName>
    <definedName name="FER">[0]!FER</definedName>
    <definedName name="INICIO" localSheetId="2">'Atentado'!INICIO</definedName>
    <definedName name="INICIO" localSheetId="5">'LI-INTESAR2-06 (1)'!INICIO</definedName>
    <definedName name="INICIO" localSheetId="15">'RE-YACY-08 (1)'!INICIO</definedName>
    <definedName name="INICIO" localSheetId="12">'SA-LINSA-06 (1)'!INICIO</definedName>
    <definedName name="INICIO" localSheetId="13">'SA-TRANSPORTEL-06 (1)'!INICIO</definedName>
    <definedName name="INICIO" localSheetId="20">'SUP-LIMSA'!INICIO</definedName>
    <definedName name="INICIO" localSheetId="18">'SUP-LINSA'!INICIO</definedName>
    <definedName name="INICIO" localSheetId="17">'SUP-LITSA T. SG'!INICIO</definedName>
    <definedName name="INICIO" localSheetId="19">'SUP-TIBA'!INICIO</definedName>
    <definedName name="INICIO" localSheetId="16">'SUP-YACYLEC'!INICIO</definedName>
    <definedName name="INICIO" localSheetId="21">'Tasa'!INICIO</definedName>
    <definedName name="INICIO" localSheetId="7">'TR-LITSA SG-06 (1)'!INICIO</definedName>
    <definedName name="INICIO" localSheetId="8">'TR-TIBA-04 (1)'!INICIO</definedName>
    <definedName name="INICIO">[0]!INICIO</definedName>
    <definedName name="INICIOTI" localSheetId="2">'Atentado'!INICIOTI</definedName>
    <definedName name="INICIOTI" localSheetId="5">'LI-INTESAR2-06 (1)'!INICIOTI</definedName>
    <definedName name="INICIOTI" localSheetId="15">'RE-YACY-08 (1)'!INICIOTI</definedName>
    <definedName name="INICIOTI" localSheetId="12">'SA-LINSA-06 (1)'!INICIOTI</definedName>
    <definedName name="INICIOTI" localSheetId="13">'SA-TRANSPORTEL-06 (1)'!INICIOTI</definedName>
    <definedName name="INICIOTI" localSheetId="20">'SUP-LIMSA'!INICIOTI</definedName>
    <definedName name="INICIOTI" localSheetId="18">'SUP-LINSA'!INICIOTI</definedName>
    <definedName name="INICIOTI" localSheetId="17">'SUP-LITSA T. SG'!INICIOTI</definedName>
    <definedName name="INICIOTI" localSheetId="19">'SUP-TIBA'!INICIOTI</definedName>
    <definedName name="INICIOTI" localSheetId="16">'SUP-YACYLEC'!INICIOTI</definedName>
    <definedName name="INICIOTI" localSheetId="21">'Tasa'!INICIOTI</definedName>
    <definedName name="INICIOTI" localSheetId="7">'TR-LITSA SG-06 (1)'!INICIOTI</definedName>
    <definedName name="INICIOTI" localSheetId="8">'TR-TIBA-04 (1)'!INICIOTI</definedName>
    <definedName name="INICIOTI">[0]!INICIOTI</definedName>
    <definedName name="LINEAS" localSheetId="2">'Atentado'!LINEAS</definedName>
    <definedName name="LINEAS" localSheetId="5">'LI-INTESAR2-06 (1)'!LINEAS</definedName>
    <definedName name="LINEAS" localSheetId="15">'RE-YACY-08 (1)'!LINEAS</definedName>
    <definedName name="LINEAS" localSheetId="12">'SA-LINSA-06 (1)'!LINEAS</definedName>
    <definedName name="LINEAS" localSheetId="13">'SA-TRANSPORTEL-06 (1)'!LINEAS</definedName>
    <definedName name="LINEAS" localSheetId="20">'SUP-LIMSA'!LINEAS</definedName>
    <definedName name="LINEAS" localSheetId="18">'SUP-LINSA'!LINEAS</definedName>
    <definedName name="LINEAS" localSheetId="17">'SUP-LITSA T. SG'!LINEAS</definedName>
    <definedName name="LINEAS" localSheetId="19">'SUP-TIBA'!LINEAS</definedName>
    <definedName name="LINEAS" localSheetId="16">'SUP-YACYLEC'!LINEAS</definedName>
    <definedName name="LINEAS" localSheetId="21">'Tasa'!LINEAS</definedName>
    <definedName name="LINEAS" localSheetId="7">'TR-LITSA SG-06 (1)'!LINEAS</definedName>
    <definedName name="LINEAS" localSheetId="8">'TR-TIBA-04 (1)'!LINEAS</definedName>
    <definedName name="LINEAS">[0]!LINEAS</definedName>
    <definedName name="LINEASTI" localSheetId="2">'Atentado'!LINEASTI</definedName>
    <definedName name="LINEASTI" localSheetId="5">'LI-INTESAR2-06 (1)'!LINEASTI</definedName>
    <definedName name="LINEASTI" localSheetId="15">'RE-YACY-08 (1)'!LINEASTI</definedName>
    <definedName name="LINEASTI" localSheetId="12">'SA-LINSA-06 (1)'!LINEASTI</definedName>
    <definedName name="LINEASTI" localSheetId="13">'SA-TRANSPORTEL-06 (1)'!LINEASTI</definedName>
    <definedName name="LINEASTI" localSheetId="20">'SUP-LIMSA'!LINEASTI</definedName>
    <definedName name="LINEASTI" localSheetId="18">'SUP-LINSA'!LINEASTI</definedName>
    <definedName name="LINEASTI" localSheetId="17">'SUP-LITSA T. SG'!LINEASTI</definedName>
    <definedName name="LINEASTI" localSheetId="19">'SUP-TIBA'!LINEASTI</definedName>
    <definedName name="LINEASTI" localSheetId="16">'SUP-YACYLEC'!LINEASTI</definedName>
    <definedName name="LINEASTI" localSheetId="21">'Tasa'!LINEASTI</definedName>
    <definedName name="LINEASTI" localSheetId="7">'TR-LITSA SG-06 (1)'!LINEASTI</definedName>
    <definedName name="LINEASTI" localSheetId="8">'TR-TIBA-04 (1)'!LINEASTI</definedName>
    <definedName name="LINEASTI">[0]!LINEASTI</definedName>
    <definedName name="NAME_L" localSheetId="2">'Atentado'!NAME_L</definedName>
    <definedName name="NAME_L" localSheetId="5">'LI-INTESAR2-06 (1)'!NAME_L</definedName>
    <definedName name="NAME_L" localSheetId="15">'RE-YACY-08 (1)'!NAME_L</definedName>
    <definedName name="NAME_L" localSheetId="12">'SA-LINSA-06 (1)'!NAME_L</definedName>
    <definedName name="NAME_L" localSheetId="13">'SA-TRANSPORTEL-06 (1)'!NAME_L</definedName>
    <definedName name="NAME_L" localSheetId="20">'SUP-LIMSA'!NAME_L</definedName>
    <definedName name="NAME_L" localSheetId="18">'SUP-LINSA'!NAME_L</definedName>
    <definedName name="NAME_L" localSheetId="17">'SUP-LITSA T. SG'!NAME_L</definedName>
    <definedName name="NAME_L" localSheetId="19">'SUP-TIBA'!NAME_L</definedName>
    <definedName name="NAME_L" localSheetId="16">'SUP-YACYLEC'!NAME_L</definedName>
    <definedName name="NAME_L" localSheetId="21">'Tasa'!NAME_L</definedName>
    <definedName name="NAME_L" localSheetId="7">'TR-LITSA SG-06 (1)'!NAME_L</definedName>
    <definedName name="NAME_L" localSheetId="8">'TR-TIBA-04 (1)'!NAME_L</definedName>
    <definedName name="NAME_L">[0]!NAME_L</definedName>
    <definedName name="NAME_L_TI" localSheetId="2">'Atentado'!NAME_L_TI</definedName>
    <definedName name="NAME_L_TI" localSheetId="5">'LI-INTESAR2-06 (1)'!NAME_L_TI</definedName>
    <definedName name="NAME_L_TI" localSheetId="15">'RE-YACY-08 (1)'!NAME_L_TI</definedName>
    <definedName name="NAME_L_TI" localSheetId="12">'SA-LINSA-06 (1)'!NAME_L_TI</definedName>
    <definedName name="NAME_L_TI" localSheetId="13">'SA-TRANSPORTEL-06 (1)'!NAME_L_TI</definedName>
    <definedName name="NAME_L_TI" localSheetId="20">'SUP-LIMSA'!NAME_L_TI</definedName>
    <definedName name="NAME_L_TI" localSheetId="18">'SUP-LINSA'!NAME_L_TI</definedName>
    <definedName name="NAME_L_TI" localSheetId="17">'SUP-LITSA T. SG'!NAME_L_TI</definedName>
    <definedName name="NAME_L_TI" localSheetId="19">'SUP-TIBA'!NAME_L_TI</definedName>
    <definedName name="NAME_L_TI" localSheetId="16">'SUP-YACYLEC'!NAME_L_TI</definedName>
    <definedName name="NAME_L_TI" localSheetId="21">'Tasa'!NAME_L_TI</definedName>
    <definedName name="NAME_L_TI" localSheetId="7">'TR-LITSA SG-06 (1)'!NAME_L_TI</definedName>
    <definedName name="NAME_L_TI" localSheetId="8">'TR-TIBA-04 (1)'!NAME_L_TI</definedName>
    <definedName name="NAME_L_TI">[0]!NAME_L_TI</definedName>
    <definedName name="TRAN" localSheetId="2">'Atentado'!TRAN</definedName>
    <definedName name="TRAN" localSheetId="5">'LI-INTESAR2-06 (1)'!TRAN</definedName>
    <definedName name="TRAN" localSheetId="15">'RE-YACY-08 (1)'!TRAN</definedName>
    <definedName name="TRAN" localSheetId="12">'SA-LINSA-06 (1)'!TRAN</definedName>
    <definedName name="TRAN" localSheetId="13">'SA-TRANSPORTEL-06 (1)'!TRAN</definedName>
    <definedName name="TRAN" localSheetId="20">'SUP-LIMSA'!TRAN</definedName>
    <definedName name="TRAN" localSheetId="18">'SUP-LINSA'!TRAN</definedName>
    <definedName name="TRAN" localSheetId="17">'SUP-LITSA T. SG'!TRAN</definedName>
    <definedName name="TRAN" localSheetId="19">'SUP-TIBA'!TRAN</definedName>
    <definedName name="TRAN" localSheetId="16">'SUP-YACYLEC'!TRAN</definedName>
    <definedName name="TRAN" localSheetId="21">'Tasa'!TRAN</definedName>
    <definedName name="TRAN" localSheetId="7">'TR-LITSA SG-06 (1)'!TRAN</definedName>
    <definedName name="TRAN" localSheetId="8">'TR-TIBA-04 (1)'!TRAN</definedName>
    <definedName name="TRAN">[0]!TRAN</definedName>
    <definedName name="TRANSNOA" localSheetId="2">'Atentado'!TRANSNOA</definedName>
    <definedName name="TRANSNOA" localSheetId="5">'LI-INTESAR2-06 (1)'!TRANSNOA</definedName>
    <definedName name="TRANSNOA" localSheetId="15">'RE-YACY-08 (1)'!TRANSNOA</definedName>
    <definedName name="TRANSNOA" localSheetId="12">'SA-LINSA-06 (1)'!TRANSNOA</definedName>
    <definedName name="TRANSNOA" localSheetId="13">'SA-TRANSPORTEL-06 (1)'!TRANSNOA</definedName>
    <definedName name="TRANSNOA" localSheetId="20">'SUP-LIMSA'!TRANSNOA</definedName>
    <definedName name="TRANSNOA" localSheetId="18">'SUP-LINSA'!TRANSNOA</definedName>
    <definedName name="TRANSNOA" localSheetId="17">'SUP-LITSA T. SG'!TRANSNOA</definedName>
    <definedName name="TRANSNOA" localSheetId="19">'SUP-TIBA'!TRANSNOA</definedName>
    <definedName name="TRANSNOA" localSheetId="16">'SUP-YACYLEC'!TRANSNOA</definedName>
    <definedName name="TRANSNOA" localSheetId="21">'Tasa'!TRANSNOA</definedName>
    <definedName name="TRANSNOA" localSheetId="7">'TR-LITSA SG-06 (1)'!TRANSNOA</definedName>
    <definedName name="TRANSNOA" localSheetId="8">'TR-TIBA-04 (1)'!TRANSNOA</definedName>
    <definedName name="TRANSNOA">[0]!TRANSNOA</definedName>
    <definedName name="TRANSPA" localSheetId="2">'Atentado'!TRANSPA</definedName>
    <definedName name="TRANSPA" localSheetId="5">'LI-INTESAR2-06 (1)'!TRANSPA</definedName>
    <definedName name="TRANSPA" localSheetId="15">'RE-YACY-08 (1)'!TRANSPA</definedName>
    <definedName name="TRANSPA" localSheetId="12">'SA-LINSA-06 (1)'!TRANSPA</definedName>
    <definedName name="TRANSPA" localSheetId="13">'SA-TRANSPORTEL-06 (1)'!TRANSPA</definedName>
    <definedName name="TRANSPA" localSheetId="20">'SUP-LIMSA'!TRANSPA</definedName>
    <definedName name="TRANSPA" localSheetId="18">'SUP-LINSA'!TRANSPA</definedName>
    <definedName name="TRANSPA" localSheetId="17">'SUP-LITSA T. SG'!TRANSPA</definedName>
    <definedName name="TRANSPA" localSheetId="19">'SUP-TIBA'!TRANSPA</definedName>
    <definedName name="TRANSPA" localSheetId="16">'SUP-YACYLEC'!TRANSPA</definedName>
    <definedName name="TRANSPA" localSheetId="21">'Tasa'!TRANSPA</definedName>
    <definedName name="TRANSPA" localSheetId="7">'TR-LITSA SG-06 (1)'!TRANSPA</definedName>
    <definedName name="TRANSPA" localSheetId="8">'TR-TIBA-04 (1)'!TRANSPA</definedName>
    <definedName name="TRANSPA">[0]!TRANSPA</definedName>
    <definedName name="x" localSheetId="2">'Atentado'!x</definedName>
    <definedName name="x" localSheetId="5">'LI-INTESAR2-06 (1)'!x</definedName>
    <definedName name="x" localSheetId="15">'RE-YACY-08 (1)'!x</definedName>
    <definedName name="x" localSheetId="12">'SA-LINSA-06 (1)'!x</definedName>
    <definedName name="x" localSheetId="13">'SA-TRANSPORTEL-06 (1)'!x</definedName>
    <definedName name="x" localSheetId="20">'SUP-LIMSA'!x</definedName>
    <definedName name="x" localSheetId="18">'SUP-LINSA'!x</definedName>
    <definedName name="x" localSheetId="17">'SUP-LITSA T. SG'!x</definedName>
    <definedName name="x" localSheetId="19">'SUP-TIBA'!x</definedName>
    <definedName name="x" localSheetId="16">'SUP-YACYLEC'!x</definedName>
    <definedName name="x" localSheetId="21">'Tasa'!x</definedName>
    <definedName name="x" localSheetId="7">'TR-LITSA SG-06 (1)'!x</definedName>
    <definedName name="x" localSheetId="8">'TR-TIBA-04 (1)'!x</definedName>
    <definedName name="x">[0]!x</definedName>
    <definedName name="XX" localSheetId="2">'Atentado'!XX</definedName>
    <definedName name="XX" localSheetId="5">'LI-INTESAR2-06 (1)'!XX</definedName>
    <definedName name="XX" localSheetId="15">'RE-YACY-08 (1)'!XX</definedName>
    <definedName name="XX" localSheetId="12">'SA-LINSA-06 (1)'!XX</definedName>
    <definedName name="XX" localSheetId="13">'SA-TRANSPORTEL-06 (1)'!XX</definedName>
    <definedName name="XX" localSheetId="20">'SUP-LIMSA'!XX</definedName>
    <definedName name="XX" localSheetId="18">'SUP-LINSA'!XX</definedName>
    <definedName name="XX" localSheetId="17">'SUP-LITSA T. SG'!XX</definedName>
    <definedName name="XX" localSheetId="19">'SUP-TIBA'!XX</definedName>
    <definedName name="XX" localSheetId="16">'SUP-YACYLEC'!XX</definedName>
    <definedName name="XX" localSheetId="21">'Tasa'!XX</definedName>
    <definedName name="XX" localSheetId="7">'TR-LITSA SG-06 (1)'!XX</definedName>
    <definedName name="XX" localSheetId="8">'TR-TIBA-04 (1)'!XX</definedName>
    <definedName name="XX">[0]!XX</definedName>
  </definedNames>
  <calcPr fullCalcOnLoad="1"/>
</workbook>
</file>

<file path=xl/comments10.xml><?xml version="1.0" encoding="utf-8"?>
<comments xmlns="http://schemas.openxmlformats.org/spreadsheetml/2006/main">
  <authors>
    <author>jmessina</author>
  </authors>
  <commentLis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49,065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44,156</t>
        </r>
      </text>
    </comment>
    <comment ref="G19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39,254</t>
        </r>
      </text>
    </comment>
  </commentList>
</comments>
</file>

<file path=xl/comments18.xml><?xml version="1.0" encoding="utf-8"?>
<comments xmlns="http://schemas.openxmlformats.org/spreadsheetml/2006/main">
  <authors>
    <author>Ing. Juan Messina</author>
  </authors>
  <commentList>
    <comment ref="M64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19.xml><?xml version="1.0" encoding="utf-8"?>
<comments xmlns="http://schemas.openxmlformats.org/spreadsheetml/2006/main">
  <authors>
    <author>Ing. Juan Messina</author>
  </authors>
  <commentList>
    <comment ref="M7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1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2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Anexo2,1 DTE
ATRAXX.TXT</t>
        </r>
      </text>
    </comment>
    <comment ref="M75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6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  <comment ref="M77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Anexo2,5 DTE
ATRAXX.TXT</t>
        </r>
      </text>
    </comment>
  </commentList>
</comments>
</file>

<file path=xl/comments21.xml><?xml version="1.0" encoding="utf-8"?>
<comments xmlns="http://schemas.openxmlformats.org/spreadsheetml/2006/main">
  <authors>
    <author>Ing. Juan Messina</author>
  </authors>
  <commentList>
    <comment ref="M66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  <comment ref="M67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  <comment ref="M70" authorId="0">
      <text>
        <r>
          <rPr>
            <b/>
            <sz val="8"/>
            <rFont val="Tahoma"/>
            <family val="2"/>
          </rPr>
          <t>Ing. Juan Messina:
Anexo2,1 DTE
ATRAXX.TXT</t>
        </r>
      </text>
    </comment>
  </commentList>
</comments>
</file>

<file path=xl/comments3.xml><?xml version="1.0" encoding="utf-8"?>
<comments xmlns="http://schemas.openxmlformats.org/spreadsheetml/2006/main">
  <authors>
    <author>gmir</author>
    <author>GMir</author>
  </authors>
  <commentList>
    <comment ref="AB18" authorId="0">
      <text>
        <r>
          <rPr>
            <sz val="8"/>
            <rFont val="Tahoma"/>
            <family val="0"/>
          </rPr>
          <t xml:space="preserve">
fp= 1 para atentado</t>
        </r>
      </text>
    </comment>
    <comment ref="AF18" authorId="1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</commentList>
</comments>
</file>

<file path=xl/sharedStrings.xml><?xml version="1.0" encoding="utf-8"?>
<sst xmlns="http://schemas.openxmlformats.org/spreadsheetml/2006/main" count="1795" uniqueCount="528">
  <si>
    <t>SISTEMA DE TRANSPORTE DE ENERGÍA ELÉCTRICA EN ALTA TENSIÓN</t>
  </si>
  <si>
    <t>TRANSENER S.A.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</si>
  <si>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</si>
  <si>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</si>
  <si>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</si>
  <si>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</si>
  <si>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</si>
  <si>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</si>
  <si>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INTESAR S.A. 1</t>
  </si>
  <si>
    <t>Transportista Independiente INTESAR S.A. 2</t>
  </si>
  <si>
    <t>2.-</t>
  </si>
  <si>
    <t>CONEXIÓN</t>
  </si>
  <si>
    <t>Transformación</t>
  </si>
  <si>
    <t>Transportista Independiente TIBA S.A.</t>
  </si>
  <si>
    <t>Salidas</t>
  </si>
  <si>
    <t>Transportista Independiene L.I.M.S.A.</t>
  </si>
  <si>
    <t>Transportista Independiene L.I.N.S.A.</t>
  </si>
  <si>
    <t>3.-</t>
  </si>
  <si>
    <t>POTENCIA REACTIVA</t>
  </si>
  <si>
    <t>4.-</t>
  </si>
  <si>
    <t>SUPERVISIÓN</t>
  </si>
  <si>
    <t>Transportista Independiente LINSA</t>
  </si>
  <si>
    <t>Transportista Independiente LIMSA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</si>
  <si>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</si>
  <si>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</si>
  <si>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</si>
  <si>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</si>
  <si>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</si>
  <si>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</si>
  <si>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</si>
  <si>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INDISP</t>
  </si>
  <si>
    <t>ID EQUIPO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</si>
  <si>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</si>
  <si>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</si>
  <si>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</si>
  <si>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</si>
  <si>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</si>
  <si>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</si>
  <si>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</si>
  <si>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</si>
  <si>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</si>
  <si>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</si>
  <si>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</si>
  <si>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</si>
  <si>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</si>
  <si>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</si>
  <si>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</si>
  <si>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</si>
  <si>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</si>
  <si>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</si>
  <si>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</si>
  <si>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</si>
  <si>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t>1.2.-  Líneas de la Transportista Independiente YACYLEC S.A.</t>
  </si>
  <si>
    <t>PENALIZACION FORZADA
Por Salida      1ras 5 hs.     hs. Restantes</t>
  </si>
  <si>
    <t>1.7.- Transportista Independiente INTESAR S.A.</t>
  </si>
  <si>
    <t>ENTE NACIONAL REGULADOR</t>
  </si>
  <si>
    <t>2.1.- TRANSFORMACIÓN</t>
  </si>
  <si>
    <t>2.1.1.- Equipamiento Propio</t>
  </si>
  <si>
    <t>Por Transformador por cada MVA    $ =</t>
  </si>
  <si>
    <t>Coeficiente de penalización por salida forzada   =</t>
  </si>
  <si>
    <t>ESTACIÓN
TRANSFORMADORA</t>
  </si>
  <si>
    <t>EQUIPO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</si>
  <si>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</si>
  <si>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</si>
  <si>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</si>
  <si>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</si>
  <si>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</si>
  <si>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</si>
  <si>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</si>
  <si>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</si>
  <si>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</si>
  <si>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</si>
  <si>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</si>
  <si>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
PROGRAM.</t>
  </si>
  <si>
    <t>PENALIZAC. FORZADA
Por Salida       hs. Restantes</t>
  </si>
  <si>
    <t xml:space="preserve"> 2.2.2.- Transportista Independiente TIBA S.A.</t>
  </si>
  <si>
    <t>-</t>
  </si>
  <si>
    <t xml:space="preserve"> 2.2.8.- Transportista Independiente LIMSA</t>
  </si>
  <si>
    <t>SISTEMA DE TRANSPORTE DE ENERGÍA ELÉCTRICA EN ALTA TENSIÓN  -  TRANSENER S.A.</t>
  </si>
  <si>
    <t>3.- POTENCIA REACTIVA</t>
  </si>
  <si>
    <t>3.1.- Equipamiento propio</t>
  </si>
  <si>
    <t>POT.
[MVAr]</t>
  </si>
  <si>
    <t>PENAL.FORZADA x Sal hs. Restantes</t>
  </si>
  <si>
    <t>RED.FORZADA
x Sal hs. Restantes</t>
  </si>
  <si>
    <t>SI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</si>
  <si>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</si>
  <si>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</si>
  <si>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</si>
  <si>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</si>
  <si>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</si>
  <si>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</si>
  <si>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</si>
  <si>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</si>
  <si>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</si>
  <si>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</si>
  <si>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</si>
  <si>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</si>
  <si>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b)</t>
  </si>
  <si>
    <t>CS =</t>
  </si>
  <si>
    <t>c)</t>
  </si>
  <si>
    <t>Tipo 
Sal</t>
  </si>
  <si>
    <t>REDUCC. FORZADA
Por Salida        1ras 5 hs.      hs. Restantes</t>
  </si>
  <si>
    <t>REDUCC.
RESTANTE</t>
  </si>
  <si>
    <t>I</t>
  </si>
  <si>
    <t>II</t>
  </si>
  <si>
    <t>III</t>
  </si>
  <si>
    <t>IV</t>
  </si>
  <si>
    <t>V</t>
  </si>
  <si>
    <t>VI</t>
  </si>
  <si>
    <t>VII</t>
  </si>
  <si>
    <t>VIII</t>
  </si>
  <si>
    <t>Tipo 
Sal.</t>
  </si>
  <si>
    <t>Rest %</t>
  </si>
  <si>
    <t>K (P;ENS)</t>
  </si>
  <si>
    <t>PENALIZAC. FORZADA
Por Salida    hs. Restantes</t>
  </si>
  <si>
    <t>REDUC PROGR</t>
  </si>
  <si>
    <t>SM =</t>
  </si>
  <si>
    <t>d)</t>
  </si>
  <si>
    <t>LONG.</t>
  </si>
  <si>
    <t>U [kV]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</si>
  <si>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</si>
  <si>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</si>
  <si>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</si>
  <si>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</si>
  <si>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</si>
  <si>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</t>
  </si>
  <si>
    <t>SANCIÓN =</t>
  </si>
  <si>
    <t>TRANSFORMADOR</t>
  </si>
  <si>
    <t>POT. [MVA]</t>
  </si>
  <si>
    <t>E.T.</t>
  </si>
  <si>
    <t xml:space="preserve">Salida en 500 kV en $/h </t>
  </si>
  <si>
    <t xml:space="preserve">Cargo por Transformador por MVA = </t>
  </si>
  <si>
    <t>Salida en 132 kV en $/h</t>
  </si>
  <si>
    <t>Cant. Puntos.</t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</si>
  <si>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</si>
  <si>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</si>
  <si>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</si>
  <si>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</si>
  <si>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</si>
  <si>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</si>
  <si>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</si>
  <si>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trafos</t>
  </si>
  <si>
    <t>RM =</t>
  </si>
  <si>
    <t>TOTAL A PENALIZAR A TRANSENER S.A POR SUPERVISIÓN A TIBA</t>
  </si>
  <si>
    <t>500/132/13,2</t>
  </si>
  <si>
    <t>Mes</t>
  </si>
  <si>
    <t>Dia</t>
  </si>
  <si>
    <t>Año</t>
  </si>
  <si>
    <t>enero</t>
  </si>
  <si>
    <t>01</t>
  </si>
  <si>
    <t>febrero</t>
  </si>
  <si>
    <t>02</t>
  </si>
  <si>
    <t>marzo</t>
  </si>
  <si>
    <t>03</t>
  </si>
  <si>
    <t>abril</t>
  </si>
  <si>
    <t>04</t>
  </si>
  <si>
    <t>mayo</t>
  </si>
  <si>
    <t>05</t>
  </si>
  <si>
    <t>junio</t>
  </si>
  <si>
    <t>06</t>
  </si>
  <si>
    <t>julio</t>
  </si>
  <si>
    <t>07</t>
  </si>
  <si>
    <t>agosto</t>
  </si>
  <si>
    <t>08</t>
  </si>
  <si>
    <t>septiembre</t>
  </si>
  <si>
    <t>09</t>
  </si>
  <si>
    <t>octubre</t>
  </si>
  <si>
    <t>10</t>
  </si>
  <si>
    <t>noviembre</t>
  </si>
  <si>
    <t>11</t>
  </si>
  <si>
    <t>diciembre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</si>
  <si>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</si>
  <si>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</si>
  <si>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</si>
  <si>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</si>
  <si>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</si>
  <si>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</si>
  <si>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</si>
  <si>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</si>
  <si>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</si>
  <si>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</si>
  <si>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</si>
  <si>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</si>
  <si>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</si>
  <si>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</si>
  <si>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</si>
  <si>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</si>
  <si>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</si>
  <si>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</si>
  <si>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</si>
  <si>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</si>
  <si>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</si>
  <si>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</si>
  <si>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</si>
  <si>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</si>
  <si>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</si>
  <si>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</si>
  <si>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</si>
  <si>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</si>
  <si>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</si>
  <si>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</si>
  <si>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</si>
  <si>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</si>
  <si>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</si>
  <si>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TRANSENER_INDISPONIBILIDADES_LINEAS_TRANSENER.XLS</t>
  </si>
  <si>
    <t>MODELO L YACYLEC</t>
  </si>
  <si>
    <t>TRANSENER_INDISPONIBILIDADES_LINEAS_YACYLEC.XLS</t>
  </si>
  <si>
    <t>MODELO L LITSA</t>
  </si>
  <si>
    <t>TRANSENER_INDISPONIBILIDADES_LINEAS_LITSA.XLS</t>
  </si>
  <si>
    <t>MODELO L LITS2</t>
  </si>
  <si>
    <t>TRANSENER_INDISPONIBILIDADES_LINEAS_LITS2.XLS</t>
  </si>
  <si>
    <t>MODELO L LINSA</t>
  </si>
  <si>
    <t>TRANSENER_INDISPONIBILIDADES_LINEAS_LINSA.XLS</t>
  </si>
  <si>
    <t>MODELO L IV</t>
  </si>
  <si>
    <t>TRANSENER_INDISPONIBILIDADES_LINEAS_IV.XLS</t>
  </si>
  <si>
    <t>MODELO L INTESAR</t>
  </si>
  <si>
    <t>TRANSENER_INDISPONIBILIDADES_LINEAS_INTESAR.XLS</t>
  </si>
  <si>
    <t>MODELO L INTESA2</t>
  </si>
  <si>
    <t>TRANSENER_INDISPONIBILIDADES_LINEAS_INTESA2.XLS</t>
  </si>
  <si>
    <t>MODELO L INTESA3</t>
  </si>
  <si>
    <t>TRANSENER_INDISPONIBILIDADES_LINEAS_INTESA3.XLS</t>
  </si>
  <si>
    <t>MODELO L INTESA4</t>
  </si>
  <si>
    <t>TRANSENER_INDISPONIBILIDADES_LINEAS_INTESA4.XLS</t>
  </si>
  <si>
    <t>MODELO L CUYANA</t>
  </si>
  <si>
    <t>TRANSENER_INDISPONIBILIDADES_LINEAS_CUYANA.XLS</t>
  </si>
  <si>
    <t>MODELO L LIMSA</t>
  </si>
  <si>
    <t>TRANSENER_INDISPONIBILIDADES_LINEAS_LIMSA.XLS</t>
  </si>
  <si>
    <t>MODELO L RIOJA</t>
  </si>
  <si>
    <t>TRANSENER_INDISPONIBILIDADES_LINEAS_RIOJA.XLS</t>
  </si>
  <si>
    <t>MODELO T</t>
  </si>
  <si>
    <t>TRANSENER_INDISPONIBILIDADES_TRAFOS_TRANSENER.XLS</t>
  </si>
  <si>
    <t>MODELO T LITSA</t>
  </si>
  <si>
    <t>TRANSENER_INDISPONIBILIDADES_TRAFOS_LITSA.XLS</t>
  </si>
  <si>
    <t>MODELO T LITS2</t>
  </si>
  <si>
    <t>TRANSENER_INDISPONIBILIDADES_TRAFOS_LITS2.XLS</t>
  </si>
  <si>
    <t>MODELO T LINSA</t>
  </si>
  <si>
    <t>TRANSENER_INDISPONIBILIDADES_TRAFOS_LINSA.XLS</t>
  </si>
  <si>
    <t>MODELO T TIBA</t>
  </si>
  <si>
    <t>TRANSENER_INDISPONIBILIDADES_TRAFOS_TIBA.XLS</t>
  </si>
  <si>
    <t>MODELO T ENECOR</t>
  </si>
  <si>
    <t>TRANSENER_INDISPONIBILIDADES_TRAFOS_ENECOR.XLS</t>
  </si>
  <si>
    <t>MODELO T INTESAR</t>
  </si>
  <si>
    <t>TRANSENER_INDISPONIBILIDADES_TRAFOS_INTESAR.XLS</t>
  </si>
  <si>
    <t>MODELO T INTESA3</t>
  </si>
  <si>
    <t>TRANSENER_INDISPONIBILIDADES_TRAFOS_INTESA3.XLS</t>
  </si>
  <si>
    <t>MODELO T INTESA4</t>
  </si>
  <si>
    <t>TRANSENER_INDISPONIBILIDADES_TRAFOS_INTESA4.XLS</t>
  </si>
  <si>
    <t>MODELO T LIMSA</t>
  </si>
  <si>
    <t>TRANSENER_INDISPONIBILIDADES_TRAFOS_LIMSA.XLS</t>
  </si>
  <si>
    <t>MODELO T CUYANA</t>
  </si>
  <si>
    <t>TRANSENER_INDISPONIBILIDADES_TRAFOS_CUYANA.XLS</t>
  </si>
  <si>
    <t>MODELO T COBRA</t>
  </si>
  <si>
    <t>TRANSENER_INDISPONIBILIDADES_TRAFOS_COBRA.XLS</t>
  </si>
  <si>
    <t>MODELO S</t>
  </si>
  <si>
    <t>TRANSENER_INDISPONIBILIDADES_SALIDAS_TRANSENER.XLS</t>
  </si>
  <si>
    <t>MODELO S TIBA</t>
  </si>
  <si>
    <t>TRANSENER_INDISPONIBILIDADES_SALIDAS_TIBA.XLS</t>
  </si>
  <si>
    <t>MODELO S ENECOR</t>
  </si>
  <si>
    <t>TRANSENER_INDISPONIBILIDADES_SALIDAS_ENECOR.XLS</t>
  </si>
  <si>
    <t>MODELO S INTESA3</t>
  </si>
  <si>
    <t>TRANSENER_INDISPONIBILIDADES_SALIDAS_INTESA3.XLS</t>
  </si>
  <si>
    <t>MODELO S INTESA4</t>
  </si>
  <si>
    <t>TRANSENER_INDISPONIBILIDADES_SALIDAS_INTESA4.XLS</t>
  </si>
  <si>
    <t>MODELO S TESA</t>
  </si>
  <si>
    <t>TRANSENER_INDISPONIBILIDADES_SALIDAS_TESA.XLS</t>
  </si>
  <si>
    <t>MODELO S CTM</t>
  </si>
  <si>
    <t>TRANSENER_INDISPONIBILIDADES_SALIDAS_CTM.XLS</t>
  </si>
  <si>
    <t>MODELO S LIMSA</t>
  </si>
  <si>
    <t>TRANSENER_INDISPONIBILIDADES_SALIDAS_LIMSA.XLS</t>
  </si>
  <si>
    <t>MODELO S LITSA</t>
  </si>
  <si>
    <t>TRANSENER_INDISPONIBILIDADES_SALIDAS_LITSA.XLS</t>
  </si>
  <si>
    <t>MODELO S LITS2</t>
  </si>
  <si>
    <t>TRANSENER_INDISPONIBILIDADES_SALIDAS_LITS2.XLS</t>
  </si>
  <si>
    <t>MODELO S LINSA</t>
  </si>
  <si>
    <t>TRANSENER_INDISPONIBILIDADES_SALIDAS_LINSA.XLS</t>
  </si>
  <si>
    <t>MODELO R</t>
  </si>
  <si>
    <t>TRANSENER_INDISPONIBILIDADES_REACTIVOS_TRANSENER.XLS</t>
  </si>
  <si>
    <t>MODELO R YACYLEC</t>
  </si>
  <si>
    <t>TRANSENER_INDISPONIBILIDADES_REACTIVOS_YACYLEC.XLS</t>
  </si>
  <si>
    <t>MODELO R INTESAR</t>
  </si>
  <si>
    <t>TRANSENER_INDISPONIBILIDADES_REACTIVOS_INTESAR.XLS</t>
  </si>
  <si>
    <t>MODELO R INTESA2</t>
  </si>
  <si>
    <t>TRANSENER_INDISPONIBILIDADES_REACTIVOS_INTESA2.XLS</t>
  </si>
  <si>
    <t>MODELO R INTESA4</t>
  </si>
  <si>
    <t>TRANSENER_INDISPONIBILIDADES_REACTIVOS_INTESA4.XLS</t>
  </si>
  <si>
    <t>MODELO R LITSA</t>
  </si>
  <si>
    <t>TRANSENER_INDISPONIBILIDADES_REACTIVOS_LITSA.XLS</t>
  </si>
  <si>
    <t>MODELO R LITS2</t>
  </si>
  <si>
    <t>TRANSENER_INDISPONIBILIDADES_REACTIVOS_LITS2.XLS</t>
  </si>
  <si>
    <t>MODELO R LINSA</t>
  </si>
  <si>
    <t>TRANSENER_INDISPONIBILIDADES_REACTIVOS_LINSA.XLS</t>
  </si>
  <si>
    <t>MODELO R IV</t>
  </si>
  <si>
    <t>TRANSENER_INDISPONIBILIDADES_REACTIVOS_IV.XLS</t>
  </si>
  <si>
    <t>MODELO R LIMSA</t>
  </si>
  <si>
    <t>TRANSENER_INDISPONIBILIDADES_REACTIVOS_LIMSA.XLS</t>
  </si>
  <si>
    <t>SUP-YACYLEC</t>
  </si>
  <si>
    <t>SUP-LITSA</t>
  </si>
  <si>
    <t>SUP-LITS2</t>
  </si>
  <si>
    <t>SUP-TIBA</t>
  </si>
  <si>
    <t>SUP-ENECOR</t>
  </si>
  <si>
    <t>SUP-TESA</t>
  </si>
  <si>
    <t>SUP-CTM</t>
  </si>
  <si>
    <t>SUP-INTESAR</t>
  </si>
  <si>
    <t>SUP-INTESA2</t>
  </si>
  <si>
    <t>TRANSENER_INDISPONIBILIDADES_TRAFOS_INTESA2.XLS</t>
  </si>
  <si>
    <t>SUP-INTESA3</t>
  </si>
  <si>
    <t>SUP-INTESA4</t>
  </si>
  <si>
    <t>SUP-CUYANA</t>
  </si>
  <si>
    <t>SUP-LIMSA</t>
  </si>
  <si>
    <t>SUP-LINSA</t>
  </si>
  <si>
    <t>SUP-RIOJA</t>
  </si>
  <si>
    <t>SUP-COBRA</t>
  </si>
  <si>
    <t>MODELO VST</t>
  </si>
  <si>
    <t>TRANSENER_CAUSAS_VST.XLS</t>
  </si>
  <si>
    <t>DAG</t>
  </si>
  <si>
    <t>TRANSENER_INDISPONIBILIDADES_DAG.XLS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</si>
  <si>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</si>
  <si>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</si>
  <si>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</si>
  <si>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</si>
  <si>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</si>
  <si>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</si>
  <si>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</si>
  <si>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</si>
  <si>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</si>
  <si>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Cargos de Conexión</t>
    </r>
  </si>
  <si>
    <t>Desde el 01 al 30 de junio de 2014</t>
  </si>
  <si>
    <t>EZEIZA - HENDERSON 1</t>
  </si>
  <si>
    <t>A</t>
  </si>
  <si>
    <t>F</t>
  </si>
  <si>
    <t>P. DEL AGUILA - CENTRAL P. DEL AGUILA 2</t>
  </si>
  <si>
    <t>C</t>
  </si>
  <si>
    <t>P</t>
  </si>
  <si>
    <t>RAMALLO - VILLA LIA  2</t>
  </si>
  <si>
    <t>0,00</t>
  </si>
  <si>
    <t>RIO GRANDE - LUJAN</t>
  </si>
  <si>
    <t>LUJAN - GRAN MENDOZA</t>
  </si>
  <si>
    <t>ROSARIO OESTE - RAMALLO 1</t>
  </si>
  <si>
    <t>RAMALLO - VILLA LIA  1</t>
  </si>
  <si>
    <t xml:space="preserve">P. DE LA PATRIA  RINCON        </t>
  </si>
  <si>
    <t>CHOEL CHOEL -  P. MADRYN</t>
  </si>
  <si>
    <t>ROSARIO OESTE</t>
  </si>
  <si>
    <t>T6RO</t>
  </si>
  <si>
    <t>GRAN MENDOZA</t>
  </si>
  <si>
    <t>TRAFO 2</t>
  </si>
  <si>
    <t>PUELCHES</t>
  </si>
  <si>
    <t>AUTOTRAFO 1</t>
  </si>
  <si>
    <t>RESISTENCIA</t>
  </si>
  <si>
    <t>SALIDA LINEA CORRIENTES 1</t>
  </si>
  <si>
    <t>SANTO TOME</t>
  </si>
  <si>
    <t>SALIDA CALCHINES</t>
  </si>
  <si>
    <t>LUJAN</t>
  </si>
  <si>
    <t>SALIDA SAN LUIS I</t>
  </si>
  <si>
    <t>MALVINAS ARGENTINAS</t>
  </si>
  <si>
    <t>SALIDA LINEA NORTE 1</t>
  </si>
  <si>
    <t>OLAVARRIA</t>
  </si>
  <si>
    <t>SALIDA ACOPLAMIENTO A-C</t>
  </si>
  <si>
    <t>SALIDA LINEA GRAL. ACHA</t>
  </si>
  <si>
    <t>B. BLANCA</t>
  </si>
  <si>
    <t>SALIDA LINEA STA. FE OESTE 1</t>
  </si>
  <si>
    <t>ALMAFUERTE</t>
  </si>
  <si>
    <t>SALIDA LINEA PILAR 1</t>
  </si>
  <si>
    <t>SALIDA LINEA PILAR 2</t>
  </si>
  <si>
    <t>BAHIA BLANCA</t>
  </si>
  <si>
    <t>SALIDA a Norte II</t>
  </si>
  <si>
    <t>SALIDA A AZUL</t>
  </si>
  <si>
    <t>SALIDA A HENDERSON</t>
  </si>
  <si>
    <t xml:space="preserve">BAHIA BLANCA </t>
  </si>
  <si>
    <t>SALIDA A COOP. P. ALTA</t>
  </si>
  <si>
    <t>SALIDA A PETROQUIMICA</t>
  </si>
  <si>
    <t xml:space="preserve">CAMPANA </t>
  </si>
  <si>
    <t>SALIDA MINETTI</t>
  </si>
  <si>
    <t>MERCEDES</t>
  </si>
  <si>
    <t>SALIDA DPEC 2</t>
  </si>
  <si>
    <t xml:space="preserve">ALMAFUERTE </t>
  </si>
  <si>
    <t>R2T1AM</t>
  </si>
  <si>
    <t>0,000</t>
  </si>
  <si>
    <t xml:space="preserve">EZEIZA </t>
  </si>
  <si>
    <t>CS3</t>
  </si>
  <si>
    <t>CAMP CELIA</t>
  </si>
  <si>
    <t>CS4</t>
  </si>
  <si>
    <t>CS5</t>
  </si>
  <si>
    <t>CS6</t>
  </si>
  <si>
    <t>Transp. Indep. L.I.T.S.A.  TRANSF. SALTO GDE.</t>
  </si>
  <si>
    <t>2.2.4.-</t>
  </si>
  <si>
    <t>2.2.5.-</t>
  </si>
  <si>
    <t>4.5.-</t>
  </si>
  <si>
    <t>2.1.3.- Transportista Independiente LITSA -TRANSF. SALTO GRANDE</t>
  </si>
  <si>
    <t>Por Transformador por cada MVA  $   =</t>
  </si>
  <si>
    <t>TOTAL
PENALIZ.</t>
  </si>
  <si>
    <t>SALTO GRANDE</t>
  </si>
  <si>
    <t>NO</t>
  </si>
  <si>
    <r>
      <t>(</t>
    </r>
    <r>
      <rPr>
        <sz val="9"/>
        <rFont val="Wingdings"/>
        <family val="0"/>
      </rPr>
      <t>²</t>
    </r>
    <r>
      <rPr>
        <sz val="9"/>
        <rFont val="Times New Roman"/>
        <family val="1"/>
      </rPr>
      <t>)</t>
    </r>
  </si>
  <si>
    <t xml:space="preserve">P - PROGRAMADA </t>
  </si>
  <si>
    <t>4.2.- Transportista Independiente L.I.T.S.A. TRANSF. SALTO GRANDE</t>
  </si>
  <si>
    <t xml:space="preserve"> - </t>
  </si>
  <si>
    <t>Remuneración SALIDA 500 kV             =</t>
  </si>
  <si>
    <t>$/hora</t>
  </si>
  <si>
    <r>
      <t>CS:</t>
    </r>
    <r>
      <rPr>
        <sz val="12"/>
        <rFont val="Times New Roman"/>
        <family val="1"/>
      </rPr>
      <t xml:space="preserve"> es el cargo por supervisión de la operación que la concesionaria percibe por supervisar la operación y mantenimiento del transportista independiente, establecido en el reglamento de acceso.</t>
    </r>
  </si>
  <si>
    <t>Salto Grande - TR02</t>
  </si>
  <si>
    <t>500/132</t>
  </si>
  <si>
    <t>SALIDA</t>
  </si>
  <si>
    <r>
      <t>RM</t>
    </r>
    <r>
      <rPr>
        <sz val="12"/>
        <rFont val="Times New Roman"/>
        <family val="1"/>
      </rPr>
      <t xml:space="preserve"> por Conexión</t>
    </r>
  </si>
  <si>
    <t>Salto Grande</t>
  </si>
  <si>
    <t>Trafo 2 500/132 kV</t>
  </si>
  <si>
    <t>RM *  =</t>
  </si>
  <si>
    <t>TOTAL A PENALIZAR A TRANSENER S.A POR SUPERVISIÓN A LITSA</t>
  </si>
  <si>
    <r>
      <t>RM *</t>
    </r>
    <r>
      <rPr>
        <sz val="14"/>
        <rFont val="Times New Roman"/>
        <family val="1"/>
      </rPr>
      <t xml:space="preserve"> =   VALOR EMPLEADO PARA CALCULAR    </t>
    </r>
    <r>
      <rPr>
        <b/>
        <sz val="14"/>
        <rFont val="Times New Roman"/>
        <family val="1"/>
      </rPr>
      <t>CS</t>
    </r>
  </si>
  <si>
    <t xml:space="preserve"> -</t>
  </si>
  <si>
    <t>IX</t>
  </si>
  <si>
    <t>X</t>
  </si>
  <si>
    <t>XI</t>
  </si>
  <si>
    <t>XII</t>
  </si>
  <si>
    <t>XIII</t>
  </si>
  <si>
    <t>XIV</t>
  </si>
  <si>
    <t>RM: Por Capacitores ET  B. Blanca:</t>
  </si>
  <si>
    <t>100 MVAr</t>
  </si>
  <si>
    <r>
      <t>RM *</t>
    </r>
    <r>
      <rPr>
        <sz val="14"/>
        <rFont val="Times New Roman"/>
        <family val="1"/>
      </rPr>
      <t xml:space="preserve"> =  VALOR EMPLEADO PARA CALCULAR   </t>
    </r>
    <r>
      <rPr>
        <b/>
        <sz val="14"/>
        <rFont val="Times New Roman"/>
        <family val="1"/>
      </rPr>
      <t>CS</t>
    </r>
  </si>
  <si>
    <t>2.1.5.- Transportista Independiente TIBA S.A.</t>
  </si>
  <si>
    <t>B.BLANCA</t>
  </si>
  <si>
    <t>P - PROGRAMADA</t>
  </si>
  <si>
    <t xml:space="preserve"> 2.2.3.- Transportista Independiente LINSA</t>
  </si>
  <si>
    <t>GRAN FORMOSA</t>
  </si>
  <si>
    <t>SALIDA CLORINDA 1</t>
  </si>
  <si>
    <t>P - PROGRAMADA  ; F - FORZADA</t>
  </si>
  <si>
    <t>Remuneración SALIDA 132 kV             =</t>
  </si>
  <si>
    <t xml:space="preserve"> Resistencia - Gran Formosa</t>
  </si>
  <si>
    <t>Chaco - Resistencia</t>
  </si>
  <si>
    <t>Monte Quemado - Chaco</t>
  </si>
  <si>
    <t>G.Formosa - Trafo 1</t>
  </si>
  <si>
    <t>500/132/33</t>
  </si>
  <si>
    <t>Chaco - Trafo 1</t>
  </si>
  <si>
    <t>Monte Quemado</t>
  </si>
  <si>
    <t>Gran Formosa</t>
  </si>
  <si>
    <t>Pirane</t>
  </si>
  <si>
    <t>Clorinda 1</t>
  </si>
  <si>
    <t>Clorinda 2</t>
  </si>
  <si>
    <t>Formosa 1</t>
  </si>
  <si>
    <t>Formosa 2</t>
  </si>
  <si>
    <t>Chaco</t>
  </si>
  <si>
    <t>Charata</t>
  </si>
  <si>
    <t>Presidencia R.S. Peña</t>
  </si>
  <si>
    <t>monte Quemado</t>
  </si>
  <si>
    <t>Copo</t>
  </si>
  <si>
    <t>RM  =</t>
  </si>
  <si>
    <t>RM * =</t>
  </si>
  <si>
    <r>
      <t xml:space="preserve">RM * </t>
    </r>
    <r>
      <rPr>
        <sz val="14"/>
        <rFont val="Times New Roman"/>
        <family val="1"/>
      </rPr>
      <t xml:space="preserve">= VALOR EMPLEADO PARA CALCULAR </t>
    </r>
    <r>
      <rPr>
        <b/>
        <sz val="14"/>
        <rFont val="Times New Roman"/>
        <family val="1"/>
      </rPr>
      <t>CS</t>
    </r>
  </si>
  <si>
    <t>Remuneración LÍNEAS 220 kV              =</t>
  </si>
  <si>
    <t>Mercedes - Colonia Elía</t>
  </si>
  <si>
    <t>Rincon - Mercedes</t>
  </si>
  <si>
    <t>Mercedes</t>
  </si>
  <si>
    <t>DPEC 1</t>
  </si>
  <si>
    <t>DPEC 2</t>
  </si>
  <si>
    <t xml:space="preserve">RM  = </t>
  </si>
  <si>
    <r>
      <t>RM *</t>
    </r>
    <r>
      <rPr>
        <sz val="14"/>
        <rFont val="Times New Roman"/>
        <family val="1"/>
      </rPr>
      <t xml:space="preserve"> =   SE EMPLEA PARA EL CÁLCULO DE    </t>
    </r>
    <r>
      <rPr>
        <b/>
        <sz val="14"/>
        <rFont val="Times New Roman"/>
        <family val="1"/>
      </rPr>
      <t>CS</t>
    </r>
  </si>
  <si>
    <t>LA RIOJA SUR</t>
  </si>
  <si>
    <t>SALIDA PATQUIA</t>
  </si>
  <si>
    <t xml:space="preserve"> </t>
  </si>
  <si>
    <t>1.3.- Transportista Independiente INTESAR S.A. 2 (C. Elía - Rodriguez)</t>
  </si>
  <si>
    <t>3.2.-  Transportista Independiente YACYLEC S.A.</t>
  </si>
  <si>
    <t>RINCON</t>
  </si>
  <si>
    <t>R9L5RI</t>
  </si>
  <si>
    <t>Coeficiente de penalización forzada=</t>
  </si>
  <si>
    <t>M. BELGRANO - G. RODRIGUEZ</t>
  </si>
  <si>
    <t>TR1</t>
  </si>
  <si>
    <t>R1L5CA</t>
  </si>
  <si>
    <t>CAP. SERIE</t>
  </si>
  <si>
    <t>OLAV 500</t>
  </si>
  <si>
    <t>R. OESTE - RIO CORONDA</t>
  </si>
  <si>
    <t>B</t>
  </si>
  <si>
    <t>P - PROGRAMADA  ; F - FORZADA  ; RF - RESTANTE FORZADA</t>
  </si>
  <si>
    <t>HENDERSON</t>
  </si>
  <si>
    <t>TRAFO 7</t>
  </si>
  <si>
    <t>M. BELGRANO</t>
  </si>
  <si>
    <t>SALIDA TRAFO TG1</t>
  </si>
  <si>
    <t>NOTA: LOS CAPACITORES SERIE NO SE PENALIZAN</t>
  </si>
  <si>
    <t>F - FORZADA</t>
  </si>
  <si>
    <t>(DTE 0614)</t>
  </si>
  <si>
    <t>4.3.- Transportista Independiente LINSA  (Gran Formosa - Resistencia  - M. Quemado)</t>
  </si>
  <si>
    <t>4.4.- Transportista Independiente  TIBA S.A.</t>
  </si>
  <si>
    <t>4.5.- Transp. Indep. LIMSA  (Mercedes C. Elía)</t>
  </si>
  <si>
    <t>TOTAL DE PENALIZACIONES A APLICAR</t>
  </si>
  <si>
    <t>Valores remuneratorios según Convenio de Renovación - Nota ENRE Nº 113620</t>
  </si>
  <si>
    <t>1.1.1 - Indisponibilidades de LAT causadas por atentado. Resolución ENRE 313/01</t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</si>
  <si>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</si>
  <si>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</si>
  <si>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</si>
  <si>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</si>
  <si>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</si>
  <si>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</si>
  <si>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PC en Tst</t>
  </si>
  <si>
    <t>Informó
en Térm.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</si>
  <si>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</si>
  <si>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</si>
  <si>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</si>
  <si>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</si>
  <si>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</si>
  <si>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</si>
  <si>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</si>
  <si>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</si>
  <si>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</si>
  <si>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</si>
  <si>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TOTAL REGIMEN NORMAL 
(en Ti)</t>
  </si>
  <si>
    <t>EVENTO  1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</si>
  <si>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</si>
  <si>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</si>
  <si>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</si>
  <si>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</si>
  <si>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</si>
  <si>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</si>
  <si>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fp :</t>
  </si>
  <si>
    <t>igual a 0,9 o 1 p/ Cond. Climáticas Ext. e igual a 1 p/ Atentados.</t>
  </si>
  <si>
    <t>(*)</t>
  </si>
  <si>
    <t>(*):</t>
  </si>
  <si>
    <t>Se considera el valor de remuneración del período donde se inició la indisponibilidad</t>
  </si>
  <si>
    <t>1.1.1.- Atentado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</si>
  <si>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</si>
  <si>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</si>
  <si>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</si>
  <si>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</si>
  <si>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</si>
  <si>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</si>
  <si>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</si>
  <si>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100Km</t>
  </si>
  <si>
    <t>Correspondiente al mes de Junio de 2014</t>
  </si>
  <si>
    <t>T.I. TRANSPORTEL MINERA II S.A. (TPORTEAT)</t>
  </si>
  <si>
    <t xml:space="preserve"> 2.2.4.- Transportista Independiente TRANSPORTEL MINERA II S.A. (TPORTEAT)</t>
  </si>
  <si>
    <t>ANEXO I al Memorándum D.T.E.E. N°         347   / 2015</t>
  </si>
</sst>
</file>

<file path=xl/styles.xml><?xml version="1.0" encoding="utf-8"?>
<styleSheet xmlns="http://schemas.openxmlformats.org/spreadsheetml/2006/main">
  <numFmts count="7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\a\.m\./\p\.m\."/>
    <numFmt numFmtId="225" formatCode="&quot;$&quot;\ #,##0.0;[Red]&quot;$&quot;\ \-#,##0.0"/>
  </numFmts>
  <fonts count="1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0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sz val="11"/>
      <name val="MS Sans Serif"/>
      <family val="2"/>
    </font>
    <font>
      <sz val="11"/>
      <color indexed="27"/>
      <name val="MS Sans Serif"/>
      <family val="2"/>
    </font>
    <font>
      <sz val="11"/>
      <color indexed="47"/>
      <name val="MS Sans Serif"/>
      <family val="2"/>
    </font>
    <font>
      <sz val="10"/>
      <name val="Wingdings"/>
      <family val="0"/>
    </font>
    <font>
      <sz val="11"/>
      <color indexed="26"/>
      <name val="MS Sans Serif"/>
      <family val="2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27"/>
      <name val="Times New Roman"/>
      <family val="1"/>
    </font>
    <font>
      <sz val="10"/>
      <color indexed="47"/>
      <name val="Times New Roman"/>
      <family val="1"/>
    </font>
    <font>
      <sz val="10"/>
      <color indexed="26"/>
      <name val="Times New Roman"/>
      <family val="1"/>
    </font>
    <font>
      <sz val="10"/>
      <color indexed="50"/>
      <name val="Times New Roman"/>
      <family val="1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26"/>
      <name val="Times New Roman"/>
      <family val="0"/>
    </font>
    <font>
      <b/>
      <sz val="10"/>
      <color indexed="50"/>
      <name val="Times New Roman"/>
      <family val="1"/>
    </font>
    <font>
      <b/>
      <sz val="10"/>
      <color indexed="10"/>
      <name val="Times New Roman"/>
      <family val="0"/>
    </font>
    <font>
      <b/>
      <sz val="10"/>
      <color indexed="62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4"/>
      <name val="Times New Roman"/>
      <family val="1"/>
    </font>
    <font>
      <sz val="11"/>
      <color indexed="48"/>
      <name val="MS Sans Serif"/>
      <family val="2"/>
    </font>
    <font>
      <sz val="11"/>
      <color indexed="8"/>
      <name val="MS Sans Serif"/>
      <family val="2"/>
    </font>
    <font>
      <sz val="11"/>
      <color indexed="9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sz val="11"/>
      <color indexed="13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sz val="10"/>
      <color indexed="18"/>
      <name val="Times New Roman"/>
      <family val="1"/>
    </font>
    <font>
      <sz val="10"/>
      <color indexed="13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sz val="10"/>
      <color indexed="9"/>
      <name val="MS Sans Serif"/>
      <family val="2"/>
    </font>
    <font>
      <b/>
      <sz val="10"/>
      <color indexed="3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8"/>
      <name val="MS Sans Serif"/>
      <family val="2"/>
    </font>
    <font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50"/>
      <name val="MS Sans Serif"/>
      <family val="2"/>
    </font>
    <font>
      <sz val="8"/>
      <color indexed="56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Wingdings"/>
      <family val="0"/>
    </font>
    <font>
      <sz val="9"/>
      <name val="Courier New"/>
      <family val="3"/>
    </font>
    <font>
      <b/>
      <i/>
      <u val="single"/>
      <sz val="12"/>
      <name val="Arial"/>
      <family val="2"/>
    </font>
    <font>
      <b/>
      <sz val="12"/>
      <color indexed="9"/>
      <name val="Times New Roman"/>
      <family val="1"/>
    </font>
    <font>
      <b/>
      <sz val="12"/>
      <color indexed="34"/>
      <name val="Times New Roman"/>
      <family val="1"/>
    </font>
    <font>
      <b/>
      <sz val="10"/>
      <color indexed="48"/>
      <name val="Times New Roman"/>
      <family val="1"/>
    </font>
    <font>
      <sz val="12"/>
      <name val="MS Sans Serif"/>
      <family val="2"/>
    </font>
    <font>
      <sz val="14"/>
      <name val="MS Sans Serif"/>
      <family val="2"/>
    </font>
    <font>
      <b/>
      <sz val="14"/>
      <color indexed="8"/>
      <name val="Times New Roman"/>
      <family val="1"/>
    </font>
    <font>
      <b/>
      <sz val="12"/>
      <color indexed="48"/>
      <name val="Times New Roman"/>
      <family val="1"/>
    </font>
    <font>
      <b/>
      <sz val="10"/>
      <name val="MS Sans Serif"/>
      <family val="2"/>
    </font>
    <font>
      <b/>
      <sz val="14"/>
      <name val="MS Sans Serif"/>
      <family val="2"/>
    </font>
    <font>
      <b/>
      <sz val="15"/>
      <color indexed="56"/>
      <name val="Calibri"/>
      <family val="2"/>
    </font>
    <font>
      <sz val="11"/>
      <color indexed="57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Gray"/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thick"/>
      <right style="thick"/>
      <top style="thick"/>
      <bottom style="thick"/>
    </border>
    <border>
      <left style="double"/>
      <right style="double"/>
      <top>
        <color indexed="63"/>
      </top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0" fillId="2" borderId="0" applyNumberFormat="0" applyBorder="0" applyAlignment="0" applyProtection="0"/>
    <xf numFmtId="0" fontId="140" fillId="3" borderId="0" applyNumberFormat="0" applyBorder="0" applyAlignment="0" applyProtection="0"/>
    <xf numFmtId="0" fontId="140" fillId="4" borderId="0" applyNumberFormat="0" applyBorder="0" applyAlignment="0" applyProtection="0"/>
    <xf numFmtId="0" fontId="140" fillId="5" borderId="0" applyNumberFormat="0" applyBorder="0" applyAlignment="0" applyProtection="0"/>
    <xf numFmtId="0" fontId="140" fillId="6" borderId="0" applyNumberFormat="0" applyBorder="0" applyAlignment="0" applyProtection="0"/>
    <xf numFmtId="0" fontId="140" fillId="7" borderId="0" applyNumberFormat="0" applyBorder="0" applyAlignment="0" applyProtection="0"/>
    <xf numFmtId="0" fontId="140" fillId="8" borderId="0" applyNumberFormat="0" applyBorder="0" applyAlignment="0" applyProtection="0"/>
    <xf numFmtId="0" fontId="140" fillId="9" borderId="0" applyNumberFormat="0" applyBorder="0" applyAlignment="0" applyProtection="0"/>
    <xf numFmtId="0" fontId="140" fillId="10" borderId="0" applyNumberFormat="0" applyBorder="0" applyAlignment="0" applyProtection="0"/>
    <xf numFmtId="0" fontId="140" fillId="11" borderId="0" applyNumberFormat="0" applyBorder="0" applyAlignment="0" applyProtection="0"/>
    <xf numFmtId="0" fontId="140" fillId="12" borderId="0" applyNumberFormat="0" applyBorder="0" applyAlignment="0" applyProtection="0"/>
    <xf numFmtId="0" fontId="140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2" fillId="20" borderId="0" applyNumberFormat="0" applyBorder="0" applyAlignment="0" applyProtection="0"/>
    <xf numFmtId="0" fontId="143" fillId="21" borderId="1" applyNumberFormat="0" applyAlignment="0" applyProtection="0"/>
    <xf numFmtId="0" fontId="144" fillId="22" borderId="2" applyNumberFormat="0" applyAlignment="0" applyProtection="0"/>
    <xf numFmtId="0" fontId="145" fillId="0" borderId="3" applyNumberFormat="0" applyFill="0" applyAlignment="0" applyProtection="0"/>
    <xf numFmtId="0" fontId="146" fillId="0" borderId="4" applyNumberFormat="0" applyFill="0" applyAlignment="0" applyProtection="0"/>
    <xf numFmtId="0" fontId="147" fillId="0" borderId="0" applyNumberFormat="0" applyFill="0" applyBorder="0" applyAlignment="0" applyProtection="0"/>
    <xf numFmtId="0" fontId="141" fillId="23" borderId="0" applyNumberFormat="0" applyBorder="0" applyAlignment="0" applyProtection="0"/>
    <xf numFmtId="0" fontId="141" fillId="24" borderId="0" applyNumberFormat="0" applyBorder="0" applyAlignment="0" applyProtection="0"/>
    <xf numFmtId="0" fontId="141" fillId="25" borderId="0" applyNumberFormat="0" applyBorder="0" applyAlignment="0" applyProtection="0"/>
    <xf numFmtId="0" fontId="141" fillId="26" borderId="0" applyNumberFormat="0" applyBorder="0" applyAlignment="0" applyProtection="0"/>
    <xf numFmtId="0" fontId="141" fillId="27" borderId="0" applyNumberFormat="0" applyBorder="0" applyAlignment="0" applyProtection="0"/>
    <xf numFmtId="0" fontId="141" fillId="28" borderId="0" applyNumberFormat="0" applyBorder="0" applyAlignment="0" applyProtection="0"/>
    <xf numFmtId="0" fontId="1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1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51" fillId="21" borderId="6" applyNumberFormat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17" fillId="0" borderId="7" applyNumberFormat="0" applyFill="0" applyAlignment="0" applyProtection="0"/>
    <xf numFmtId="0" fontId="155" fillId="0" borderId="8" applyNumberFormat="0" applyFill="0" applyAlignment="0" applyProtection="0"/>
    <xf numFmtId="0" fontId="147" fillId="0" borderId="9" applyNumberFormat="0" applyFill="0" applyAlignment="0" applyProtection="0"/>
    <xf numFmtId="0" fontId="156" fillId="0" borderId="10" applyNumberFormat="0" applyFill="0" applyAlignment="0" applyProtection="0"/>
  </cellStyleXfs>
  <cellXfs count="2890">
    <xf numFmtId="0" fontId="0" fillId="0" borderId="0" xfId="0" applyAlignment="1">
      <alignment/>
    </xf>
    <xf numFmtId="0" fontId="8" fillId="0" borderId="0" xfId="72" applyFont="1" quotePrefix="1">
      <alignment/>
      <protection/>
    </xf>
    <xf numFmtId="0" fontId="9" fillId="0" borderId="0" xfId="72" applyFont="1" applyAlignment="1">
      <alignment horizontal="centerContinuous"/>
      <protection/>
    </xf>
    <xf numFmtId="0" fontId="8" fillId="0" borderId="0" xfId="72" applyFont="1">
      <alignment/>
      <protection/>
    </xf>
    <xf numFmtId="0" fontId="10" fillId="0" borderId="0" xfId="72" applyFont="1" applyBorder="1">
      <alignment/>
      <protection/>
    </xf>
    <xf numFmtId="0" fontId="11" fillId="0" borderId="0" xfId="72" applyFont="1" applyAlignment="1">
      <alignment horizontal="right" vertical="top"/>
      <protection/>
    </xf>
    <xf numFmtId="0" fontId="12" fillId="0" borderId="0" xfId="72" applyFont="1" applyAlignment="1">
      <alignment horizontal="centerContinuous"/>
      <protection/>
    </xf>
    <xf numFmtId="0" fontId="8" fillId="0" borderId="0" xfId="72" applyFont="1" applyAlignment="1">
      <alignment horizontal="centerContinuous"/>
      <protection/>
    </xf>
    <xf numFmtId="0" fontId="13" fillId="0" borderId="0" xfId="72" applyFont="1">
      <alignment/>
      <protection/>
    </xf>
    <xf numFmtId="0" fontId="3" fillId="0" borderId="0" xfId="72">
      <alignment/>
      <protection/>
    </xf>
    <xf numFmtId="0" fontId="13" fillId="0" borderId="0" xfId="72" applyFont="1" applyAlignment="1">
      <alignment horizontal="centerContinuous"/>
      <protection/>
    </xf>
    <xf numFmtId="0" fontId="13" fillId="0" borderId="0" xfId="72" applyFont="1" applyBorder="1">
      <alignment/>
      <protection/>
    </xf>
    <xf numFmtId="0" fontId="6" fillId="0" borderId="0" xfId="72" applyFont="1" applyFill="1" applyBorder="1" applyAlignment="1" applyProtection="1">
      <alignment horizontal="centerContinuous"/>
      <protection/>
    </xf>
    <xf numFmtId="0" fontId="14" fillId="0" borderId="0" xfId="72" applyNumberFormat="1" applyFont="1" applyAlignment="1">
      <alignment horizontal="left"/>
      <protection/>
    </xf>
    <xf numFmtId="0" fontId="14" fillId="0" borderId="0" xfId="72" applyFont="1">
      <alignment/>
      <protection/>
    </xf>
    <xf numFmtId="0" fontId="14" fillId="0" borderId="0" xfId="72" applyFont="1" applyBorder="1">
      <alignment/>
      <protection/>
    </xf>
    <xf numFmtId="0" fontId="15" fillId="0" borderId="0" xfId="72" applyFont="1" applyFill="1" applyBorder="1" applyAlignment="1" applyProtection="1">
      <alignment horizontal="left"/>
      <protection/>
    </xf>
    <xf numFmtId="0" fontId="8" fillId="0" borderId="0" xfId="72" applyFont="1" applyBorder="1">
      <alignment/>
      <protection/>
    </xf>
    <xf numFmtId="0" fontId="16" fillId="0" borderId="0" xfId="72" applyFont="1">
      <alignment/>
      <protection/>
    </xf>
    <xf numFmtId="0" fontId="17" fillId="0" borderId="0" xfId="72" applyFont="1" applyBorder="1" applyAlignment="1">
      <alignment horizontal="centerContinuous"/>
      <protection/>
    </xf>
    <xf numFmtId="0" fontId="18" fillId="0" borderId="0" xfId="72" applyFont="1" applyAlignment="1">
      <alignment horizontal="centerContinuous"/>
      <protection/>
    </xf>
    <xf numFmtId="0" fontId="16" fillId="0" borderId="0" xfId="72" applyFont="1" applyAlignment="1">
      <alignment horizontal="centerContinuous"/>
      <protection/>
    </xf>
    <xf numFmtId="0" fontId="16" fillId="0" borderId="0" xfId="72" applyFont="1" applyBorder="1" applyAlignment="1">
      <alignment horizontal="centerContinuous"/>
      <protection/>
    </xf>
    <xf numFmtId="0" fontId="16" fillId="0" borderId="0" xfId="72" applyFont="1" applyBorder="1">
      <alignment/>
      <protection/>
    </xf>
    <xf numFmtId="0" fontId="19" fillId="0" borderId="0" xfId="72" applyFont="1">
      <alignment/>
      <protection/>
    </xf>
    <xf numFmtId="0" fontId="3" fillId="0" borderId="0" xfId="72" applyAlignment="1">
      <alignment horizontal="centerContinuous"/>
      <protection/>
    </xf>
    <xf numFmtId="0" fontId="20" fillId="0" borderId="0" xfId="72" applyFont="1" applyAlignment="1">
      <alignment horizontal="centerContinuous"/>
      <protection/>
    </xf>
    <xf numFmtId="0" fontId="21" fillId="0" borderId="0" xfId="72" applyFont="1">
      <alignment/>
      <protection/>
    </xf>
    <xf numFmtId="0" fontId="22" fillId="0" borderId="0" xfId="72" applyFont="1" applyBorder="1">
      <alignment/>
      <protection/>
    </xf>
    <xf numFmtId="0" fontId="21" fillId="0" borderId="0" xfId="72" applyFont="1" applyBorder="1">
      <alignment/>
      <protection/>
    </xf>
    <xf numFmtId="0" fontId="21" fillId="0" borderId="11" xfId="72" applyFont="1" applyBorder="1">
      <alignment/>
      <protection/>
    </xf>
    <xf numFmtId="0" fontId="21" fillId="0" borderId="12" xfId="72" applyFont="1" applyBorder="1">
      <alignment/>
      <protection/>
    </xf>
    <xf numFmtId="182" fontId="21" fillId="0" borderId="12" xfId="72" applyNumberFormat="1" applyFont="1" applyBorder="1">
      <alignment/>
      <protection/>
    </xf>
    <xf numFmtId="0" fontId="21" fillId="0" borderId="13" xfId="72" applyFont="1" applyBorder="1">
      <alignment/>
      <protection/>
    </xf>
    <xf numFmtId="0" fontId="23" fillId="0" borderId="0" xfId="72" applyFont="1">
      <alignment/>
      <protection/>
    </xf>
    <xf numFmtId="0" fontId="24" fillId="0" borderId="14" xfId="72" applyFont="1" applyBorder="1" applyAlignment="1">
      <alignment horizontal="centerContinuous"/>
      <protection/>
    </xf>
    <xf numFmtId="0" fontId="3" fillId="0" borderId="0" xfId="72" applyNumberFormat="1" applyAlignment="1">
      <alignment horizontal="centerContinuous"/>
      <protection/>
    </xf>
    <xf numFmtId="0" fontId="23" fillId="0" borderId="0" xfId="72" applyNumberFormat="1" applyFont="1" applyAlignment="1">
      <alignment horizontal="centerContinuous"/>
      <protection/>
    </xf>
    <xf numFmtId="182" fontId="24" fillId="0" borderId="0" xfId="72" applyNumberFormat="1" applyFont="1" applyBorder="1" applyAlignment="1">
      <alignment horizontal="centerContinuous"/>
      <protection/>
    </xf>
    <xf numFmtId="0" fontId="24" fillId="0" borderId="0" xfId="72" applyFont="1" applyBorder="1" applyAlignment="1">
      <alignment horizontal="centerContinuous"/>
      <protection/>
    </xf>
    <xf numFmtId="0" fontId="23" fillId="0" borderId="0" xfId="72" applyFont="1" applyBorder="1" applyAlignment="1">
      <alignment horizontal="centerContinuous"/>
      <protection/>
    </xf>
    <xf numFmtId="0" fontId="23" fillId="0" borderId="15" xfId="72" applyFont="1" applyBorder="1" applyAlignment="1">
      <alignment horizontal="centerContinuous"/>
      <protection/>
    </xf>
    <xf numFmtId="0" fontId="23" fillId="0" borderId="0" xfId="72" applyFont="1" applyBorder="1">
      <alignment/>
      <protection/>
    </xf>
    <xf numFmtId="0" fontId="23" fillId="0" borderId="14" xfId="72" applyFont="1" applyBorder="1">
      <alignment/>
      <protection/>
    </xf>
    <xf numFmtId="0" fontId="10" fillId="0" borderId="0" xfId="72" applyNumberFormat="1" applyFont="1" applyBorder="1" applyAlignment="1">
      <alignment horizontal="right"/>
      <protection/>
    </xf>
    <xf numFmtId="181" fontId="10" fillId="0" borderId="0" xfId="72" applyNumberFormat="1" applyFont="1" applyBorder="1" applyAlignment="1">
      <alignment horizontal="right"/>
      <protection/>
    </xf>
    <xf numFmtId="182" fontId="23" fillId="0" borderId="0" xfId="72" applyNumberFormat="1" applyFont="1" applyBorder="1">
      <alignment/>
      <protection/>
    </xf>
    <xf numFmtId="0" fontId="24" fillId="0" borderId="0" xfId="72" applyFont="1" applyBorder="1">
      <alignment/>
      <protection/>
    </xf>
    <xf numFmtId="0" fontId="23" fillId="0" borderId="15" xfId="72" applyFont="1" applyBorder="1">
      <alignment/>
      <protection/>
    </xf>
    <xf numFmtId="0" fontId="10" fillId="0" borderId="0" xfId="72" applyNumberFormat="1" applyFont="1" applyBorder="1" applyAlignment="1">
      <alignment horizontal="right"/>
      <protection/>
    </xf>
    <xf numFmtId="7" fontId="10" fillId="0" borderId="0" xfId="72" applyNumberFormat="1" applyFont="1" applyBorder="1" applyAlignment="1">
      <alignment horizontal="right"/>
      <protection/>
    </xf>
    <xf numFmtId="182" fontId="10" fillId="0" borderId="0" xfId="72" applyNumberFormat="1" applyFont="1" applyBorder="1">
      <alignment/>
      <protection/>
    </xf>
    <xf numFmtId="182" fontId="10" fillId="0" borderId="0" xfId="72" applyNumberFormat="1" applyFont="1" applyBorder="1">
      <alignment/>
      <protection/>
    </xf>
    <xf numFmtId="0" fontId="24" fillId="0" borderId="0" xfId="72" applyFont="1" applyBorder="1">
      <alignment/>
      <protection/>
    </xf>
    <xf numFmtId="7" fontId="10" fillId="0" borderId="0" xfId="72" applyNumberFormat="1" applyFont="1" applyBorder="1" applyAlignment="1">
      <alignment horizontal="right"/>
      <protection/>
    </xf>
    <xf numFmtId="0" fontId="13" fillId="0" borderId="14" xfId="72" applyFont="1" applyBorder="1">
      <alignment/>
      <protection/>
    </xf>
    <xf numFmtId="0" fontId="5" fillId="0" borderId="0" xfId="72" applyNumberFormat="1" applyFont="1" applyBorder="1" applyAlignment="1">
      <alignment horizontal="right"/>
      <protection/>
    </xf>
    <xf numFmtId="182" fontId="13" fillId="0" borderId="0" xfId="72" applyNumberFormat="1" applyFont="1" applyBorder="1">
      <alignment/>
      <protection/>
    </xf>
    <xf numFmtId="0" fontId="25" fillId="0" borderId="0" xfId="72" applyFont="1" applyBorder="1">
      <alignment/>
      <protection/>
    </xf>
    <xf numFmtId="7" fontId="5" fillId="0" borderId="0" xfId="72" applyNumberFormat="1" applyFont="1" applyBorder="1" applyAlignment="1">
      <alignment horizontal="right"/>
      <protection/>
    </xf>
    <xf numFmtId="0" fontId="13" fillId="0" borderId="15" xfId="72" applyFont="1" applyBorder="1">
      <alignment/>
      <protection/>
    </xf>
    <xf numFmtId="181" fontId="10" fillId="0" borderId="0" xfId="72" applyNumberFormat="1" applyFont="1" applyBorder="1" applyAlignment="1">
      <alignment horizontal="left"/>
      <protection/>
    </xf>
    <xf numFmtId="182" fontId="23" fillId="0" borderId="0" xfId="72" applyNumberFormat="1" applyFont="1" applyBorder="1">
      <alignment/>
      <protection/>
    </xf>
    <xf numFmtId="182" fontId="10" fillId="0" borderId="0" xfId="72" applyNumberFormat="1" applyFont="1" applyBorder="1" applyAlignment="1">
      <alignment horizontal="right"/>
      <protection/>
    </xf>
    <xf numFmtId="0" fontId="10" fillId="0" borderId="0" xfId="72" applyFont="1" applyBorder="1">
      <alignment/>
      <protection/>
    </xf>
    <xf numFmtId="182" fontId="10" fillId="0" borderId="0" xfId="72" applyNumberFormat="1" applyFont="1" applyBorder="1" applyAlignment="1">
      <alignment horizontal="right"/>
      <protection/>
    </xf>
    <xf numFmtId="182" fontId="13" fillId="0" borderId="0" xfId="72" applyNumberFormat="1" applyFont="1" applyBorder="1">
      <alignment/>
      <protection/>
    </xf>
    <xf numFmtId="0" fontId="25" fillId="0" borderId="0" xfId="72" applyFont="1" applyBorder="1">
      <alignment/>
      <protection/>
    </xf>
    <xf numFmtId="7" fontId="5" fillId="0" borderId="0" xfId="72" applyNumberFormat="1" applyFont="1" applyBorder="1" applyAlignment="1">
      <alignment horizontal="right"/>
      <protection/>
    </xf>
    <xf numFmtId="0" fontId="26" fillId="0" borderId="0" xfId="72" applyFont="1" applyBorder="1">
      <alignment/>
      <protection/>
    </xf>
    <xf numFmtId="0" fontId="10" fillId="0" borderId="16" xfId="72" applyFont="1" applyBorder="1" applyAlignment="1">
      <alignment horizontal="center"/>
      <protection/>
    </xf>
    <xf numFmtId="7" fontId="10" fillId="0" borderId="17" xfId="72" applyNumberFormat="1" applyFont="1" applyBorder="1" applyAlignment="1">
      <alignment horizontal="center"/>
      <protection/>
    </xf>
    <xf numFmtId="7" fontId="10" fillId="0" borderId="0" xfId="72" applyNumberFormat="1" applyFont="1" applyBorder="1" applyAlignment="1">
      <alignment horizontal="center"/>
      <protection/>
    </xf>
    <xf numFmtId="0" fontId="10" fillId="0" borderId="0" xfId="72" applyFont="1" applyBorder="1" applyAlignment="1">
      <alignment horizontal="center"/>
      <protection/>
    </xf>
    <xf numFmtId="0" fontId="28" fillId="0" borderId="0" xfId="72" applyFont="1">
      <alignment/>
      <protection/>
    </xf>
    <xf numFmtId="0" fontId="21" fillId="0" borderId="18" xfId="72" applyFont="1" applyBorder="1">
      <alignment/>
      <protection/>
    </xf>
    <xf numFmtId="0" fontId="21" fillId="0" borderId="19" xfId="72" applyNumberFormat="1" applyFont="1" applyBorder="1">
      <alignment/>
      <protection/>
    </xf>
    <xf numFmtId="0" fontId="21" fillId="0" borderId="19" xfId="72" applyFont="1" applyBorder="1">
      <alignment/>
      <protection/>
    </xf>
    <xf numFmtId="0" fontId="21" fillId="0" borderId="20" xfId="72" applyFont="1" applyBorder="1">
      <alignment/>
      <protection/>
    </xf>
    <xf numFmtId="0" fontId="21" fillId="0" borderId="0" xfId="72" applyFont="1" applyFill="1" applyBorder="1">
      <alignment/>
      <protection/>
    </xf>
    <xf numFmtId="4" fontId="21" fillId="0" borderId="0" xfId="72" applyNumberFormat="1" applyFont="1" applyFill="1" applyBorder="1">
      <alignment/>
      <protection/>
    </xf>
    <xf numFmtId="7" fontId="21" fillId="0" borderId="0" xfId="72" applyNumberFormat="1" applyFont="1" applyBorder="1">
      <alignment/>
      <protection/>
    </xf>
    <xf numFmtId="168" fontId="21" fillId="0" borderId="0" xfId="72" applyNumberFormat="1" applyFont="1" applyBorder="1" applyAlignment="1">
      <alignment horizontal="center"/>
      <protection/>
    </xf>
    <xf numFmtId="0" fontId="13" fillId="0" borderId="0" xfId="72" applyFont="1" applyFill="1" applyBorder="1">
      <alignment/>
      <protection/>
    </xf>
    <xf numFmtId="4" fontId="13" fillId="0" borderId="0" xfId="72" applyNumberFormat="1" applyFont="1" applyFill="1" applyBorder="1">
      <alignment/>
      <protection/>
    </xf>
    <xf numFmtId="0" fontId="13" fillId="0" borderId="0" xfId="72" applyFont="1" applyBorder="1" applyAlignment="1">
      <alignment horizontal="center"/>
      <protection/>
    </xf>
    <xf numFmtId="4" fontId="13" fillId="0" borderId="0" xfId="72" applyNumberFormat="1" applyFont="1" applyBorder="1">
      <alignment/>
      <protection/>
    </xf>
    <xf numFmtId="4" fontId="5" fillId="0" borderId="0" xfId="72" applyNumberFormat="1" applyFont="1" applyBorder="1" applyAlignment="1">
      <alignment horizontal="center"/>
      <protection/>
    </xf>
    <xf numFmtId="0" fontId="8" fillId="0" borderId="0" xfId="72" applyFont="1" applyFill="1">
      <alignment/>
      <protection/>
    </xf>
    <xf numFmtId="0" fontId="13" fillId="0" borderId="0" xfId="72" applyFont="1" applyFill="1">
      <alignment/>
      <protection/>
    </xf>
    <xf numFmtId="0" fontId="14" fillId="0" borderId="0" xfId="72" applyFont="1" applyAlignment="1">
      <alignment horizontal="centerContinuous"/>
      <protection/>
    </xf>
    <xf numFmtId="0" fontId="13" fillId="0" borderId="11" xfId="72" applyFont="1" applyBorder="1">
      <alignment/>
      <protection/>
    </xf>
    <xf numFmtId="0" fontId="13" fillId="0" borderId="12" xfId="72" applyFont="1" applyBorder="1">
      <alignment/>
      <protection/>
    </xf>
    <xf numFmtId="0" fontId="13" fillId="0" borderId="12" xfId="72" applyFont="1" applyBorder="1" applyAlignment="1" applyProtection="1">
      <alignment horizontal="left"/>
      <protection/>
    </xf>
    <xf numFmtId="0" fontId="13" fillId="0" borderId="13" xfId="72" applyFont="1" applyFill="1" applyBorder="1">
      <alignment/>
      <protection/>
    </xf>
    <xf numFmtId="0" fontId="16" fillId="0" borderId="14" xfId="72" applyFont="1" applyBorder="1">
      <alignment/>
      <protection/>
    </xf>
    <xf numFmtId="0" fontId="20" fillId="0" borderId="0" xfId="72" applyFont="1" applyBorder="1" applyAlignment="1">
      <alignment horizontal="left"/>
      <protection/>
    </xf>
    <xf numFmtId="0" fontId="20" fillId="0" borderId="0" xfId="72" applyFont="1" applyBorder="1">
      <alignment/>
      <protection/>
    </xf>
    <xf numFmtId="0" fontId="16" fillId="0" borderId="15" xfId="72" applyFont="1" applyFill="1" applyBorder="1">
      <alignment/>
      <protection/>
    </xf>
    <xf numFmtId="0" fontId="13" fillId="0" borderId="15" xfId="72" applyFont="1" applyFill="1" applyBorder="1">
      <alignment/>
      <protection/>
    </xf>
    <xf numFmtId="0" fontId="13" fillId="0" borderId="0" xfId="72" applyFont="1" applyBorder="1" applyProtection="1">
      <alignment/>
      <protection/>
    </xf>
    <xf numFmtId="0" fontId="24" fillId="0" borderId="0" xfId="72" applyFont="1" applyAlignment="1">
      <alignment horizontal="centerContinuous"/>
      <protection/>
    </xf>
    <xf numFmtId="0" fontId="24" fillId="0" borderId="15" xfId="72" applyFont="1" applyFill="1" applyBorder="1" applyAlignment="1">
      <alignment horizontal="centerContinuous"/>
      <protection/>
    </xf>
    <xf numFmtId="0" fontId="25" fillId="0" borderId="0" xfId="72" applyFont="1" applyBorder="1" applyAlignment="1">
      <alignment horizontal="left"/>
      <protection/>
    </xf>
    <xf numFmtId="0" fontId="3" fillId="0" borderId="16" xfId="72" applyFont="1" applyBorder="1" applyAlignment="1" applyProtection="1">
      <alignment horizontal="center"/>
      <protection/>
    </xf>
    <xf numFmtId="174" fontId="0" fillId="0" borderId="16" xfId="72" applyNumberFormat="1" applyFont="1" applyBorder="1" applyAlignment="1">
      <alignment horizontal="centerContinuous"/>
      <protection/>
    </xf>
    <xf numFmtId="0" fontId="3" fillId="0" borderId="17" xfId="72" applyBorder="1" applyAlignment="1">
      <alignment horizontal="centerContinuous"/>
      <protection/>
    </xf>
    <xf numFmtId="0" fontId="3" fillId="0" borderId="0" xfId="72" applyFont="1" applyBorder="1" applyAlignment="1" applyProtection="1">
      <alignment horizontal="center"/>
      <protection/>
    </xf>
    <xf numFmtId="174" fontId="3" fillId="0" borderId="0" xfId="72" applyNumberFormat="1" applyFont="1" applyBorder="1" applyAlignment="1">
      <alignment horizontal="centerContinuous"/>
      <protection/>
    </xf>
    <xf numFmtId="22" fontId="13" fillId="0" borderId="0" xfId="72" applyNumberFormat="1" applyFont="1" applyBorder="1">
      <alignment/>
      <protection/>
    </xf>
    <xf numFmtId="0" fontId="29" fillId="0" borderId="0" xfId="72" applyFont="1" applyBorder="1">
      <alignment/>
      <protection/>
    </xf>
    <xf numFmtId="0" fontId="30" fillId="0" borderId="21" xfId="72" applyFont="1" applyBorder="1" applyAlignment="1">
      <alignment horizontal="center" vertical="center"/>
      <protection/>
    </xf>
    <xf numFmtId="0" fontId="30" fillId="0" borderId="21" xfId="72" applyFont="1" applyBorder="1" applyAlignment="1" applyProtection="1">
      <alignment horizontal="center" vertical="center"/>
      <protection/>
    </xf>
    <xf numFmtId="164" fontId="30" fillId="0" borderId="21" xfId="72" applyNumberFormat="1" applyFont="1" applyBorder="1" applyAlignment="1" applyProtection="1">
      <alignment horizontal="center" vertical="center" wrapText="1"/>
      <protection/>
    </xf>
    <xf numFmtId="0" fontId="30" fillId="0" borderId="21" xfId="72" applyFont="1" applyBorder="1" applyAlignment="1" applyProtection="1">
      <alignment horizontal="center" vertical="center" wrapText="1"/>
      <protection/>
    </xf>
    <xf numFmtId="168" fontId="30" fillId="0" borderId="21" xfId="72" applyNumberFormat="1" applyFont="1" applyBorder="1" applyAlignment="1" applyProtection="1">
      <alignment horizontal="center" vertical="center"/>
      <protection/>
    </xf>
    <xf numFmtId="168" fontId="31" fillId="33" borderId="21" xfId="72" applyNumberFormat="1" applyFont="1" applyFill="1" applyBorder="1" applyAlignment="1" applyProtection="1">
      <alignment horizontal="center" vertical="center"/>
      <protection/>
    </xf>
    <xf numFmtId="0" fontId="32" fillId="34" borderId="21" xfId="72" applyFont="1" applyFill="1" applyBorder="1" applyAlignment="1" applyProtection="1">
      <alignment horizontal="center" vertical="center"/>
      <protection/>
    </xf>
    <xf numFmtId="0" fontId="30" fillId="0" borderId="16" xfId="72" applyFont="1" applyBorder="1" applyAlignment="1" applyProtection="1">
      <alignment horizontal="center" vertical="center"/>
      <protection/>
    </xf>
    <xf numFmtId="0" fontId="30" fillId="0" borderId="16" xfId="72" applyFont="1" applyBorder="1" applyAlignment="1" applyProtection="1">
      <alignment horizontal="center" vertical="center" wrapText="1"/>
      <protection/>
    </xf>
    <xf numFmtId="0" fontId="34" fillId="35" borderId="21" xfId="72" applyFont="1" applyFill="1" applyBorder="1" applyAlignment="1">
      <alignment horizontal="center" vertical="center" wrapText="1"/>
      <protection/>
    </xf>
    <xf numFmtId="0" fontId="35" fillId="36" borderId="21" xfId="72" applyFont="1" applyFill="1" applyBorder="1" applyAlignment="1">
      <alignment horizontal="center" vertical="center" wrapText="1"/>
      <protection/>
    </xf>
    <xf numFmtId="0" fontId="36" fillId="37" borderId="16" xfId="72" applyFont="1" applyFill="1" applyBorder="1" applyAlignment="1" applyProtection="1">
      <alignment horizontal="centerContinuous" vertical="center" wrapText="1"/>
      <protection/>
    </xf>
    <xf numFmtId="0" fontId="7" fillId="37" borderId="22" xfId="72" applyFont="1" applyFill="1" applyBorder="1" applyAlignment="1">
      <alignment horizontal="centerContinuous"/>
      <protection/>
    </xf>
    <xf numFmtId="0" fontId="36" fillId="37" borderId="17" xfId="72" applyFont="1" applyFill="1" applyBorder="1" applyAlignment="1">
      <alignment horizontal="centerContinuous" vertical="center"/>
      <protection/>
    </xf>
    <xf numFmtId="0" fontId="37" fillId="38" borderId="16" xfId="72" applyFont="1" applyFill="1" applyBorder="1" applyAlignment="1">
      <alignment horizontal="centerContinuous" vertical="center" wrapText="1"/>
      <protection/>
    </xf>
    <xf numFmtId="0" fontId="38" fillId="38" borderId="22" xfId="72" applyFont="1" applyFill="1" applyBorder="1" applyAlignment="1">
      <alignment horizontal="centerContinuous"/>
      <protection/>
    </xf>
    <xf numFmtId="0" fontId="37" fillId="38" borderId="17" xfId="72" applyFont="1" applyFill="1" applyBorder="1" applyAlignment="1">
      <alignment horizontal="centerContinuous" vertical="center"/>
      <protection/>
    </xf>
    <xf numFmtId="0" fontId="39" fillId="39" borderId="21" xfId="72" applyFont="1" applyFill="1" applyBorder="1" applyAlignment="1">
      <alignment horizontal="center" vertical="center" wrapText="1"/>
      <protection/>
    </xf>
    <xf numFmtId="0" fontId="40" fillId="40" borderId="21" xfId="72" applyFont="1" applyFill="1" applyBorder="1" applyAlignment="1">
      <alignment horizontal="center" vertical="center" wrapText="1"/>
      <protection/>
    </xf>
    <xf numFmtId="0" fontId="30" fillId="0" borderId="21" xfId="72" applyFont="1" applyBorder="1" applyAlignment="1">
      <alignment horizontal="center" vertical="center" wrapText="1"/>
      <protection/>
    </xf>
    <xf numFmtId="0" fontId="13" fillId="0" borderId="15" xfId="72" applyFont="1" applyFill="1" applyBorder="1" applyAlignment="1">
      <alignment horizontal="center"/>
      <protection/>
    </xf>
    <xf numFmtId="0" fontId="13" fillId="0" borderId="23" xfId="72" applyFont="1" applyBorder="1">
      <alignment/>
      <protection/>
    </xf>
    <xf numFmtId="0" fontId="13" fillId="0" borderId="23" xfId="72" applyFont="1" applyFill="1" applyBorder="1" applyAlignment="1">
      <alignment horizontal="center"/>
      <protection/>
    </xf>
    <xf numFmtId="170" fontId="13" fillId="0" borderId="23" xfId="72" applyNumberFormat="1" applyFont="1" applyFill="1" applyBorder="1">
      <alignment/>
      <protection/>
    </xf>
    <xf numFmtId="0" fontId="13" fillId="0" borderId="23" xfId="72" applyFont="1" applyFill="1" applyBorder="1">
      <alignment/>
      <protection/>
    </xf>
    <xf numFmtId="0" fontId="41" fillId="0" borderId="23" xfId="72" applyFont="1" applyFill="1" applyBorder="1">
      <alignment/>
      <protection/>
    </xf>
    <xf numFmtId="0" fontId="42" fillId="0" borderId="23" xfId="72" applyFont="1" applyFill="1" applyBorder="1">
      <alignment/>
      <protection/>
    </xf>
    <xf numFmtId="22" fontId="13" fillId="0" borderId="23" xfId="72" applyNumberFormat="1" applyFont="1" applyFill="1" applyBorder="1">
      <alignment/>
      <protection/>
    </xf>
    <xf numFmtId="0" fontId="43" fillId="0" borderId="23" xfId="72" applyFont="1" applyFill="1" applyBorder="1">
      <alignment/>
      <protection/>
    </xf>
    <xf numFmtId="0" fontId="44" fillId="0" borderId="23" xfId="72" applyFont="1" applyFill="1" applyBorder="1">
      <alignment/>
      <protection/>
    </xf>
    <xf numFmtId="0" fontId="13" fillId="0" borderId="24" xfId="72" applyFont="1" applyFill="1" applyBorder="1">
      <alignment/>
      <protection/>
    </xf>
    <xf numFmtId="0" fontId="13" fillId="0" borderId="25" xfId="72" applyFont="1" applyFill="1" applyBorder="1">
      <alignment/>
      <protection/>
    </xf>
    <xf numFmtId="0" fontId="13" fillId="0" borderId="26" xfId="72" applyFont="1" applyFill="1" applyBorder="1">
      <alignment/>
      <protection/>
    </xf>
    <xf numFmtId="0" fontId="45" fillId="0" borderId="24" xfId="72" applyFont="1" applyFill="1" applyBorder="1">
      <alignment/>
      <protection/>
    </xf>
    <xf numFmtId="0" fontId="45" fillId="0" borderId="25" xfId="72" applyFont="1" applyFill="1" applyBorder="1">
      <alignment/>
      <protection/>
    </xf>
    <xf numFmtId="0" fontId="45" fillId="0" borderId="26" xfId="72" applyFont="1" applyFill="1" applyBorder="1">
      <alignment/>
      <protection/>
    </xf>
    <xf numFmtId="0" fontId="46" fillId="0" borderId="23" xfId="72" applyFont="1" applyFill="1" applyBorder="1">
      <alignment/>
      <protection/>
    </xf>
    <xf numFmtId="0" fontId="47" fillId="0" borderId="23" xfId="72" applyFont="1" applyFill="1" applyBorder="1">
      <alignment/>
      <protection/>
    </xf>
    <xf numFmtId="7" fontId="48" fillId="0" borderId="23" xfId="72" applyNumberFormat="1" applyFont="1" applyBorder="1" applyAlignment="1">
      <alignment/>
      <protection/>
    </xf>
    <xf numFmtId="0" fontId="13" fillId="0" borderId="27" xfId="72" applyFont="1" applyFill="1" applyBorder="1" applyAlignment="1">
      <alignment horizontal="center"/>
      <protection/>
    </xf>
    <xf numFmtId="0" fontId="13" fillId="0" borderId="28" xfId="72" applyFont="1" applyBorder="1">
      <alignment/>
      <protection/>
    </xf>
    <xf numFmtId="0" fontId="13" fillId="0" borderId="28" xfId="72" applyFont="1" applyBorder="1" applyAlignment="1">
      <alignment horizontal="center"/>
      <protection/>
    </xf>
    <xf numFmtId="170" fontId="13" fillId="0" borderId="28" xfId="72" applyNumberFormat="1" applyFont="1" applyBorder="1">
      <alignment/>
      <protection/>
    </xf>
    <xf numFmtId="0" fontId="41" fillId="33" borderId="28" xfId="72" applyFont="1" applyFill="1" applyBorder="1">
      <alignment/>
      <protection/>
    </xf>
    <xf numFmtId="0" fontId="42" fillId="34" borderId="28" xfId="72" applyFont="1" applyFill="1" applyBorder="1">
      <alignment/>
      <protection/>
    </xf>
    <xf numFmtId="22" fontId="13" fillId="0" borderId="29" xfId="72" applyNumberFormat="1" applyFont="1" applyBorder="1" applyAlignment="1">
      <alignment horizontal="center"/>
      <protection/>
    </xf>
    <xf numFmtId="0" fontId="13" fillId="0" borderId="29" xfId="72" applyFont="1" applyBorder="1">
      <alignment/>
      <protection/>
    </xf>
    <xf numFmtId="0" fontId="43" fillId="35" borderId="28" xfId="72" applyFont="1" applyFill="1" applyBorder="1">
      <alignment/>
      <protection/>
    </xf>
    <xf numFmtId="0" fontId="44" fillId="36" borderId="29" xfId="72" applyFont="1" applyFill="1" applyBorder="1">
      <alignment/>
      <protection/>
    </xf>
    <xf numFmtId="168" fontId="49" fillId="37" borderId="30" xfId="72" applyNumberFormat="1" applyFont="1" applyFill="1" applyBorder="1" applyAlignment="1" applyProtection="1" quotePrefix="1">
      <alignment horizontal="center"/>
      <protection/>
    </xf>
    <xf numFmtId="168" fontId="49" fillId="37" borderId="31" xfId="72" applyNumberFormat="1" applyFont="1" applyFill="1" applyBorder="1" applyAlignment="1" applyProtection="1" quotePrefix="1">
      <alignment horizontal="center"/>
      <protection/>
    </xf>
    <xf numFmtId="4" fontId="49" fillId="37" borderId="29" xfId="72" applyNumberFormat="1" applyFont="1" applyFill="1" applyBorder="1" applyAlignment="1" applyProtection="1">
      <alignment horizontal="center"/>
      <protection/>
    </xf>
    <xf numFmtId="168" fontId="45" fillId="38" borderId="30" xfId="72" applyNumberFormat="1" applyFont="1" applyFill="1" applyBorder="1" applyAlignment="1" applyProtection="1" quotePrefix="1">
      <alignment horizontal="center"/>
      <protection/>
    </xf>
    <xf numFmtId="168" fontId="45" fillId="38" borderId="31" xfId="72" applyNumberFormat="1" applyFont="1" applyFill="1" applyBorder="1" applyAlignment="1" applyProtection="1" quotePrefix="1">
      <alignment horizontal="center"/>
      <protection/>
    </xf>
    <xf numFmtId="4" fontId="45" fillId="38" borderId="29" xfId="72" applyNumberFormat="1" applyFont="1" applyFill="1" applyBorder="1" applyAlignment="1" applyProtection="1">
      <alignment horizontal="center"/>
      <protection/>
    </xf>
    <xf numFmtId="4" fontId="46" fillId="39" borderId="28" xfId="72" applyNumberFormat="1" applyFont="1" applyFill="1" applyBorder="1" applyAlignment="1" applyProtection="1">
      <alignment horizontal="center"/>
      <protection/>
    </xf>
    <xf numFmtId="4" fontId="47" fillId="40" borderId="28" xfId="72" applyNumberFormat="1" applyFont="1" applyFill="1" applyBorder="1" applyAlignment="1" applyProtection="1">
      <alignment horizontal="center"/>
      <protection/>
    </xf>
    <xf numFmtId="0" fontId="48" fillId="0" borderId="29" xfId="72" applyFont="1" applyBorder="1">
      <alignment/>
      <protection/>
    </xf>
    <xf numFmtId="0" fontId="13" fillId="0" borderId="28" xfId="72" applyFont="1" applyFill="1" applyBorder="1" applyAlignment="1" applyProtection="1">
      <alignment horizontal="center"/>
      <protection locked="0"/>
    </xf>
    <xf numFmtId="164" fontId="13" fillId="0" borderId="28" xfId="72" applyNumberFormat="1" applyFont="1" applyFill="1" applyBorder="1" applyAlignment="1" applyProtection="1">
      <alignment horizontal="center"/>
      <protection locked="0"/>
    </xf>
    <xf numFmtId="170" fontId="13" fillId="0" borderId="28" xfId="72" applyNumberFormat="1" applyFont="1" applyFill="1" applyBorder="1" applyAlignment="1" applyProtection="1">
      <alignment horizontal="center"/>
      <protection locked="0"/>
    </xf>
    <xf numFmtId="0" fontId="41" fillId="33" borderId="28" xfId="72" applyFont="1" applyFill="1" applyBorder="1" applyAlignment="1" applyProtection="1">
      <alignment horizontal="center"/>
      <protection/>
    </xf>
    <xf numFmtId="174" fontId="42" fillId="34" borderId="28" xfId="72" applyNumberFormat="1" applyFont="1" applyFill="1" applyBorder="1" applyAlignment="1" applyProtection="1">
      <alignment horizontal="center"/>
      <protection/>
    </xf>
    <xf numFmtId="22" fontId="13" fillId="0" borderId="29" xfId="72" applyNumberFormat="1" applyFont="1" applyFill="1" applyBorder="1" applyAlignment="1" applyProtection="1">
      <alignment horizontal="center"/>
      <protection locked="0"/>
    </xf>
    <xf numFmtId="22" fontId="13" fillId="0" borderId="32" xfId="72" applyNumberFormat="1" applyFont="1" applyFill="1" applyBorder="1" applyAlignment="1" applyProtection="1">
      <alignment horizontal="center"/>
      <protection locked="0"/>
    </xf>
    <xf numFmtId="4" fontId="13" fillId="41" borderId="28" xfId="72" applyNumberFormat="1" applyFont="1" applyFill="1" applyBorder="1" applyAlignment="1" applyProtection="1" quotePrefix="1">
      <alignment horizontal="center"/>
      <protection/>
    </xf>
    <xf numFmtId="164" fontId="13" fillId="41" borderId="28" xfId="72" applyNumberFormat="1" applyFont="1" applyFill="1" applyBorder="1" applyAlignment="1" applyProtection="1" quotePrefix="1">
      <alignment horizontal="center"/>
      <protection/>
    </xf>
    <xf numFmtId="168" fontId="13" fillId="0" borderId="29" xfId="72" applyNumberFormat="1" applyFont="1" applyBorder="1" applyAlignment="1" applyProtection="1">
      <alignment horizontal="center"/>
      <protection locked="0"/>
    </xf>
    <xf numFmtId="173" fontId="13" fillId="0" borderId="28" xfId="72" applyNumberFormat="1" applyFont="1" applyBorder="1" applyAlignment="1" applyProtection="1" quotePrefix="1">
      <alignment horizontal="center"/>
      <protection/>
    </xf>
    <xf numFmtId="168" fontId="13" fillId="0" borderId="28" xfId="72" applyNumberFormat="1" applyFont="1" applyBorder="1" applyAlignment="1" applyProtection="1">
      <alignment horizontal="center"/>
      <protection/>
    </xf>
    <xf numFmtId="2" fontId="50" fillId="35" borderId="28" xfId="72" applyNumberFormat="1" applyFont="1" applyFill="1" applyBorder="1" applyAlignment="1" applyProtection="1">
      <alignment horizontal="center"/>
      <protection locked="0"/>
    </xf>
    <xf numFmtId="2" fontId="51" fillId="36" borderId="29" xfId="72" applyNumberFormat="1" applyFont="1" applyFill="1" applyBorder="1" applyAlignment="1" applyProtection="1">
      <alignment horizontal="center"/>
      <protection locked="0"/>
    </xf>
    <xf numFmtId="168" fontId="52" fillId="37" borderId="30" xfId="72" applyNumberFormat="1" applyFont="1" applyFill="1" applyBorder="1" applyAlignment="1" applyProtection="1" quotePrefix="1">
      <alignment horizontal="center"/>
      <protection locked="0"/>
    </xf>
    <xf numFmtId="168" fontId="52" fillId="37" borderId="31" xfId="72" applyNumberFormat="1" applyFont="1" applyFill="1" applyBorder="1" applyAlignment="1" applyProtection="1" quotePrefix="1">
      <alignment horizontal="center"/>
      <protection locked="0"/>
    </xf>
    <xf numFmtId="4" fontId="52" fillId="37" borderId="29" xfId="72" applyNumberFormat="1" applyFont="1" applyFill="1" applyBorder="1" applyAlignment="1" applyProtection="1">
      <alignment horizontal="center"/>
      <protection locked="0"/>
    </xf>
    <xf numFmtId="168" fontId="53" fillId="38" borderId="30" xfId="72" applyNumberFormat="1" applyFont="1" applyFill="1" applyBorder="1" applyAlignment="1" applyProtection="1" quotePrefix="1">
      <alignment horizontal="center"/>
      <protection locked="0"/>
    </xf>
    <xf numFmtId="168" fontId="53" fillId="38" borderId="31" xfId="72" applyNumberFormat="1" applyFont="1" applyFill="1" applyBorder="1" applyAlignment="1" applyProtection="1" quotePrefix="1">
      <alignment horizontal="center"/>
      <protection locked="0"/>
    </xf>
    <xf numFmtId="4" fontId="53" fillId="38" borderId="29" xfId="72" applyNumberFormat="1" applyFont="1" applyFill="1" applyBorder="1" applyAlignment="1" applyProtection="1">
      <alignment horizontal="center"/>
      <protection locked="0"/>
    </xf>
    <xf numFmtId="4" fontId="54" fillId="39" borderId="28" xfId="72" applyNumberFormat="1" applyFont="1" applyFill="1" applyBorder="1" applyAlignment="1" applyProtection="1">
      <alignment horizontal="center"/>
      <protection locked="0"/>
    </xf>
    <xf numFmtId="4" fontId="55" fillId="40" borderId="28" xfId="72" applyNumberFormat="1" applyFont="1" applyFill="1" applyBorder="1" applyAlignment="1" applyProtection="1">
      <alignment horizontal="center"/>
      <protection locked="0"/>
    </xf>
    <xf numFmtId="4" fontId="49" fillId="0" borderId="28" xfId="72" applyNumberFormat="1" applyFont="1" applyBorder="1" applyAlignment="1" applyProtection="1">
      <alignment horizontal="center"/>
      <protection/>
    </xf>
    <xf numFmtId="4" fontId="48" fillId="0" borderId="29" xfId="72" applyNumberFormat="1" applyFont="1" applyFill="1" applyBorder="1" applyAlignment="1">
      <alignment horizontal="right"/>
      <protection/>
    </xf>
    <xf numFmtId="2" fontId="13" fillId="0" borderId="15" xfId="72" applyNumberFormat="1" applyFont="1" applyFill="1" applyBorder="1" applyAlignment="1">
      <alignment horizontal="center"/>
      <protection/>
    </xf>
    <xf numFmtId="0" fontId="13" fillId="0" borderId="28" xfId="69" applyFont="1" applyFill="1" applyBorder="1" applyAlignment="1" applyProtection="1">
      <alignment horizontal="center"/>
      <protection locked="0"/>
    </xf>
    <xf numFmtId="164" fontId="13" fillId="0" borderId="28" xfId="69" applyNumberFormat="1" applyFont="1" applyFill="1" applyBorder="1" applyAlignment="1" applyProtection="1">
      <alignment horizontal="center"/>
      <protection locked="0"/>
    </xf>
    <xf numFmtId="170" fontId="13" fillId="0" borderId="28" xfId="69" applyNumberFormat="1" applyFont="1" applyFill="1" applyBorder="1" applyAlignment="1" applyProtection="1">
      <alignment horizontal="center"/>
      <protection locked="0"/>
    </xf>
    <xf numFmtId="22" fontId="13" fillId="0" borderId="29" xfId="69" applyNumberFormat="1" applyFont="1" applyFill="1" applyBorder="1" applyAlignment="1" applyProtection="1">
      <alignment horizontal="center"/>
      <protection locked="0"/>
    </xf>
    <xf numFmtId="22" fontId="13" fillId="0" borderId="33" xfId="69" applyNumberFormat="1" applyFont="1" applyFill="1" applyBorder="1" applyAlignment="1" applyProtection="1">
      <alignment horizontal="center"/>
      <protection locked="0"/>
    </xf>
    <xf numFmtId="0" fontId="13" fillId="0" borderId="28" xfId="72" applyFont="1" applyBorder="1" applyAlignment="1" applyProtection="1">
      <alignment horizontal="center"/>
      <protection locked="0"/>
    </xf>
    <xf numFmtId="164" fontId="13" fillId="0" borderId="28" xfId="72" applyNumberFormat="1" applyFont="1" applyBorder="1" applyAlignment="1" applyProtection="1">
      <alignment horizontal="center"/>
      <protection locked="0"/>
    </xf>
    <xf numFmtId="170" fontId="13" fillId="0" borderId="28" xfId="72" applyNumberFormat="1" applyFont="1" applyBorder="1" applyAlignment="1" applyProtection="1">
      <alignment horizontal="center"/>
      <protection locked="0"/>
    </xf>
    <xf numFmtId="22" fontId="13" fillId="0" borderId="29" xfId="72" applyNumberFormat="1" applyFont="1" applyBorder="1" applyAlignment="1" applyProtection="1">
      <alignment horizontal="center"/>
      <protection locked="0"/>
    </xf>
    <xf numFmtId="22" fontId="13" fillId="0" borderId="32" xfId="72" applyNumberFormat="1" applyFont="1" applyBorder="1" applyAlignment="1" applyProtection="1">
      <alignment horizontal="center"/>
      <protection locked="0"/>
    </xf>
    <xf numFmtId="22" fontId="13" fillId="0" borderId="33" xfId="72" applyNumberFormat="1" applyFont="1" applyBorder="1" applyAlignment="1" applyProtection="1">
      <alignment horizontal="center"/>
      <protection locked="0"/>
    </xf>
    <xf numFmtId="0" fontId="13" fillId="0" borderId="34" xfId="72" applyFont="1" applyFill="1" applyBorder="1" applyAlignment="1" applyProtection="1">
      <alignment horizontal="center"/>
      <protection locked="0"/>
    </xf>
    <xf numFmtId="0" fontId="13" fillId="0" borderId="35" xfId="72" applyFont="1" applyFill="1" applyBorder="1" applyAlignment="1" applyProtection="1">
      <alignment horizontal="center"/>
      <protection locked="0"/>
    </xf>
    <xf numFmtId="0" fontId="13" fillId="0" borderId="36" xfId="72" applyFont="1" applyBorder="1" applyAlignment="1" applyProtection="1">
      <alignment horizontal="center"/>
      <protection locked="0"/>
    </xf>
    <xf numFmtId="164" fontId="49" fillId="0" borderId="36" xfId="72" applyNumberFormat="1" applyFont="1" applyBorder="1" applyAlignment="1" applyProtection="1">
      <alignment horizontal="center"/>
      <protection locked="0"/>
    </xf>
    <xf numFmtId="170" fontId="13" fillId="0" borderId="36" xfId="72" applyNumberFormat="1" applyFont="1" applyBorder="1" applyAlignment="1" applyProtection="1">
      <alignment horizontal="center"/>
      <protection locked="0"/>
    </xf>
    <xf numFmtId="165" fontId="13" fillId="0" borderId="36" xfId="72" applyNumberFormat="1" applyFont="1" applyBorder="1" applyAlignment="1" applyProtection="1">
      <alignment horizontal="center"/>
      <protection locked="0"/>
    </xf>
    <xf numFmtId="0" fontId="41" fillId="33" borderId="36" xfId="72" applyFont="1" applyFill="1" applyBorder="1" applyAlignment="1" applyProtection="1">
      <alignment horizontal="center"/>
      <protection/>
    </xf>
    <xf numFmtId="174" fontId="42" fillId="34" borderId="36" xfId="72" applyNumberFormat="1" applyFont="1" applyFill="1" applyBorder="1" applyAlignment="1" applyProtection="1">
      <alignment horizontal="center"/>
      <protection/>
    </xf>
    <xf numFmtId="22" fontId="13" fillId="0" borderId="36" xfId="72" applyNumberFormat="1" applyFont="1" applyBorder="1" applyAlignment="1" applyProtection="1">
      <alignment horizontal="center"/>
      <protection locked="0"/>
    </xf>
    <xf numFmtId="168" fontId="13" fillId="0" borderId="36" xfId="72" applyNumberFormat="1" applyFont="1" applyBorder="1" applyAlignment="1" applyProtection="1">
      <alignment horizontal="center"/>
      <protection/>
    </xf>
    <xf numFmtId="168" fontId="13" fillId="0" borderId="36" xfId="72" applyNumberFormat="1" applyFont="1" applyBorder="1" applyAlignment="1" applyProtection="1">
      <alignment horizontal="center"/>
      <protection locked="0"/>
    </xf>
    <xf numFmtId="173" fontId="13" fillId="0" borderId="36" xfId="72" applyNumberFormat="1" applyFont="1" applyBorder="1" applyAlignment="1" applyProtection="1" quotePrefix="1">
      <alignment horizontal="center"/>
      <protection locked="0"/>
    </xf>
    <xf numFmtId="2" fontId="43" fillId="35" borderId="36" xfId="72" applyNumberFormat="1" applyFont="1" applyFill="1" applyBorder="1" applyAlignment="1" applyProtection="1">
      <alignment horizontal="center"/>
      <protection locked="0"/>
    </xf>
    <xf numFmtId="2" fontId="51" fillId="36" borderId="36" xfId="72" applyNumberFormat="1" applyFont="1" applyFill="1" applyBorder="1" applyAlignment="1" applyProtection="1">
      <alignment horizontal="center"/>
      <protection locked="0"/>
    </xf>
    <xf numFmtId="168" fontId="52" fillId="37" borderId="37" xfId="72" applyNumberFormat="1" applyFont="1" applyFill="1" applyBorder="1" applyAlignment="1" applyProtection="1" quotePrefix="1">
      <alignment horizontal="center"/>
      <protection locked="0"/>
    </xf>
    <xf numFmtId="168" fontId="52" fillId="37" borderId="38" xfId="72" applyNumberFormat="1" applyFont="1" applyFill="1" applyBorder="1" applyAlignment="1" applyProtection="1" quotePrefix="1">
      <alignment horizontal="center"/>
      <protection locked="0"/>
    </xf>
    <xf numFmtId="4" fontId="52" fillId="37" borderId="39" xfId="72" applyNumberFormat="1" applyFont="1" applyFill="1" applyBorder="1" applyAlignment="1" applyProtection="1">
      <alignment horizontal="center"/>
      <protection locked="0"/>
    </xf>
    <xf numFmtId="168" fontId="53" fillId="38" borderId="37" xfId="72" applyNumberFormat="1" applyFont="1" applyFill="1" applyBorder="1" applyAlignment="1" applyProtection="1" quotePrefix="1">
      <alignment horizontal="center"/>
      <protection locked="0"/>
    </xf>
    <xf numFmtId="168" fontId="53" fillId="38" borderId="38" xfId="72" applyNumberFormat="1" applyFont="1" applyFill="1" applyBorder="1" applyAlignment="1" applyProtection="1" quotePrefix="1">
      <alignment horizontal="center"/>
      <protection locked="0"/>
    </xf>
    <xf numFmtId="4" fontId="53" fillId="38" borderId="39" xfId="72" applyNumberFormat="1" applyFont="1" applyFill="1" applyBorder="1" applyAlignment="1" applyProtection="1">
      <alignment horizontal="center"/>
      <protection locked="0"/>
    </xf>
    <xf numFmtId="4" fontId="54" fillId="39" borderId="36" xfId="72" applyNumberFormat="1" applyFont="1" applyFill="1" applyBorder="1" applyAlignment="1" applyProtection="1">
      <alignment horizontal="center"/>
      <protection locked="0"/>
    </xf>
    <xf numFmtId="4" fontId="55" fillId="40" borderId="36" xfId="72" applyNumberFormat="1" applyFont="1" applyFill="1" applyBorder="1" applyAlignment="1" applyProtection="1">
      <alignment horizontal="center"/>
      <protection locked="0"/>
    </xf>
    <xf numFmtId="4" fontId="49" fillId="0" borderId="36" xfId="72" applyNumberFormat="1" applyFont="1" applyBorder="1" applyAlignment="1" applyProtection="1">
      <alignment horizontal="center"/>
      <protection locked="0"/>
    </xf>
    <xf numFmtId="2" fontId="48" fillId="0" borderId="40" xfId="72" applyNumberFormat="1" applyFont="1" applyFill="1" applyBorder="1" applyAlignment="1">
      <alignment horizontal="right"/>
      <protection/>
    </xf>
    <xf numFmtId="0" fontId="57" fillId="0" borderId="41" xfId="72" applyFont="1" applyBorder="1" applyAlignment="1">
      <alignment horizontal="center"/>
      <protection/>
    </xf>
    <xf numFmtId="0" fontId="58" fillId="0" borderId="0" xfId="72" applyFont="1" applyBorder="1" applyAlignment="1" applyProtection="1">
      <alignment horizontal="left"/>
      <protection/>
    </xf>
    <xf numFmtId="164" fontId="49" fillId="0" borderId="0" xfId="72" applyNumberFormat="1" applyFont="1" applyBorder="1" applyAlignment="1" applyProtection="1">
      <alignment horizontal="center"/>
      <protection/>
    </xf>
    <xf numFmtId="0" fontId="13" fillId="0" borderId="0" xfId="72" applyFont="1" applyBorder="1" applyAlignment="1" applyProtection="1">
      <alignment horizontal="center"/>
      <protection/>
    </xf>
    <xf numFmtId="165" fontId="13" fillId="0" borderId="0" xfId="72" applyNumberFormat="1" applyFont="1" applyBorder="1" applyAlignment="1" applyProtection="1">
      <alignment horizontal="center"/>
      <protection/>
    </xf>
    <xf numFmtId="168" fontId="13" fillId="0" borderId="0" xfId="72" applyNumberFormat="1" applyFont="1" applyBorder="1" applyAlignment="1" applyProtection="1">
      <alignment horizontal="center"/>
      <protection/>
    </xf>
    <xf numFmtId="173" fontId="13" fillId="0" borderId="0" xfId="72" applyNumberFormat="1" applyFont="1" applyBorder="1" applyAlignment="1" applyProtection="1" quotePrefix="1">
      <alignment horizontal="center"/>
      <protection/>
    </xf>
    <xf numFmtId="2" fontId="50" fillId="35" borderId="21" xfId="72" applyNumberFormat="1" applyFont="1" applyFill="1" applyBorder="1" applyAlignment="1" applyProtection="1">
      <alignment horizontal="center"/>
      <protection/>
    </xf>
    <xf numFmtId="2" fontId="51" fillId="36" borderId="21" xfId="72" applyNumberFormat="1" applyFont="1" applyFill="1" applyBorder="1" applyAlignment="1" applyProtection="1">
      <alignment horizontal="center"/>
      <protection/>
    </xf>
    <xf numFmtId="2" fontId="52" fillId="37" borderId="21" xfId="72" applyNumberFormat="1" applyFont="1" applyFill="1" applyBorder="1" applyAlignment="1" applyProtection="1">
      <alignment horizontal="center"/>
      <protection/>
    </xf>
    <xf numFmtId="2" fontId="53" fillId="38" borderId="21" xfId="72" applyNumberFormat="1" applyFont="1" applyFill="1" applyBorder="1" applyAlignment="1" applyProtection="1">
      <alignment horizontal="center"/>
      <protection/>
    </xf>
    <xf numFmtId="2" fontId="54" fillId="39" borderId="21" xfId="72" applyNumberFormat="1" applyFont="1" applyFill="1" applyBorder="1" applyAlignment="1" applyProtection="1">
      <alignment horizontal="center"/>
      <protection/>
    </xf>
    <xf numFmtId="2" fontId="55" fillId="40" borderId="21" xfId="72" applyNumberFormat="1" applyFont="1" applyFill="1" applyBorder="1" applyAlignment="1" applyProtection="1">
      <alignment horizontal="center"/>
      <protection/>
    </xf>
    <xf numFmtId="2" fontId="59" fillId="0" borderId="42" xfId="72" applyNumberFormat="1" applyFont="1" applyBorder="1" applyAlignment="1" applyProtection="1">
      <alignment horizontal="center"/>
      <protection/>
    </xf>
    <xf numFmtId="7" fontId="4" fillId="0" borderId="21" xfId="72" applyNumberFormat="1" applyFont="1" applyFill="1" applyBorder="1" applyAlignment="1" applyProtection="1">
      <alignment horizontal="right"/>
      <protection/>
    </xf>
    <xf numFmtId="0" fontId="13" fillId="0" borderId="18" xfId="72" applyFont="1" applyBorder="1">
      <alignment/>
      <protection/>
    </xf>
    <xf numFmtId="0" fontId="13" fillId="0" borderId="19" xfId="72" applyFont="1" applyBorder="1">
      <alignment/>
      <protection/>
    </xf>
    <xf numFmtId="0" fontId="13" fillId="0" borderId="20" xfId="72" applyFont="1" applyBorder="1">
      <alignment/>
      <protection/>
    </xf>
    <xf numFmtId="0" fontId="3" fillId="0" borderId="0" xfId="72" applyBorder="1">
      <alignment/>
      <protection/>
    </xf>
    <xf numFmtId="0" fontId="16" fillId="0" borderId="0" xfId="72" applyFont="1" applyAlignment="1">
      <alignment vertical="top"/>
      <protection/>
    </xf>
    <xf numFmtId="0" fontId="16" fillId="0" borderId="14" xfId="72" applyFont="1" applyBorder="1" applyAlignment="1">
      <alignment vertical="top"/>
      <protection/>
    </xf>
    <xf numFmtId="0" fontId="16" fillId="0" borderId="0" xfId="72" applyFont="1" applyBorder="1" applyAlignment="1">
      <alignment vertical="top"/>
      <protection/>
    </xf>
    <xf numFmtId="0" fontId="20" fillId="0" borderId="0" xfId="72" applyFont="1" applyBorder="1" applyAlignment="1">
      <alignment vertical="top"/>
      <protection/>
    </xf>
    <xf numFmtId="0" fontId="16" fillId="0" borderId="15" xfId="72" applyFont="1" applyFill="1" applyBorder="1" applyAlignment="1">
      <alignment vertical="top"/>
      <protection/>
    </xf>
    <xf numFmtId="0" fontId="13" fillId="0" borderId="0" xfId="72" applyFont="1" applyAlignment="1">
      <alignment vertical="top"/>
      <protection/>
    </xf>
    <xf numFmtId="0" fontId="13" fillId="0" borderId="14" xfId="72" applyFont="1" applyBorder="1" applyAlignment="1">
      <alignment vertical="top"/>
      <protection/>
    </xf>
    <xf numFmtId="0" fontId="13" fillId="0" borderId="0" xfId="72" applyFont="1" applyBorder="1" applyAlignment="1">
      <alignment vertical="top"/>
      <protection/>
    </xf>
    <xf numFmtId="0" fontId="13" fillId="0" borderId="0" xfId="72" applyFont="1" applyBorder="1" applyAlignment="1" applyProtection="1">
      <alignment vertical="top"/>
      <protection/>
    </xf>
    <xf numFmtId="0" fontId="13" fillId="0" borderId="15" xfId="72" applyFont="1" applyFill="1" applyBorder="1" applyAlignment="1">
      <alignment vertical="top"/>
      <protection/>
    </xf>
    <xf numFmtId="0" fontId="13" fillId="0" borderId="28" xfId="72" applyFont="1" applyFill="1" applyBorder="1" applyAlignment="1">
      <alignment horizontal="center"/>
      <protection/>
    </xf>
    <xf numFmtId="2" fontId="50" fillId="35" borderId="28" xfId="72" applyNumberFormat="1" applyFont="1" applyFill="1" applyBorder="1" applyAlignment="1" applyProtection="1">
      <alignment horizontal="center"/>
      <protection/>
    </xf>
    <xf numFmtId="2" fontId="51" fillId="36" borderId="29" xfId="72" applyNumberFormat="1" applyFont="1" applyFill="1" applyBorder="1" applyAlignment="1" applyProtection="1">
      <alignment horizontal="center"/>
      <protection/>
    </xf>
    <xf numFmtId="168" fontId="52" fillId="37" borderId="30" xfId="72" applyNumberFormat="1" applyFont="1" applyFill="1" applyBorder="1" applyAlignment="1" applyProtection="1" quotePrefix="1">
      <alignment horizontal="center"/>
      <protection/>
    </xf>
    <xf numFmtId="168" fontId="52" fillId="37" borderId="31" xfId="72" applyNumberFormat="1" applyFont="1" applyFill="1" applyBorder="1" applyAlignment="1" applyProtection="1" quotePrefix="1">
      <alignment horizontal="center"/>
      <protection/>
    </xf>
    <xf numFmtId="4" fontId="52" fillId="37" borderId="29" xfId="72" applyNumberFormat="1" applyFont="1" applyFill="1" applyBorder="1" applyAlignment="1" applyProtection="1">
      <alignment horizontal="center"/>
      <protection/>
    </xf>
    <xf numFmtId="168" fontId="53" fillId="38" borderId="30" xfId="72" applyNumberFormat="1" applyFont="1" applyFill="1" applyBorder="1" applyAlignment="1" applyProtection="1" quotePrefix="1">
      <alignment horizontal="center"/>
      <protection/>
    </xf>
    <xf numFmtId="168" fontId="53" fillId="38" borderId="31" xfId="72" applyNumberFormat="1" applyFont="1" applyFill="1" applyBorder="1" applyAlignment="1" applyProtection="1" quotePrefix="1">
      <alignment horizontal="center"/>
      <protection/>
    </xf>
    <xf numFmtId="4" fontId="53" fillId="38" borderId="29" xfId="72" applyNumberFormat="1" applyFont="1" applyFill="1" applyBorder="1" applyAlignment="1" applyProtection="1">
      <alignment horizontal="center"/>
      <protection/>
    </xf>
    <xf numFmtId="4" fontId="54" fillId="39" borderId="28" xfId="72" applyNumberFormat="1" applyFont="1" applyFill="1" applyBorder="1" applyAlignment="1" applyProtection="1">
      <alignment horizontal="center"/>
      <protection/>
    </xf>
    <xf numFmtId="4" fontId="55" fillId="40" borderId="28" xfId="72" applyNumberFormat="1" applyFont="1" applyFill="1" applyBorder="1" applyAlignment="1" applyProtection="1">
      <alignment horizontal="center"/>
      <protection/>
    </xf>
    <xf numFmtId="4" fontId="13" fillId="0" borderId="28" xfId="72" applyNumberFormat="1" applyFont="1" applyBorder="1" applyAlignment="1" applyProtection="1">
      <alignment horizontal="center"/>
      <protection/>
    </xf>
    <xf numFmtId="0" fontId="13" fillId="0" borderId="0" xfId="72" applyFont="1" applyBorder="1" applyAlignment="1">
      <alignment horizontal="left"/>
      <protection/>
    </xf>
    <xf numFmtId="0" fontId="20" fillId="0" borderId="0" xfId="72" applyFont="1" applyBorder="1" applyAlignment="1">
      <alignment horizontal="left" vertical="top"/>
      <protection/>
    </xf>
    <xf numFmtId="0" fontId="63" fillId="37" borderId="28" xfId="72" applyFont="1" applyFill="1" applyBorder="1" applyAlignment="1" applyProtection="1">
      <alignment horizontal="center"/>
      <protection/>
    </xf>
    <xf numFmtId="173" fontId="13" fillId="0" borderId="29" xfId="72" applyNumberFormat="1" applyFont="1" applyBorder="1" applyAlignment="1" applyProtection="1" quotePrefix="1">
      <alignment horizontal="center"/>
      <protection/>
    </xf>
    <xf numFmtId="0" fontId="3" fillId="0" borderId="41" xfId="72" applyFont="1" applyBorder="1" applyAlignment="1" applyProtection="1">
      <alignment horizontal="center"/>
      <protection/>
    </xf>
    <xf numFmtId="0" fontId="11" fillId="0" borderId="0" xfId="72" applyFont="1" applyFill="1" applyAlignment="1">
      <alignment horizontal="right" vertical="top"/>
      <protection/>
    </xf>
    <xf numFmtId="0" fontId="9" fillId="0" borderId="0" xfId="72" applyFont="1" applyFill="1" applyAlignment="1">
      <alignment horizontal="centerContinuous"/>
      <protection/>
    </xf>
    <xf numFmtId="0" fontId="6" fillId="0" borderId="0" xfId="72" applyFont="1" applyFill="1" applyAlignment="1">
      <alignment horizontal="centerContinuous"/>
      <protection/>
    </xf>
    <xf numFmtId="0" fontId="14" fillId="0" borderId="0" xfId="72" applyFont="1" applyFill="1" applyAlignment="1">
      <alignment horizontal="centerContinuous"/>
      <protection/>
    </xf>
    <xf numFmtId="0" fontId="14" fillId="0" borderId="0" xfId="72" applyFont="1" applyFill="1">
      <alignment/>
      <protection/>
    </xf>
    <xf numFmtId="0" fontId="13" fillId="0" borderId="11" xfId="72" applyFont="1" applyFill="1" applyBorder="1">
      <alignment/>
      <protection/>
    </xf>
    <xf numFmtId="0" fontId="13" fillId="0" borderId="12" xfId="72" applyFont="1" applyFill="1" applyBorder="1">
      <alignment/>
      <protection/>
    </xf>
    <xf numFmtId="0" fontId="16" fillId="0" borderId="0" xfId="72" applyFont="1" applyFill="1">
      <alignment/>
      <protection/>
    </xf>
    <xf numFmtId="0" fontId="16" fillId="0" borderId="14" xfId="72" applyFont="1" applyFill="1" applyBorder="1">
      <alignment/>
      <protection/>
    </xf>
    <xf numFmtId="0" fontId="16" fillId="0" borderId="0" xfId="72" applyFont="1" applyFill="1" applyBorder="1">
      <alignment/>
      <protection/>
    </xf>
    <xf numFmtId="0" fontId="20" fillId="0" borderId="0" xfId="72" applyFont="1" applyFill="1" applyBorder="1" applyAlignment="1">
      <alignment horizontal="left"/>
      <protection/>
    </xf>
    <xf numFmtId="0" fontId="16" fillId="0" borderId="0" xfId="72" applyFont="1" applyFill="1" applyBorder="1" applyAlignment="1" applyProtection="1">
      <alignment horizontal="left"/>
      <protection/>
    </xf>
    <xf numFmtId="0" fontId="13" fillId="0" borderId="14" xfId="72" applyFont="1" applyFill="1" applyBorder="1">
      <alignment/>
      <protection/>
    </xf>
    <xf numFmtId="0" fontId="5" fillId="0" borderId="0" xfId="72" applyFont="1" applyFill="1" applyBorder="1" applyAlignment="1">
      <alignment horizontal="left"/>
      <protection/>
    </xf>
    <xf numFmtId="0" fontId="16" fillId="0" borderId="0" xfId="72" applyFont="1" applyFill="1" applyAlignment="1">
      <alignment vertical="center"/>
      <protection/>
    </xf>
    <xf numFmtId="0" fontId="16" fillId="0" borderId="14" xfId="72" applyFont="1" applyFill="1" applyBorder="1" applyAlignment="1">
      <alignment vertical="center"/>
      <protection/>
    </xf>
    <xf numFmtId="0" fontId="16" fillId="0" borderId="0" xfId="72" applyFont="1" applyFill="1" applyBorder="1" applyAlignment="1">
      <alignment vertical="center"/>
      <protection/>
    </xf>
    <xf numFmtId="0" fontId="20" fillId="0" borderId="0" xfId="72" applyFont="1" applyFill="1" applyBorder="1" applyAlignment="1">
      <alignment horizontal="left" vertical="center"/>
      <protection/>
    </xf>
    <xf numFmtId="0" fontId="20" fillId="0" borderId="0" xfId="72" applyFont="1" applyFill="1" applyBorder="1" applyAlignment="1">
      <alignment vertical="center"/>
      <protection/>
    </xf>
    <xf numFmtId="0" fontId="16" fillId="0" borderId="15" xfId="72" applyFont="1" applyFill="1" applyBorder="1" applyAlignment="1">
      <alignment vertical="center"/>
      <protection/>
    </xf>
    <xf numFmtId="0" fontId="16" fillId="0" borderId="0" xfId="72" applyFont="1" applyAlignment="1">
      <alignment vertical="center"/>
      <protection/>
    </xf>
    <xf numFmtId="0" fontId="13" fillId="0" borderId="0" xfId="72" applyFont="1" applyFill="1" applyAlignment="1">
      <alignment vertical="center"/>
      <protection/>
    </xf>
    <xf numFmtId="0" fontId="13" fillId="0" borderId="14" xfId="72" applyFont="1" applyFill="1" applyBorder="1" applyAlignment="1">
      <alignment vertical="center"/>
      <protection/>
    </xf>
    <xf numFmtId="0" fontId="13" fillId="0" borderId="0" xfId="72" applyFont="1" applyFill="1" applyBorder="1" applyAlignment="1">
      <alignment vertical="center"/>
      <protection/>
    </xf>
    <xf numFmtId="0" fontId="13" fillId="0" borderId="0" xfId="72" applyFont="1" applyAlignment="1">
      <alignment vertical="center"/>
      <protection/>
    </xf>
    <xf numFmtId="0" fontId="13" fillId="0" borderId="15" xfId="72" applyFont="1" applyFill="1" applyBorder="1" applyAlignment="1">
      <alignment vertical="center"/>
      <protection/>
    </xf>
    <xf numFmtId="0" fontId="20" fillId="0" borderId="0" xfId="72" applyFont="1" applyFill="1" applyAlignment="1">
      <alignment vertical="center"/>
      <protection/>
    </xf>
    <xf numFmtId="0" fontId="25" fillId="0" borderId="0" xfId="72" applyFont="1" applyFill="1" applyBorder="1" applyAlignment="1">
      <alignment vertical="center"/>
      <protection/>
    </xf>
    <xf numFmtId="0" fontId="13" fillId="0" borderId="0" xfId="72" applyFont="1" applyFill="1" applyBorder="1" applyAlignment="1">
      <alignment horizontal="center"/>
      <protection/>
    </xf>
    <xf numFmtId="0" fontId="23" fillId="0" borderId="0" xfId="72" applyFont="1" applyFill="1">
      <alignment/>
      <protection/>
    </xf>
    <xf numFmtId="0" fontId="24" fillId="0" borderId="0" xfId="72" applyFont="1" applyFill="1" applyAlignment="1">
      <alignment horizontal="centerContinuous"/>
      <protection/>
    </xf>
    <xf numFmtId="0" fontId="24" fillId="0" borderId="0" xfId="72" applyFont="1" applyFill="1" applyBorder="1" applyAlignment="1">
      <alignment horizontal="centerContinuous"/>
      <protection/>
    </xf>
    <xf numFmtId="0" fontId="26" fillId="0" borderId="15" xfId="72" applyFont="1" applyFill="1" applyBorder="1" applyAlignment="1">
      <alignment horizontal="centerContinuous"/>
      <protection/>
    </xf>
    <xf numFmtId="0" fontId="13" fillId="0" borderId="16" xfId="72" applyFont="1" applyFill="1" applyBorder="1" applyAlignment="1" applyProtection="1">
      <alignment horizontal="left"/>
      <protection/>
    </xf>
    <xf numFmtId="0" fontId="13" fillId="0" borderId="41" xfId="72" applyFont="1" applyFill="1" applyBorder="1" applyAlignment="1" applyProtection="1">
      <alignment horizontal="center"/>
      <protection/>
    </xf>
    <xf numFmtId="0" fontId="13" fillId="0" borderId="21" xfId="72" applyFont="1" applyFill="1" applyBorder="1" applyAlignment="1">
      <alignment horizontal="center"/>
      <protection/>
    </xf>
    <xf numFmtId="0" fontId="3" fillId="0" borderId="16" xfId="72" applyFont="1" applyFill="1" applyBorder="1" applyAlignment="1" applyProtection="1" quotePrefix="1">
      <alignment horizontal="left"/>
      <protection/>
    </xf>
    <xf numFmtId="0" fontId="3" fillId="0" borderId="22" xfId="72" applyFont="1" applyFill="1" applyBorder="1" applyAlignment="1" applyProtection="1">
      <alignment horizontal="center"/>
      <protection/>
    </xf>
    <xf numFmtId="164" fontId="3" fillId="0" borderId="21" xfId="72" applyNumberFormat="1" applyFont="1" applyFill="1" applyBorder="1" applyAlignment="1" applyProtection="1">
      <alignment horizontal="center"/>
      <protection/>
    </xf>
    <xf numFmtId="22" fontId="13" fillId="0" borderId="0" xfId="72" applyNumberFormat="1" applyFont="1" applyFill="1" applyBorder="1">
      <alignment/>
      <protection/>
    </xf>
    <xf numFmtId="0" fontId="29" fillId="0" borderId="0" xfId="72" applyFont="1" applyFill="1" applyBorder="1">
      <alignment/>
      <protection/>
    </xf>
    <xf numFmtId="0" fontId="30" fillId="0" borderId="21" xfId="72" applyFont="1" applyFill="1" applyBorder="1" applyAlignment="1">
      <alignment horizontal="center" vertical="center"/>
      <protection/>
    </xf>
    <xf numFmtId="0" fontId="30" fillId="0" borderId="21" xfId="72" applyFont="1" applyFill="1" applyBorder="1" applyAlignment="1" applyProtection="1">
      <alignment horizontal="center" vertical="center" wrapText="1"/>
      <protection/>
    </xf>
    <xf numFmtId="0" fontId="30" fillId="0" borderId="21" xfId="72" applyFont="1" applyFill="1" applyBorder="1" applyAlignment="1" applyProtection="1">
      <alignment horizontal="center" vertical="center"/>
      <protection/>
    </xf>
    <xf numFmtId="0" fontId="30" fillId="0" borderId="21" xfId="72" applyFont="1" applyFill="1" applyBorder="1" applyAlignment="1" applyProtection="1" quotePrefix="1">
      <alignment horizontal="center" vertical="center" wrapText="1"/>
      <protection/>
    </xf>
    <xf numFmtId="0" fontId="30" fillId="0" borderId="21" xfId="72" applyFont="1" applyFill="1" applyBorder="1" applyAlignment="1">
      <alignment horizontal="center" vertical="center" wrapText="1"/>
      <protection/>
    </xf>
    <xf numFmtId="0" fontId="60" fillId="37" borderId="21" xfId="72" applyFont="1" applyFill="1" applyBorder="1" applyAlignment="1" applyProtection="1">
      <alignment horizontal="center" vertical="center"/>
      <protection/>
    </xf>
    <xf numFmtId="0" fontId="30" fillId="0" borderId="16" xfId="72" applyFont="1" applyFill="1" applyBorder="1" applyAlignment="1" applyProtection="1">
      <alignment horizontal="center" vertical="center"/>
      <protection/>
    </xf>
    <xf numFmtId="0" fontId="62" fillId="42" borderId="21" xfId="72" applyFont="1" applyFill="1" applyBorder="1" applyAlignment="1" applyProtection="1">
      <alignment horizontal="center" vertical="center"/>
      <protection/>
    </xf>
    <xf numFmtId="0" fontId="66" fillId="39" borderId="21" xfId="72" applyFont="1" applyFill="1" applyBorder="1" applyAlignment="1">
      <alignment horizontal="center" vertical="center" wrapText="1"/>
      <protection/>
    </xf>
    <xf numFmtId="0" fontId="67" fillId="36" borderId="21" xfId="72" applyFont="1" applyFill="1" applyBorder="1" applyAlignment="1">
      <alignment horizontal="center" vertical="center" wrapText="1"/>
      <protection/>
    </xf>
    <xf numFmtId="0" fontId="68" fillId="43" borderId="16" xfId="72" applyFont="1" applyFill="1" applyBorder="1" applyAlignment="1" applyProtection="1">
      <alignment horizontal="centerContinuous" vertical="center" wrapText="1"/>
      <protection/>
    </xf>
    <xf numFmtId="0" fontId="68" fillId="43" borderId="17" xfId="72" applyFont="1" applyFill="1" applyBorder="1" applyAlignment="1">
      <alignment horizontal="centerContinuous" vertical="center"/>
      <protection/>
    </xf>
    <xf numFmtId="0" fontId="34" fillId="44" borderId="21" xfId="72" applyFont="1" applyFill="1" applyBorder="1" applyAlignment="1">
      <alignment horizontal="center" vertical="center" wrapText="1"/>
      <protection/>
    </xf>
    <xf numFmtId="0" fontId="69" fillId="39" borderId="21" xfId="72" applyFont="1" applyFill="1" applyBorder="1" applyAlignment="1">
      <alignment horizontal="center" vertical="center" wrapText="1"/>
      <protection/>
    </xf>
    <xf numFmtId="0" fontId="13" fillId="0" borderId="43" xfId="72" applyFont="1" applyFill="1" applyBorder="1" applyAlignment="1">
      <alignment horizontal="center"/>
      <protection/>
    </xf>
    <xf numFmtId="164" fontId="13" fillId="0" borderId="43" xfId="72" applyNumberFormat="1" applyFont="1" applyFill="1" applyBorder="1" applyAlignment="1" applyProtection="1">
      <alignment horizontal="center"/>
      <protection/>
    </xf>
    <xf numFmtId="0" fontId="63" fillId="37" borderId="43" xfId="72" applyFont="1" applyFill="1" applyBorder="1" applyAlignment="1">
      <alignment horizontal="center"/>
      <protection/>
    </xf>
    <xf numFmtId="0" fontId="13" fillId="0" borderId="44" xfId="72" applyFont="1" applyFill="1" applyBorder="1" applyAlignment="1">
      <alignment horizontal="center"/>
      <protection/>
    </xf>
    <xf numFmtId="0" fontId="29" fillId="42" borderId="43" xfId="72" applyFont="1" applyFill="1" applyBorder="1" applyAlignment="1">
      <alignment horizontal="center"/>
      <protection/>
    </xf>
    <xf numFmtId="0" fontId="70" fillId="39" borderId="43" xfId="72" applyFont="1" applyFill="1" applyBorder="1" applyAlignment="1">
      <alignment horizontal="center"/>
      <protection/>
    </xf>
    <xf numFmtId="0" fontId="71" fillId="36" borderId="43" xfId="72" applyFont="1" applyFill="1" applyBorder="1" applyAlignment="1">
      <alignment horizontal="center"/>
      <protection/>
    </xf>
    <xf numFmtId="0" fontId="52" fillId="37" borderId="24" xfId="72" applyFont="1" applyFill="1" applyBorder="1" applyAlignment="1">
      <alignment horizontal="center"/>
      <protection/>
    </xf>
    <xf numFmtId="0" fontId="52" fillId="37" borderId="26" xfId="72" applyFont="1" applyFill="1" applyBorder="1" applyAlignment="1">
      <alignment horizontal="center"/>
      <protection/>
    </xf>
    <xf numFmtId="0" fontId="72" fillId="43" borderId="45" xfId="72" applyFont="1" applyFill="1" applyBorder="1" applyAlignment="1">
      <alignment horizontal="center"/>
      <protection/>
    </xf>
    <xf numFmtId="0" fontId="72" fillId="43" borderId="46" xfId="72" applyFont="1" applyFill="1" applyBorder="1" applyAlignment="1">
      <alignment horizontal="center"/>
      <protection/>
    </xf>
    <xf numFmtId="0" fontId="50" fillId="44" borderId="43" xfId="72" applyFont="1" applyFill="1" applyBorder="1" applyAlignment="1">
      <alignment horizontal="center"/>
      <protection/>
    </xf>
    <xf numFmtId="0" fontId="73" fillId="39" borderId="43" xfId="72" applyFont="1" applyFill="1" applyBorder="1" applyAlignment="1">
      <alignment horizontal="center"/>
      <protection/>
    </xf>
    <xf numFmtId="7" fontId="48" fillId="0" borderId="44" xfId="72" applyNumberFormat="1" applyFont="1" applyFill="1" applyBorder="1" applyAlignment="1">
      <alignment/>
      <protection/>
    </xf>
    <xf numFmtId="164" fontId="13" fillId="0" borderId="27" xfId="72" applyNumberFormat="1" applyFont="1" applyFill="1" applyBorder="1" applyAlignment="1" applyProtection="1">
      <alignment horizontal="center"/>
      <protection/>
    </xf>
    <xf numFmtId="0" fontId="63" fillId="37" borderId="27" xfId="72" applyFont="1" applyFill="1" applyBorder="1" applyAlignment="1">
      <alignment horizontal="center"/>
      <protection/>
    </xf>
    <xf numFmtId="0" fontId="13" fillId="0" borderId="47" xfId="72" applyFont="1" applyFill="1" applyBorder="1" applyAlignment="1">
      <alignment horizontal="center"/>
      <protection/>
    </xf>
    <xf numFmtId="0" fontId="29" fillId="42" borderId="27" xfId="72" applyFont="1" applyFill="1" applyBorder="1" applyAlignment="1">
      <alignment horizontal="center"/>
      <protection/>
    </xf>
    <xf numFmtId="0" fontId="70" fillId="39" borderId="27" xfId="72" applyFont="1" applyFill="1" applyBorder="1" applyAlignment="1">
      <alignment horizontal="center"/>
      <protection/>
    </xf>
    <xf numFmtId="0" fontId="71" fillId="36" borderId="27" xfId="72" applyFont="1" applyFill="1" applyBorder="1" applyAlignment="1">
      <alignment horizontal="center"/>
      <protection/>
    </xf>
    <xf numFmtId="0" fontId="52" fillId="37" borderId="48" xfId="72" applyFont="1" applyFill="1" applyBorder="1" applyAlignment="1">
      <alignment horizontal="center"/>
      <protection/>
    </xf>
    <xf numFmtId="0" fontId="52" fillId="37" borderId="49" xfId="72" applyFont="1" applyFill="1" applyBorder="1" applyAlignment="1">
      <alignment horizontal="center"/>
      <protection/>
    </xf>
    <xf numFmtId="0" fontId="72" fillId="43" borderId="48" xfId="72" applyFont="1" applyFill="1" applyBorder="1" applyAlignment="1">
      <alignment horizontal="center"/>
      <protection/>
    </xf>
    <xf numFmtId="0" fontId="72" fillId="43" borderId="49" xfId="72" applyFont="1" applyFill="1" applyBorder="1" applyAlignment="1">
      <alignment horizontal="center"/>
      <protection/>
    </xf>
    <xf numFmtId="0" fontId="50" fillId="44" borderId="27" xfId="72" applyFont="1" applyFill="1" applyBorder="1" applyAlignment="1">
      <alignment horizontal="center"/>
      <protection/>
    </xf>
    <xf numFmtId="0" fontId="73" fillId="39" borderId="27" xfId="72" applyFont="1" applyFill="1" applyBorder="1" applyAlignment="1">
      <alignment horizontal="center"/>
      <protection/>
    </xf>
    <xf numFmtId="0" fontId="48" fillId="0" borderId="47" xfId="72" applyFont="1" applyFill="1" applyBorder="1" applyAlignment="1">
      <alignment horizontal="center"/>
      <protection/>
    </xf>
    <xf numFmtId="0" fontId="13" fillId="0" borderId="27" xfId="72" applyFont="1" applyBorder="1" applyAlignment="1" applyProtection="1">
      <alignment horizontal="center"/>
      <protection locked="0"/>
    </xf>
    <xf numFmtId="0" fontId="13" fillId="0" borderId="32" xfId="72" applyFont="1" applyBorder="1" applyAlignment="1" applyProtection="1">
      <alignment horizontal="center"/>
      <protection locked="0"/>
    </xf>
    <xf numFmtId="164" fontId="13" fillId="0" borderId="27" xfId="72" applyNumberFormat="1" applyFont="1" applyBorder="1" applyAlignment="1" applyProtection="1">
      <alignment horizontal="center"/>
      <protection locked="0"/>
    </xf>
    <xf numFmtId="1" fontId="13" fillId="0" borderId="49" xfId="72" applyNumberFormat="1" applyFont="1" applyBorder="1" applyAlignment="1" applyProtection="1" quotePrefix="1">
      <alignment horizontal="center"/>
      <protection locked="0"/>
    </xf>
    <xf numFmtId="174" fontId="63" fillId="37" borderId="28" xfId="72" applyNumberFormat="1" applyFont="1" applyFill="1" applyBorder="1" applyAlignment="1" applyProtection="1">
      <alignment horizontal="center"/>
      <protection/>
    </xf>
    <xf numFmtId="22" fontId="13" fillId="0" borderId="28" xfId="72" applyNumberFormat="1" applyFont="1" applyFill="1" applyBorder="1" applyAlignment="1" applyProtection="1">
      <alignment horizontal="center"/>
      <protection locked="0"/>
    </xf>
    <xf numFmtId="4" fontId="13" fillId="0" borderId="28" xfId="72" applyNumberFormat="1" applyFont="1" applyFill="1" applyBorder="1" applyAlignment="1" applyProtection="1">
      <alignment horizontal="center"/>
      <protection/>
    </xf>
    <xf numFmtId="3" fontId="13" fillId="0" borderId="28" xfId="72" applyNumberFormat="1" applyFont="1" applyFill="1" applyBorder="1" applyAlignment="1" applyProtection="1">
      <alignment horizontal="center"/>
      <protection/>
    </xf>
    <xf numFmtId="168" fontId="13" fillId="0" borderId="28" xfId="72" applyNumberFormat="1" applyFont="1" applyFill="1" applyBorder="1" applyAlignment="1" applyProtection="1">
      <alignment horizontal="center"/>
      <protection locked="0"/>
    </xf>
    <xf numFmtId="168" fontId="13" fillId="0" borderId="28" xfId="72" applyNumberFormat="1" applyFont="1" applyBorder="1" applyAlignment="1" applyProtection="1" quotePrefix="1">
      <alignment horizontal="center"/>
      <protection/>
    </xf>
    <xf numFmtId="164" fontId="29" fillId="42" borderId="28" xfId="72" applyNumberFormat="1" applyFont="1" applyFill="1" applyBorder="1" applyAlignment="1" applyProtection="1">
      <alignment horizontal="center"/>
      <protection/>
    </xf>
    <xf numFmtId="2" fontId="70" fillId="39" borderId="28" xfId="72" applyNumberFormat="1" applyFont="1" applyFill="1" applyBorder="1" applyAlignment="1">
      <alignment horizontal="center"/>
      <protection/>
    </xf>
    <xf numFmtId="2" fontId="71" fillId="36" borderId="28" xfId="72" applyNumberFormat="1" applyFont="1" applyFill="1" applyBorder="1" applyAlignment="1">
      <alignment horizontal="center"/>
      <protection/>
    </xf>
    <xf numFmtId="168" fontId="52" fillId="37" borderId="48" xfId="72" applyNumberFormat="1" applyFont="1" applyFill="1" applyBorder="1" applyAlignment="1" applyProtection="1" quotePrefix="1">
      <alignment horizontal="center"/>
      <protection/>
    </xf>
    <xf numFmtId="168" fontId="52" fillId="37" borderId="49" xfId="72" applyNumberFormat="1" applyFont="1" applyFill="1" applyBorder="1" applyAlignment="1" applyProtection="1" quotePrefix="1">
      <alignment horizontal="center"/>
      <protection/>
    </xf>
    <xf numFmtId="168" fontId="72" fillId="43" borderId="48" xfId="72" applyNumberFormat="1" applyFont="1" applyFill="1" applyBorder="1" applyAlignment="1" applyProtection="1" quotePrefix="1">
      <alignment horizontal="center"/>
      <protection/>
    </xf>
    <xf numFmtId="168" fontId="72" fillId="43" borderId="49" xfId="72" applyNumberFormat="1" applyFont="1" applyFill="1" applyBorder="1" applyAlignment="1" applyProtection="1" quotePrefix="1">
      <alignment horizontal="center"/>
      <protection/>
    </xf>
    <xf numFmtId="168" fontId="50" fillId="44" borderId="28" xfId="72" applyNumberFormat="1" applyFont="1" applyFill="1" applyBorder="1" applyAlignment="1" applyProtection="1" quotePrefix="1">
      <alignment horizontal="center"/>
      <protection/>
    </xf>
    <xf numFmtId="168" fontId="73" fillId="39" borderId="27" xfId="72" applyNumberFormat="1" applyFont="1" applyFill="1" applyBorder="1" applyAlignment="1" applyProtection="1" quotePrefix="1">
      <alignment horizontal="center"/>
      <protection/>
    </xf>
    <xf numFmtId="168" fontId="13" fillId="0" borderId="29" xfId="72" applyNumberFormat="1" applyFont="1" applyFill="1" applyBorder="1" applyAlignment="1">
      <alignment horizontal="center"/>
      <protection/>
    </xf>
    <xf numFmtId="0" fontId="13" fillId="0" borderId="47" xfId="72" applyFont="1" applyBorder="1" applyAlignment="1" applyProtection="1">
      <alignment horizontal="center"/>
      <protection locked="0"/>
    </xf>
    <xf numFmtId="0" fontId="74" fillId="0" borderId="36" xfId="72" applyFont="1" applyFill="1" applyBorder="1" applyAlignment="1" applyProtection="1">
      <alignment horizontal="center"/>
      <protection locked="0"/>
    </xf>
    <xf numFmtId="0" fontId="74" fillId="0" borderId="36" xfId="72" applyFont="1" applyFill="1" applyBorder="1" applyAlignment="1" applyProtection="1" quotePrefix="1">
      <alignment horizontal="center"/>
      <protection locked="0"/>
    </xf>
    <xf numFmtId="164" fontId="49" fillId="0" borderId="34" xfId="72" applyNumberFormat="1" applyFont="1" applyFill="1" applyBorder="1" applyAlignment="1" applyProtection="1">
      <alignment horizontal="center"/>
      <protection locked="0"/>
    </xf>
    <xf numFmtId="168" fontId="63" fillId="37" borderId="36" xfId="72" applyNumberFormat="1" applyFont="1" applyFill="1" applyBorder="1" applyAlignment="1" applyProtection="1">
      <alignment horizontal="center"/>
      <protection/>
    </xf>
    <xf numFmtId="0" fontId="13" fillId="0" borderId="36" xfId="72" applyFont="1" applyFill="1" applyBorder="1" applyAlignment="1" applyProtection="1">
      <alignment horizontal="center"/>
      <protection locked="0"/>
    </xf>
    <xf numFmtId="38" fontId="13" fillId="0" borderId="36" xfId="72" applyNumberFormat="1" applyFont="1" applyFill="1" applyBorder="1" applyAlignment="1" applyProtection="1">
      <alignment horizontal="center"/>
      <protection locked="0"/>
    </xf>
    <xf numFmtId="38" fontId="13" fillId="0" borderId="36" xfId="72" applyNumberFormat="1" applyFont="1" applyFill="1" applyBorder="1" applyAlignment="1" applyProtection="1">
      <alignment horizontal="center"/>
      <protection/>
    </xf>
    <xf numFmtId="164" fontId="13" fillId="0" borderId="36" xfId="72" applyNumberFormat="1" applyFont="1" applyFill="1" applyBorder="1" applyAlignment="1" applyProtection="1" quotePrefix="1">
      <alignment horizontal="center"/>
      <protection/>
    </xf>
    <xf numFmtId="168" fontId="13" fillId="0" borderId="36" xfId="72" applyNumberFormat="1" applyFont="1" applyFill="1" applyBorder="1" applyAlignment="1" applyProtection="1">
      <alignment horizontal="center"/>
      <protection locked="0"/>
    </xf>
    <xf numFmtId="168" fontId="13" fillId="0" borderId="50" xfId="72" applyNumberFormat="1" applyFont="1" applyFill="1" applyBorder="1" applyAlignment="1" applyProtection="1">
      <alignment horizontal="center"/>
      <protection locked="0"/>
    </xf>
    <xf numFmtId="164" fontId="29" fillId="42" borderId="36" xfId="72" applyNumberFormat="1" applyFont="1" applyFill="1" applyBorder="1" applyAlignment="1" applyProtection="1">
      <alignment horizontal="center"/>
      <protection/>
    </xf>
    <xf numFmtId="2" fontId="70" fillId="39" borderId="36" xfId="72" applyNumberFormat="1" applyFont="1" applyFill="1" applyBorder="1" applyAlignment="1">
      <alignment horizontal="center"/>
      <protection/>
    </xf>
    <xf numFmtId="2" fontId="71" fillId="36" borderId="36" xfId="72" applyNumberFormat="1" applyFont="1" applyFill="1" applyBorder="1" applyAlignment="1">
      <alignment horizontal="center"/>
      <protection/>
    </xf>
    <xf numFmtId="168" fontId="52" fillId="37" borderId="51" xfId="72" applyNumberFormat="1" applyFont="1" applyFill="1" applyBorder="1" applyAlignment="1" applyProtection="1" quotePrefix="1">
      <alignment horizontal="center"/>
      <protection/>
    </xf>
    <xf numFmtId="168" fontId="52" fillId="37" borderId="52" xfId="72" applyNumberFormat="1" applyFont="1" applyFill="1" applyBorder="1" applyAlignment="1" applyProtection="1" quotePrefix="1">
      <alignment horizontal="center"/>
      <protection/>
    </xf>
    <xf numFmtId="168" fontId="72" fillId="43" borderId="37" xfId="72" applyNumberFormat="1" applyFont="1" applyFill="1" applyBorder="1" applyAlignment="1" applyProtection="1" quotePrefix="1">
      <alignment horizontal="center"/>
      <protection/>
    </xf>
    <xf numFmtId="168" fontId="72" fillId="43" borderId="39" xfId="72" applyNumberFormat="1" applyFont="1" applyFill="1" applyBorder="1" applyAlignment="1" applyProtection="1" quotePrefix="1">
      <alignment horizontal="center"/>
      <protection/>
    </xf>
    <xf numFmtId="168" fontId="50" fillId="44" borderId="36" xfId="72" applyNumberFormat="1" applyFont="1" applyFill="1" applyBorder="1" applyAlignment="1" applyProtection="1" quotePrefix="1">
      <alignment horizontal="center"/>
      <protection/>
    </xf>
    <xf numFmtId="168" fontId="73" fillId="39" borderId="36" xfId="72" applyNumberFormat="1" applyFont="1" applyFill="1" applyBorder="1" applyAlignment="1" applyProtection="1" quotePrefix="1">
      <alignment horizontal="center"/>
      <protection/>
    </xf>
    <xf numFmtId="168" fontId="75" fillId="0" borderId="50" xfId="72" applyNumberFormat="1" applyFont="1" applyFill="1" applyBorder="1" applyAlignment="1">
      <alignment horizontal="center"/>
      <protection/>
    </xf>
    <xf numFmtId="168" fontId="65" fillId="0" borderId="53" xfId="72" applyNumberFormat="1" applyFont="1" applyFill="1" applyBorder="1" applyAlignment="1">
      <alignment horizontal="center"/>
      <protection/>
    </xf>
    <xf numFmtId="4" fontId="70" fillId="39" borderId="21" xfId="72" applyNumberFormat="1" applyFont="1" applyFill="1" applyBorder="1" applyAlignment="1">
      <alignment horizontal="center"/>
      <protection/>
    </xf>
    <xf numFmtId="4" fontId="71" fillId="36" borderId="21" xfId="72" applyNumberFormat="1" applyFont="1" applyFill="1" applyBorder="1" applyAlignment="1">
      <alignment horizontal="center"/>
      <protection/>
    </xf>
    <xf numFmtId="4" fontId="52" fillId="37" borderId="54" xfId="72" applyNumberFormat="1" applyFont="1" applyFill="1" applyBorder="1" applyAlignment="1">
      <alignment horizontal="center"/>
      <protection/>
    </xf>
    <xf numFmtId="4" fontId="52" fillId="37" borderId="17" xfId="72" applyNumberFormat="1" applyFont="1" applyFill="1" applyBorder="1" applyAlignment="1">
      <alignment horizontal="center"/>
      <protection/>
    </xf>
    <xf numFmtId="4" fontId="72" fillId="43" borderId="54" xfId="72" applyNumberFormat="1" applyFont="1" applyFill="1" applyBorder="1" applyAlignment="1">
      <alignment horizontal="center"/>
      <protection/>
    </xf>
    <xf numFmtId="4" fontId="72" fillId="43" borderId="55" xfId="72" applyNumberFormat="1" applyFont="1" applyFill="1" applyBorder="1" applyAlignment="1">
      <alignment horizontal="center"/>
      <protection/>
    </xf>
    <xf numFmtId="4" fontId="50" fillId="44" borderId="21" xfId="72" applyNumberFormat="1" applyFont="1" applyFill="1" applyBorder="1" applyAlignment="1">
      <alignment horizontal="center"/>
      <protection/>
    </xf>
    <xf numFmtId="4" fontId="73" fillId="39" borderId="21" xfId="72" applyNumberFormat="1" applyFont="1" applyFill="1" applyBorder="1" applyAlignment="1">
      <alignment horizontal="center"/>
      <protection/>
    </xf>
    <xf numFmtId="7" fontId="76" fillId="0" borderId="21" xfId="72" applyNumberFormat="1" applyFont="1" applyFill="1" applyBorder="1" applyAlignment="1">
      <alignment horizontal="right"/>
      <protection/>
    </xf>
    <xf numFmtId="0" fontId="13" fillId="0" borderId="18" xfId="72" applyFont="1" applyFill="1" applyBorder="1">
      <alignment/>
      <protection/>
    </xf>
    <xf numFmtId="0" fontId="13" fillId="0" borderId="19" xfId="72" applyFont="1" applyFill="1" applyBorder="1">
      <alignment/>
      <protection/>
    </xf>
    <xf numFmtId="0" fontId="13" fillId="0" borderId="20" xfId="72" applyFont="1" applyFill="1" applyBorder="1">
      <alignment/>
      <protection/>
    </xf>
    <xf numFmtId="0" fontId="3" fillId="0" borderId="0" xfId="72" applyFill="1">
      <alignment/>
      <protection/>
    </xf>
    <xf numFmtId="0" fontId="0" fillId="0" borderId="0" xfId="72" applyFont="1">
      <alignment/>
      <protection/>
    </xf>
    <xf numFmtId="0" fontId="13" fillId="0" borderId="0" xfId="72" applyFont="1" applyFill="1" applyAlignment="1">
      <alignment vertical="top"/>
      <protection/>
    </xf>
    <xf numFmtId="0" fontId="63" fillId="37" borderId="35" xfId="72" applyFont="1" applyFill="1" applyBorder="1" applyAlignment="1">
      <alignment horizontal="center"/>
      <protection/>
    </xf>
    <xf numFmtId="168" fontId="13" fillId="0" borderId="27" xfId="72" applyNumberFormat="1" applyFont="1" applyBorder="1" applyAlignment="1" applyProtection="1">
      <alignment horizontal="center"/>
      <protection/>
    </xf>
    <xf numFmtId="2" fontId="71" fillId="36" borderId="28" xfId="72" applyNumberFormat="1" applyFont="1" applyFill="1" applyBorder="1" applyAlignment="1" applyProtection="1">
      <alignment horizontal="center"/>
      <protection/>
    </xf>
    <xf numFmtId="0" fontId="16" fillId="0" borderId="0" xfId="72" applyFont="1" applyFill="1" applyAlignment="1">
      <alignment vertical="top"/>
      <protection/>
    </xf>
    <xf numFmtId="0" fontId="13" fillId="0" borderId="13" xfId="72" applyFont="1" applyBorder="1">
      <alignment/>
      <protection/>
    </xf>
    <xf numFmtId="0" fontId="20" fillId="0" borderId="0" xfId="72" applyFont="1" applyFill="1" applyBorder="1">
      <alignment/>
      <protection/>
    </xf>
    <xf numFmtId="0" fontId="16" fillId="0" borderId="15" xfId="72" applyFont="1" applyBorder="1">
      <alignment/>
      <protection/>
    </xf>
    <xf numFmtId="0" fontId="20" fillId="0" borderId="0" xfId="72" applyFont="1" applyFill="1">
      <alignment/>
      <protection/>
    </xf>
    <xf numFmtId="0" fontId="78" fillId="0" borderId="0" xfId="72" applyFont="1" applyFill="1">
      <alignment/>
      <protection/>
    </xf>
    <xf numFmtId="0" fontId="16" fillId="0" borderId="0" xfId="72" applyFont="1" applyFill="1" applyBorder="1" applyProtection="1">
      <alignment/>
      <protection/>
    </xf>
    <xf numFmtId="0" fontId="5" fillId="0" borderId="0" xfId="72" applyFont="1" applyFill="1">
      <alignment/>
      <protection/>
    </xf>
    <xf numFmtId="0" fontId="13" fillId="0" borderId="0" xfId="72" applyFont="1" applyFill="1" applyBorder="1" applyProtection="1">
      <alignment/>
      <protection/>
    </xf>
    <xf numFmtId="0" fontId="24" fillId="0" borderId="0" xfId="72" applyFont="1" applyBorder="1" applyAlignment="1" applyProtection="1">
      <alignment horizontal="centerContinuous"/>
      <protection/>
    </xf>
    <xf numFmtId="0" fontId="24" fillId="0" borderId="15" xfId="72" applyFont="1" applyBorder="1" applyAlignment="1">
      <alignment horizontal="centerContinuous"/>
      <protection/>
    </xf>
    <xf numFmtId="0" fontId="25" fillId="0" borderId="14" xfId="72" applyFont="1" applyBorder="1" applyAlignment="1">
      <alignment horizontal="centerContinuous"/>
      <protection/>
    </xf>
    <xf numFmtId="0" fontId="25" fillId="0" borderId="0" xfId="72" applyFont="1" applyBorder="1" applyAlignment="1">
      <alignment horizontal="centerContinuous"/>
      <protection/>
    </xf>
    <xf numFmtId="0" fontId="25" fillId="0" borderId="0" xfId="72" applyFont="1" applyBorder="1" applyAlignment="1" applyProtection="1">
      <alignment horizontal="centerContinuous"/>
      <protection/>
    </xf>
    <xf numFmtId="0" fontId="25" fillId="0" borderId="15" xfId="72" applyFont="1" applyBorder="1" applyAlignment="1">
      <alignment horizontal="centerContinuous"/>
      <protection/>
    </xf>
    <xf numFmtId="0" fontId="3" fillId="0" borderId="0" xfId="72" applyFont="1" applyBorder="1">
      <alignment/>
      <protection/>
    </xf>
    <xf numFmtId="0" fontId="3" fillId="0" borderId="21" xfId="72" applyFont="1" applyBorder="1" applyAlignment="1">
      <alignment horizontal="center"/>
      <protection/>
    </xf>
    <xf numFmtId="0" fontId="3" fillId="0" borderId="16" xfId="72" applyFont="1" applyBorder="1" applyAlignment="1" applyProtection="1">
      <alignment horizontal="left" vertical="center"/>
      <protection/>
    </xf>
    <xf numFmtId="174" fontId="3" fillId="0" borderId="17" xfId="72" applyNumberFormat="1" applyFont="1" applyBorder="1" applyAlignment="1" applyProtection="1">
      <alignment horizontal="center" vertical="center"/>
      <protection/>
    </xf>
    <xf numFmtId="0" fontId="3" fillId="0" borderId="21" xfId="72" applyFont="1" applyBorder="1" applyAlignment="1">
      <alignment horizontal="center" vertical="center"/>
      <protection/>
    </xf>
    <xf numFmtId="0" fontId="3" fillId="0" borderId="16" xfId="72" applyFont="1" applyBorder="1" applyAlignment="1">
      <alignment vertical="center"/>
      <protection/>
    </xf>
    <xf numFmtId="174" fontId="3" fillId="0" borderId="17" xfId="72" applyNumberFormat="1" applyFont="1" applyBorder="1" applyAlignment="1">
      <alignment horizontal="center" vertical="center"/>
      <protection/>
    </xf>
    <xf numFmtId="0" fontId="3" fillId="0" borderId="16" xfId="72" applyFont="1" applyBorder="1" applyAlignment="1">
      <alignment horizontal="left" vertical="center"/>
      <protection/>
    </xf>
    <xf numFmtId="0" fontId="30" fillId="0" borderId="17" xfId="72" applyFont="1" applyBorder="1" applyAlignment="1" applyProtection="1">
      <alignment horizontal="center" vertical="center"/>
      <protection/>
    </xf>
    <xf numFmtId="0" fontId="30" fillId="0" borderId="22" xfId="72" applyFont="1" applyBorder="1" applyAlignment="1">
      <alignment horizontal="center" vertical="center" wrapText="1"/>
      <protection/>
    </xf>
    <xf numFmtId="0" fontId="30" fillId="0" borderId="17" xfId="72" applyFont="1" applyBorder="1" applyAlignment="1" applyProtection="1">
      <alignment horizontal="center" vertical="center" wrapText="1"/>
      <protection/>
    </xf>
    <xf numFmtId="0" fontId="62" fillId="34" borderId="21" xfId="72" applyFont="1" applyFill="1" applyBorder="1" applyAlignment="1" applyProtection="1">
      <alignment horizontal="center" vertical="center"/>
      <protection/>
    </xf>
    <xf numFmtId="0" fontId="68" fillId="43" borderId="21" xfId="72" applyFont="1" applyFill="1" applyBorder="1" applyAlignment="1">
      <alignment horizontal="center" vertical="center" wrapText="1"/>
      <protection/>
    </xf>
    <xf numFmtId="0" fontId="35" fillId="36" borderId="16" xfId="72" applyFont="1" applyFill="1" applyBorder="1" applyAlignment="1" applyProtection="1">
      <alignment horizontal="centerContinuous" vertical="center" wrapText="1"/>
      <protection/>
    </xf>
    <xf numFmtId="0" fontId="35" fillId="36" borderId="17" xfId="72" applyFont="1" applyFill="1" applyBorder="1" applyAlignment="1">
      <alignment horizontal="centerContinuous" vertical="center"/>
      <protection/>
    </xf>
    <xf numFmtId="0" fontId="62" fillId="35" borderId="21" xfId="72" applyFont="1" applyFill="1" applyBorder="1" applyAlignment="1">
      <alignment horizontal="center" vertical="center" wrapText="1"/>
      <protection/>
    </xf>
    <xf numFmtId="0" fontId="74" fillId="0" borderId="28" xfId="72" applyFont="1" applyBorder="1" applyAlignment="1" applyProtection="1">
      <alignment horizontal="center"/>
      <protection/>
    </xf>
    <xf numFmtId="0" fontId="29" fillId="34" borderId="23" xfId="72" applyFont="1" applyFill="1" applyBorder="1" applyAlignment="1" applyProtection="1">
      <alignment horizontal="center"/>
      <protection/>
    </xf>
    <xf numFmtId="0" fontId="72" fillId="43" borderId="23" xfId="72" applyFont="1" applyFill="1" applyBorder="1" applyAlignment="1" applyProtection="1">
      <alignment horizontal="center"/>
      <protection/>
    </xf>
    <xf numFmtId="168" fontId="51" fillId="36" borderId="24" xfId="72" applyNumberFormat="1" applyFont="1" applyFill="1" applyBorder="1" applyAlignment="1" applyProtection="1" quotePrefix="1">
      <alignment horizontal="center"/>
      <protection/>
    </xf>
    <xf numFmtId="168" fontId="51" fillId="36" borderId="26" xfId="72" applyNumberFormat="1" applyFont="1" applyFill="1" applyBorder="1" applyAlignment="1" applyProtection="1" quotePrefix="1">
      <alignment horizontal="center"/>
      <protection/>
    </xf>
    <xf numFmtId="168" fontId="64" fillId="35" borderId="23" xfId="72" applyNumberFormat="1" applyFont="1" applyFill="1" applyBorder="1" applyAlignment="1" applyProtection="1" quotePrefix="1">
      <alignment horizontal="center"/>
      <protection/>
    </xf>
    <xf numFmtId="7" fontId="79" fillId="0" borderId="28" xfId="72" applyNumberFormat="1" applyFont="1" applyBorder="1" applyAlignment="1" applyProtection="1">
      <alignment/>
      <protection/>
    </xf>
    <xf numFmtId="0" fontId="74" fillId="0" borderId="33" xfId="72" applyFont="1" applyBorder="1" applyAlignment="1" applyProtection="1">
      <alignment horizontal="center"/>
      <protection/>
    </xf>
    <xf numFmtId="0" fontId="63" fillId="37" borderId="33" xfId="72" applyFont="1" applyFill="1" applyBorder="1" applyAlignment="1" applyProtection="1">
      <alignment horizontal="center"/>
      <protection/>
    </xf>
    <xf numFmtId="0" fontId="29" fillId="34" borderId="28" xfId="72" applyFont="1" applyFill="1" applyBorder="1" applyAlignment="1" applyProtection="1">
      <alignment horizontal="center"/>
      <protection/>
    </xf>
    <xf numFmtId="0" fontId="72" fillId="43" borderId="28" xfId="72" applyFont="1" applyFill="1" applyBorder="1" applyAlignment="1" applyProtection="1">
      <alignment horizontal="center"/>
      <protection/>
    </xf>
    <xf numFmtId="168" fontId="51" fillId="36" borderId="30" xfId="72" applyNumberFormat="1" applyFont="1" applyFill="1" applyBorder="1" applyAlignment="1" applyProtection="1" quotePrefix="1">
      <alignment horizontal="center"/>
      <protection/>
    </xf>
    <xf numFmtId="168" fontId="51" fillId="36" borderId="56" xfId="72" applyNumberFormat="1" applyFont="1" applyFill="1" applyBorder="1" applyAlignment="1" applyProtection="1" quotePrefix="1">
      <alignment horizontal="center"/>
      <protection/>
    </xf>
    <xf numFmtId="168" fontId="64" fillId="35" borderId="28" xfId="72" applyNumberFormat="1" applyFont="1" applyFill="1" applyBorder="1" applyAlignment="1" applyProtection="1" quotePrefix="1">
      <alignment horizontal="center"/>
      <protection/>
    </xf>
    <xf numFmtId="168" fontId="77" fillId="0" borderId="28" xfId="72" applyNumberFormat="1" applyFont="1" applyFill="1" applyBorder="1" applyAlignment="1">
      <alignment horizontal="center"/>
      <protection/>
    </xf>
    <xf numFmtId="0" fontId="74" fillId="0" borderId="33" xfId="72" applyFont="1" applyBorder="1" applyAlignment="1" applyProtection="1">
      <alignment horizontal="center"/>
      <protection locked="0"/>
    </xf>
    <xf numFmtId="164" fontId="49" fillId="0" borderId="28" xfId="72" applyNumberFormat="1" applyFont="1" applyBorder="1" applyAlignment="1" applyProtection="1" quotePrefix="1">
      <alignment horizontal="center"/>
      <protection locked="0"/>
    </xf>
    <xf numFmtId="168" fontId="63" fillId="37" borderId="28" xfId="72" applyNumberFormat="1" applyFont="1" applyFill="1" applyBorder="1" applyAlignment="1" applyProtection="1">
      <alignment horizontal="center"/>
      <protection/>
    </xf>
    <xf numFmtId="22" fontId="13" fillId="0" borderId="30" xfId="72" applyNumberFormat="1" applyFont="1" applyBorder="1" applyAlignment="1" applyProtection="1">
      <alignment horizontal="center"/>
      <protection locked="0"/>
    </xf>
    <xf numFmtId="22" fontId="13" fillId="0" borderId="28" xfId="72" applyNumberFormat="1" applyFont="1" applyBorder="1" applyAlignment="1" applyProtection="1">
      <alignment horizontal="center"/>
      <protection locked="0"/>
    </xf>
    <xf numFmtId="2" fontId="13" fillId="0" borderId="28" xfId="72" applyNumberFormat="1" applyFont="1" applyFill="1" applyBorder="1" applyAlignment="1" applyProtection="1" quotePrefix="1">
      <alignment horizontal="center"/>
      <protection/>
    </xf>
    <xf numFmtId="164" fontId="13" fillId="0" borderId="28" xfId="72" applyNumberFormat="1" applyFont="1" applyFill="1" applyBorder="1" applyAlignment="1" applyProtection="1" quotePrefix="1">
      <alignment horizontal="center"/>
      <protection/>
    </xf>
    <xf numFmtId="164" fontId="29" fillId="34" borderId="28" xfId="72" applyNumberFormat="1" applyFont="1" applyFill="1" applyBorder="1" applyAlignment="1" applyProtection="1">
      <alignment horizontal="center"/>
      <protection/>
    </xf>
    <xf numFmtId="2" fontId="72" fillId="43" borderId="28" xfId="72" applyNumberFormat="1" applyFont="1" applyFill="1" applyBorder="1" applyAlignment="1" applyProtection="1">
      <alignment horizontal="center"/>
      <protection/>
    </xf>
    <xf numFmtId="4" fontId="77" fillId="0" borderId="28" xfId="72" applyNumberFormat="1" applyFont="1" applyFill="1" applyBorder="1" applyAlignment="1">
      <alignment horizontal="right"/>
      <protection/>
    </xf>
    <xf numFmtId="168" fontId="13" fillId="0" borderId="50" xfId="72" applyNumberFormat="1" applyFont="1" applyBorder="1" applyAlignment="1" applyProtection="1">
      <alignment horizontal="center"/>
      <protection locked="0"/>
    </xf>
    <xf numFmtId="168" fontId="13" fillId="0" borderId="50" xfId="72" applyNumberFormat="1" applyFont="1" applyBorder="1" applyAlignment="1" applyProtection="1">
      <alignment horizontal="center"/>
      <protection/>
    </xf>
    <xf numFmtId="164" fontId="29" fillId="34" borderId="36" xfId="72" applyNumberFormat="1" applyFont="1" applyFill="1" applyBorder="1" applyAlignment="1" applyProtection="1">
      <alignment horizontal="center"/>
      <protection locked="0"/>
    </xf>
    <xf numFmtId="2" fontId="72" fillId="43" borderId="36" xfId="72" applyNumberFormat="1" applyFont="1" applyFill="1" applyBorder="1" applyAlignment="1" applyProtection="1">
      <alignment horizontal="center"/>
      <protection locked="0"/>
    </xf>
    <xf numFmtId="168" fontId="51" fillId="36" borderId="37" xfId="72" applyNumberFormat="1" applyFont="1" applyFill="1" applyBorder="1" applyAlignment="1" applyProtection="1" quotePrefix="1">
      <alignment horizontal="center"/>
      <protection locked="0"/>
    </xf>
    <xf numFmtId="168" fontId="51" fillId="36" borderId="39" xfId="72" applyNumberFormat="1" applyFont="1" applyFill="1" applyBorder="1" applyAlignment="1" applyProtection="1" quotePrefix="1">
      <alignment horizontal="center"/>
      <protection locked="0"/>
    </xf>
    <xf numFmtId="168" fontId="64" fillId="35" borderId="36" xfId="72" applyNumberFormat="1" applyFont="1" applyFill="1" applyBorder="1" applyAlignment="1" applyProtection="1" quotePrefix="1">
      <alignment horizontal="center"/>
      <protection locked="0"/>
    </xf>
    <xf numFmtId="7" fontId="65" fillId="0" borderId="40" xfId="72" applyNumberFormat="1" applyFont="1" applyFill="1" applyBorder="1" applyAlignment="1">
      <alignment horizontal="right"/>
      <protection/>
    </xf>
    <xf numFmtId="4" fontId="72" fillId="43" borderId="21" xfId="72" applyNumberFormat="1" applyFont="1" applyFill="1" applyBorder="1" applyAlignment="1">
      <alignment horizontal="center"/>
      <protection/>
    </xf>
    <xf numFmtId="4" fontId="51" fillId="36" borderId="54" xfId="72" applyNumberFormat="1" applyFont="1" applyFill="1" applyBorder="1" applyAlignment="1">
      <alignment horizontal="center"/>
      <protection/>
    </xf>
    <xf numFmtId="4" fontId="51" fillId="36" borderId="55" xfId="72" applyNumberFormat="1" applyFont="1" applyFill="1" applyBorder="1" applyAlignment="1">
      <alignment horizontal="center"/>
      <protection/>
    </xf>
    <xf numFmtId="4" fontId="64" fillId="35" borderId="21" xfId="72" applyNumberFormat="1" applyFont="1" applyFill="1" applyBorder="1" applyAlignment="1">
      <alignment horizontal="center"/>
      <protection/>
    </xf>
    <xf numFmtId="4" fontId="19" fillId="0" borderId="0" xfId="72" applyNumberFormat="1" applyFont="1" applyFill="1" applyBorder="1" applyAlignment="1">
      <alignment horizontal="center"/>
      <protection/>
    </xf>
    <xf numFmtId="7" fontId="4" fillId="0" borderId="21" xfId="72" applyNumberFormat="1" applyFont="1" applyFill="1" applyBorder="1" applyAlignment="1">
      <alignment horizontal="right"/>
      <protection/>
    </xf>
    <xf numFmtId="0" fontId="20" fillId="0" borderId="0" xfId="72" applyFont="1" applyFill="1" applyAlignment="1">
      <alignment vertical="top"/>
      <protection/>
    </xf>
    <xf numFmtId="0" fontId="78" fillId="0" borderId="0" xfId="72" applyFont="1" applyFill="1" applyAlignment="1">
      <alignment vertical="top"/>
      <protection/>
    </xf>
    <xf numFmtId="0" fontId="16" fillId="0" borderId="0" xfId="72" applyFont="1" applyFill="1" applyBorder="1" applyAlignment="1" applyProtection="1">
      <alignment vertical="top"/>
      <protection/>
    </xf>
    <xf numFmtId="0" fontId="16" fillId="0" borderId="15" xfId="72" applyFont="1" applyBorder="1" applyAlignment="1">
      <alignment vertical="top"/>
      <protection/>
    </xf>
    <xf numFmtId="0" fontId="5" fillId="0" borderId="0" xfId="72" applyFont="1" applyFill="1" applyAlignment="1">
      <alignment vertical="top"/>
      <protection/>
    </xf>
    <xf numFmtId="0" fontId="13" fillId="0" borderId="0" xfId="72" applyFont="1" applyFill="1" applyBorder="1" applyAlignment="1" applyProtection="1">
      <alignment vertical="top"/>
      <protection/>
    </xf>
    <xf numFmtId="0" fontId="25" fillId="0" borderId="0" xfId="72" applyFont="1" applyBorder="1" applyAlignment="1">
      <alignment vertical="top"/>
      <protection/>
    </xf>
    <xf numFmtId="0" fontId="13" fillId="0" borderId="15" xfId="72" applyFont="1" applyBorder="1" applyAlignment="1">
      <alignment vertical="top"/>
      <protection/>
    </xf>
    <xf numFmtId="174" fontId="3" fillId="0" borderId="17" xfId="72" applyNumberFormat="1" applyFont="1" applyBorder="1" applyAlignment="1" applyProtection="1">
      <alignment horizontal="center" vertical="center"/>
      <protection locked="0"/>
    </xf>
    <xf numFmtId="0" fontId="9" fillId="0" borderId="0" xfId="72" applyFont="1" applyAlignment="1">
      <alignment horizontal="centerContinuous"/>
      <protection/>
    </xf>
    <xf numFmtId="0" fontId="20" fillId="0" borderId="0" xfId="72" applyFont="1" applyBorder="1" applyAlignment="1">
      <alignment horizontal="centerContinuous"/>
      <protection/>
    </xf>
    <xf numFmtId="0" fontId="16" fillId="0" borderId="15" xfId="72" applyFont="1" applyBorder="1" applyAlignment="1">
      <alignment horizontal="centerContinuous"/>
      <protection/>
    </xf>
    <xf numFmtId="0" fontId="20" fillId="0" borderId="0" xfId="72" applyFont="1">
      <alignment/>
      <protection/>
    </xf>
    <xf numFmtId="0" fontId="16" fillId="0" borderId="0" xfId="72" applyFont="1" applyBorder="1" applyProtection="1">
      <alignment/>
      <protection/>
    </xf>
    <xf numFmtId="0" fontId="5" fillId="0" borderId="0" xfId="72" applyFont="1" applyBorder="1">
      <alignment/>
      <protection/>
    </xf>
    <xf numFmtId="0" fontId="24" fillId="0" borderId="0" xfId="72" applyFont="1" applyBorder="1" applyAlignment="1">
      <alignment horizontal="centerContinuous"/>
      <protection/>
    </xf>
    <xf numFmtId="0" fontId="24" fillId="0" borderId="0" xfId="72" applyFont="1" applyBorder="1" applyAlignment="1" applyProtection="1">
      <alignment horizontal="centerContinuous"/>
      <protection/>
    </xf>
    <xf numFmtId="0" fontId="24" fillId="0" borderId="15" xfId="72" applyFont="1" applyBorder="1" applyAlignment="1">
      <alignment horizontal="centerContinuous"/>
      <protection/>
    </xf>
    <xf numFmtId="0" fontId="3" fillId="0" borderId="16" xfId="72" applyFont="1" applyBorder="1" applyAlignment="1" applyProtection="1">
      <alignment horizontal="left"/>
      <protection/>
    </xf>
    <xf numFmtId="0" fontId="3" fillId="0" borderId="16" xfId="72" applyFont="1" applyBorder="1" applyAlignment="1" applyProtection="1" quotePrefix="1">
      <alignment horizontal="left"/>
      <protection/>
    </xf>
    <xf numFmtId="0" fontId="3" fillId="0" borderId="22" xfId="72" applyFont="1" applyBorder="1" applyAlignment="1" applyProtection="1">
      <alignment horizontal="center"/>
      <protection/>
    </xf>
    <xf numFmtId="164" fontId="3" fillId="0" borderId="21" xfId="72" applyNumberFormat="1" applyFont="1" applyBorder="1" applyAlignment="1" applyProtection="1">
      <alignment horizontal="center"/>
      <protection/>
    </xf>
    <xf numFmtId="0" fontId="30" fillId="0" borderId="21" xfId="72" applyFont="1" applyBorder="1" applyAlignment="1" applyProtection="1" quotePrefix="1">
      <alignment horizontal="center" vertical="center" wrapText="1"/>
      <protection/>
    </xf>
    <xf numFmtId="0" fontId="61" fillId="39" borderId="21" xfId="72" applyFont="1" applyFill="1" applyBorder="1" applyAlignment="1">
      <alignment horizontal="center" vertical="center" wrapText="1"/>
      <protection/>
    </xf>
    <xf numFmtId="0" fontId="34" fillId="45" borderId="16" xfId="72" applyFont="1" applyFill="1" applyBorder="1" applyAlignment="1" applyProtection="1">
      <alignment horizontal="centerContinuous" vertical="center" wrapText="1"/>
      <protection/>
    </xf>
    <xf numFmtId="0" fontId="34" fillId="45" borderId="17" xfId="72" applyFont="1" applyFill="1" applyBorder="1" applyAlignment="1">
      <alignment horizontal="centerContinuous" vertical="center"/>
      <protection/>
    </xf>
    <xf numFmtId="0" fontId="37" fillId="36" borderId="21" xfId="72" applyFont="1" applyFill="1" applyBorder="1" applyAlignment="1">
      <alignment horizontal="center" vertical="center" wrapText="1"/>
      <protection/>
    </xf>
    <xf numFmtId="0" fontId="61" fillId="0" borderId="21" xfId="72" applyFont="1" applyFill="1" applyBorder="1" applyAlignment="1">
      <alignment horizontal="center" vertical="center" wrapText="1"/>
      <protection/>
    </xf>
    <xf numFmtId="0" fontId="13" fillId="0" borderId="57" xfId="72" applyFont="1" applyBorder="1" applyAlignment="1">
      <alignment horizontal="center"/>
      <protection/>
    </xf>
    <xf numFmtId="0" fontId="13" fillId="0" borderId="58" xfId="72" applyFont="1" applyBorder="1" applyAlignment="1">
      <alignment horizontal="center"/>
      <protection/>
    </xf>
    <xf numFmtId="0" fontId="13" fillId="0" borderId="35" xfId="72" applyFont="1" applyBorder="1" applyAlignment="1">
      <alignment horizontal="center"/>
      <protection/>
    </xf>
    <xf numFmtId="0" fontId="63" fillId="37" borderId="0" xfId="72" applyFont="1" applyFill="1" applyBorder="1" applyAlignment="1">
      <alignment horizontal="center"/>
      <protection/>
    </xf>
    <xf numFmtId="0" fontId="80" fillId="39" borderId="43" xfId="72" applyFont="1" applyFill="1" applyBorder="1" applyAlignment="1">
      <alignment horizontal="center"/>
      <protection/>
    </xf>
    <xf numFmtId="0" fontId="50" fillId="45" borderId="24" xfId="72" applyFont="1" applyFill="1" applyBorder="1" applyAlignment="1">
      <alignment horizontal="center"/>
      <protection/>
    </xf>
    <xf numFmtId="0" fontId="50" fillId="45" borderId="26" xfId="72" applyFont="1" applyFill="1" applyBorder="1" applyAlignment="1">
      <alignment horizontal="center"/>
      <protection/>
    </xf>
    <xf numFmtId="0" fontId="53" fillId="36" borderId="43" xfId="72" applyFont="1" applyFill="1" applyBorder="1" applyAlignment="1">
      <alignment horizontal="center"/>
      <protection/>
    </xf>
    <xf numFmtId="0" fontId="13" fillId="0" borderId="43" xfId="72" applyFont="1" applyBorder="1" applyAlignment="1">
      <alignment horizontal="center"/>
      <protection/>
    </xf>
    <xf numFmtId="7" fontId="77" fillId="0" borderId="43" xfId="72" applyNumberFormat="1" applyFont="1" applyFill="1" applyBorder="1" applyAlignment="1">
      <alignment horizontal="center"/>
      <protection/>
    </xf>
    <xf numFmtId="0" fontId="74" fillId="0" borderId="32" xfId="72" applyFont="1" applyBorder="1" applyAlignment="1" applyProtection="1">
      <alignment horizontal="center"/>
      <protection/>
    </xf>
    <xf numFmtId="0" fontId="74" fillId="0" borderId="59" xfId="72" applyFont="1" applyBorder="1" applyAlignment="1" applyProtection="1">
      <alignment horizontal="center"/>
      <protection/>
    </xf>
    <xf numFmtId="0" fontId="74" fillId="0" borderId="27" xfId="72" applyFont="1" applyBorder="1" applyAlignment="1" applyProtection="1">
      <alignment horizontal="center"/>
      <protection/>
    </xf>
    <xf numFmtId="168" fontId="63" fillId="37" borderId="27" xfId="72" applyNumberFormat="1" applyFont="1" applyFill="1" applyBorder="1" applyAlignment="1" applyProtection="1">
      <alignment horizontal="center"/>
      <protection/>
    </xf>
    <xf numFmtId="22" fontId="13" fillId="0" borderId="48" xfId="72" applyNumberFormat="1" applyFont="1" applyBorder="1" applyAlignment="1">
      <alignment horizontal="center"/>
      <protection/>
    </xf>
    <xf numFmtId="22" fontId="13" fillId="0" borderId="59" xfId="72" applyNumberFormat="1" applyFont="1" applyBorder="1" applyAlignment="1" applyProtection="1">
      <alignment horizontal="center"/>
      <protection/>
    </xf>
    <xf numFmtId="2" fontId="13" fillId="0" borderId="27" xfId="72" applyNumberFormat="1" applyFont="1" applyFill="1" applyBorder="1" applyAlignment="1" applyProtection="1" quotePrefix="1">
      <alignment horizontal="center"/>
      <protection/>
    </xf>
    <xf numFmtId="164" fontId="13" fillId="0" borderId="27" xfId="72" applyNumberFormat="1" applyFont="1" applyFill="1" applyBorder="1" applyAlignment="1" applyProtection="1" quotePrefix="1">
      <alignment horizontal="center"/>
      <protection/>
    </xf>
    <xf numFmtId="168" fontId="13" fillId="0" borderId="47" xfId="72" applyNumberFormat="1" applyFont="1" applyBorder="1" applyAlignment="1" applyProtection="1">
      <alignment horizontal="center"/>
      <protection/>
    </xf>
    <xf numFmtId="164" fontId="63" fillId="37" borderId="32" xfId="72" applyNumberFormat="1" applyFont="1" applyFill="1" applyBorder="1" applyAlignment="1" applyProtection="1">
      <alignment horizontal="center"/>
      <protection/>
    </xf>
    <xf numFmtId="2" fontId="80" fillId="39" borderId="27" xfId="72" applyNumberFormat="1" applyFont="1" applyFill="1" applyBorder="1" applyAlignment="1">
      <alignment horizontal="center"/>
      <protection/>
    </xf>
    <xf numFmtId="168" fontId="50" fillId="45" borderId="48" xfId="72" applyNumberFormat="1" applyFont="1" applyFill="1" applyBorder="1" applyAlignment="1" applyProtection="1" quotePrefix="1">
      <alignment horizontal="center"/>
      <protection/>
    </xf>
    <xf numFmtId="168" fontId="50" fillId="45" borderId="49" xfId="72" applyNumberFormat="1" applyFont="1" applyFill="1" applyBorder="1" applyAlignment="1" applyProtection="1" quotePrefix="1">
      <alignment horizontal="center"/>
      <protection/>
    </xf>
    <xf numFmtId="168" fontId="53" fillId="36" borderId="27" xfId="72" applyNumberFormat="1" applyFont="1" applyFill="1" applyBorder="1" applyAlignment="1" applyProtection="1" quotePrefix="1">
      <alignment horizontal="center"/>
      <protection/>
    </xf>
    <xf numFmtId="168" fontId="77" fillId="0" borderId="27" xfId="72" applyNumberFormat="1" applyFont="1" applyFill="1" applyBorder="1" applyAlignment="1">
      <alignment horizontal="center"/>
      <protection/>
    </xf>
    <xf numFmtId="0" fontId="74" fillId="0" borderId="60" xfId="72" applyFont="1" applyBorder="1" applyAlignment="1" applyProtection="1">
      <alignment horizontal="center"/>
      <protection locked="0"/>
    </xf>
    <xf numFmtId="0" fontId="74" fillId="0" borderId="28" xfId="72" applyFont="1" applyBorder="1" applyAlignment="1" applyProtection="1">
      <alignment horizontal="center"/>
      <protection locked="0"/>
    </xf>
    <xf numFmtId="164" fontId="63" fillId="37" borderId="60" xfId="72" applyNumberFormat="1" applyFont="1" applyFill="1" applyBorder="1" applyAlignment="1" applyProtection="1">
      <alignment horizontal="center"/>
      <protection/>
    </xf>
    <xf numFmtId="2" fontId="80" fillId="39" borderId="28" xfId="72" applyNumberFormat="1" applyFont="1" applyFill="1" applyBorder="1" applyAlignment="1" applyProtection="1">
      <alignment horizontal="center"/>
      <protection/>
    </xf>
    <xf numFmtId="2" fontId="13" fillId="0" borderId="61" xfId="72" applyNumberFormat="1" applyFont="1" applyFill="1" applyBorder="1" applyAlignment="1" applyProtection="1" quotePrefix="1">
      <alignment horizontal="center"/>
      <protection/>
    </xf>
    <xf numFmtId="0" fontId="74" fillId="0" borderId="36" xfId="72" applyFont="1" applyBorder="1" applyAlignment="1" applyProtection="1">
      <alignment horizontal="center"/>
      <protection locked="0"/>
    </xf>
    <xf numFmtId="164" fontId="63" fillId="37" borderId="62" xfId="72" applyNumberFormat="1" applyFont="1" applyFill="1" applyBorder="1" applyAlignment="1" applyProtection="1">
      <alignment horizontal="center"/>
      <protection locked="0"/>
    </xf>
    <xf numFmtId="2" fontId="80" fillId="39" borderId="36" xfId="72" applyNumberFormat="1" applyFont="1" applyFill="1" applyBorder="1" applyAlignment="1" applyProtection="1">
      <alignment horizontal="center"/>
      <protection locked="0"/>
    </xf>
    <xf numFmtId="168" fontId="50" fillId="45" borderId="51" xfId="72" applyNumberFormat="1" applyFont="1" applyFill="1" applyBorder="1" applyAlignment="1" applyProtection="1" quotePrefix="1">
      <alignment horizontal="center"/>
      <protection locked="0"/>
    </xf>
    <xf numFmtId="168" fontId="50" fillId="45" borderId="52" xfId="72" applyNumberFormat="1" applyFont="1" applyFill="1" applyBorder="1" applyAlignment="1" applyProtection="1" quotePrefix="1">
      <alignment horizontal="center"/>
      <protection locked="0"/>
    </xf>
    <xf numFmtId="168" fontId="53" fillId="36" borderId="36" xfId="72" applyNumberFormat="1" applyFont="1" applyFill="1" applyBorder="1" applyAlignment="1" applyProtection="1" quotePrefix="1">
      <alignment horizontal="center"/>
      <protection locked="0"/>
    </xf>
    <xf numFmtId="168" fontId="77" fillId="0" borderId="40" xfId="72" applyNumberFormat="1" applyFont="1" applyFill="1" applyBorder="1" applyAlignment="1">
      <alignment horizontal="center"/>
      <protection/>
    </xf>
    <xf numFmtId="4" fontId="80" fillId="39" borderId="21" xfId="72" applyNumberFormat="1" applyFont="1" applyFill="1" applyBorder="1" applyAlignment="1">
      <alignment horizontal="center"/>
      <protection/>
    </xf>
    <xf numFmtId="4" fontId="50" fillId="45" borderId="54" xfId="72" applyNumberFormat="1" applyFont="1" applyFill="1" applyBorder="1" applyAlignment="1">
      <alignment horizontal="center"/>
      <protection/>
    </xf>
    <xf numFmtId="4" fontId="50" fillId="45" borderId="17" xfId="72" applyNumberFormat="1" applyFont="1" applyFill="1" applyBorder="1" applyAlignment="1">
      <alignment horizontal="center"/>
      <protection/>
    </xf>
    <xf numFmtId="4" fontId="53" fillId="36" borderId="21" xfId="72" applyNumberFormat="1" applyFont="1" applyFill="1" applyBorder="1" applyAlignment="1">
      <alignment horizontal="center"/>
      <protection/>
    </xf>
    <xf numFmtId="0" fontId="13" fillId="0" borderId="63" xfId="72" applyFont="1" applyBorder="1">
      <alignment/>
      <protection/>
    </xf>
    <xf numFmtId="0" fontId="0" fillId="0" borderId="0" xfId="72" applyFont="1" applyBorder="1">
      <alignment/>
      <protection/>
    </xf>
    <xf numFmtId="164" fontId="13" fillId="0" borderId="29" xfId="72" applyNumberFormat="1" applyFont="1" applyBorder="1" applyAlignment="1" applyProtection="1">
      <alignment horizontal="center"/>
      <protection/>
    </xf>
    <xf numFmtId="165" fontId="13" fillId="0" borderId="28" xfId="72" applyNumberFormat="1" applyFont="1" applyBorder="1" applyAlignment="1" applyProtection="1">
      <alignment horizontal="center"/>
      <protection/>
    </xf>
    <xf numFmtId="164" fontId="13" fillId="0" borderId="28" xfId="72" applyNumberFormat="1" applyFont="1" applyBorder="1" applyAlignment="1" applyProtection="1">
      <alignment horizontal="center"/>
      <protection/>
    </xf>
    <xf numFmtId="22" fontId="13" fillId="0" borderId="28" xfId="72" applyNumberFormat="1" applyFont="1" applyBorder="1" applyAlignment="1">
      <alignment horizontal="center"/>
      <protection/>
    </xf>
    <xf numFmtId="22" fontId="13" fillId="0" borderId="32" xfId="72" applyNumberFormat="1" applyFont="1" applyBorder="1" applyAlignment="1">
      <alignment horizontal="center"/>
      <protection/>
    </xf>
    <xf numFmtId="168" fontId="13" fillId="0" borderId="29" xfId="72" applyNumberFormat="1" applyFont="1" applyBorder="1" applyAlignment="1" applyProtection="1">
      <alignment horizontal="center"/>
      <protection/>
    </xf>
    <xf numFmtId="164" fontId="49" fillId="0" borderId="28" xfId="72" applyNumberFormat="1" applyFont="1" applyBorder="1" applyAlignment="1" applyProtection="1" quotePrefix="1">
      <alignment horizontal="center"/>
      <protection/>
    </xf>
    <xf numFmtId="22" fontId="13" fillId="0" borderId="30" xfId="72" applyNumberFormat="1" applyFont="1" applyBorder="1" applyAlignment="1">
      <alignment horizontal="center"/>
      <protection/>
    </xf>
    <xf numFmtId="22" fontId="13" fillId="0" borderId="28" xfId="72" applyNumberFormat="1" applyFont="1" applyBorder="1" applyAlignment="1" applyProtection="1">
      <alignment horizontal="center"/>
      <protection/>
    </xf>
    <xf numFmtId="0" fontId="96" fillId="37" borderId="64" xfId="72" applyFont="1" applyFill="1" applyBorder="1">
      <alignment/>
      <protection/>
    </xf>
    <xf numFmtId="0" fontId="96" fillId="0" borderId="0" xfId="72" applyFont="1">
      <alignment/>
      <protection/>
    </xf>
    <xf numFmtId="0" fontId="96" fillId="0" borderId="0" xfId="72" applyFont="1" applyFill="1">
      <alignment/>
      <protection/>
    </xf>
    <xf numFmtId="0" fontId="96" fillId="0" borderId="64" xfId="72" applyFont="1" applyBorder="1">
      <alignment/>
      <protection/>
    </xf>
    <xf numFmtId="0" fontId="96" fillId="0" borderId="64" xfId="72" applyFont="1" applyBorder="1" quotePrefix="1">
      <alignment/>
      <protection/>
    </xf>
    <xf numFmtId="0" fontId="97" fillId="0" borderId="0" xfId="61" applyFont="1" applyFill="1" applyAlignment="1">
      <alignment/>
      <protection/>
    </xf>
    <xf numFmtId="0" fontId="96" fillId="37" borderId="64" xfId="72" applyFont="1" applyFill="1" applyBorder="1" applyAlignment="1">
      <alignment horizontal="center"/>
      <protection/>
    </xf>
    <xf numFmtId="0" fontId="96" fillId="46" borderId="0" xfId="72" applyFont="1" applyFill="1">
      <alignment/>
      <protection/>
    </xf>
    <xf numFmtId="0" fontId="96" fillId="46" borderId="0" xfId="72" applyNumberFormat="1" applyFont="1" applyFill="1">
      <alignment/>
      <protection/>
    </xf>
    <xf numFmtId="0" fontId="96" fillId="0" borderId="64" xfId="72" applyFont="1" applyFill="1" applyBorder="1" applyAlignment="1">
      <alignment horizontal="center"/>
      <protection/>
    </xf>
    <xf numFmtId="0" fontId="96" fillId="46" borderId="0" xfId="61" applyFont="1" applyFill="1" applyAlignment="1">
      <alignment/>
      <protection/>
    </xf>
    <xf numFmtId="0" fontId="98" fillId="0" borderId="64" xfId="72" applyFont="1" applyBorder="1">
      <alignment/>
      <protection/>
    </xf>
    <xf numFmtId="0" fontId="98" fillId="0" borderId="64" xfId="72" applyFont="1" applyFill="1" applyBorder="1">
      <alignment/>
      <protection/>
    </xf>
    <xf numFmtId="0" fontId="98" fillId="0" borderId="65" xfId="72" applyFont="1" applyBorder="1">
      <alignment/>
      <protection/>
    </xf>
    <xf numFmtId="0" fontId="98" fillId="0" borderId="65" xfId="72" applyFont="1" applyFill="1" applyBorder="1">
      <alignment/>
      <protection/>
    </xf>
    <xf numFmtId="0" fontId="99" fillId="0" borderId="64" xfId="72" applyFont="1" applyFill="1" applyBorder="1">
      <alignment/>
      <protection/>
    </xf>
    <xf numFmtId="0" fontId="99" fillId="0" borderId="64" xfId="72" applyFont="1" applyBorder="1">
      <alignment/>
      <protection/>
    </xf>
    <xf numFmtId="0" fontId="98" fillId="0" borderId="0" xfId="72" applyFont="1" applyFill="1">
      <alignment/>
      <protection/>
    </xf>
    <xf numFmtId="0" fontId="99" fillId="0" borderId="65" xfId="72" applyFont="1" applyBorder="1">
      <alignment/>
      <protection/>
    </xf>
    <xf numFmtId="0" fontId="99" fillId="0" borderId="65" xfId="72" applyFont="1" applyFill="1" applyBorder="1">
      <alignment/>
      <protection/>
    </xf>
    <xf numFmtId="0" fontId="100" fillId="0" borderId="64" xfId="72" applyFont="1" applyFill="1" applyBorder="1">
      <alignment/>
      <protection/>
    </xf>
    <xf numFmtId="0" fontId="100" fillId="0" borderId="65" xfId="72" applyFont="1" applyFill="1" applyBorder="1">
      <alignment/>
      <protection/>
    </xf>
    <xf numFmtId="0" fontId="100" fillId="47" borderId="64" xfId="72" applyFont="1" applyFill="1" applyBorder="1">
      <alignment/>
      <protection/>
    </xf>
    <xf numFmtId="0" fontId="3" fillId="0" borderId="0" xfId="72" quotePrefix="1">
      <alignment/>
      <protection/>
    </xf>
    <xf numFmtId="1" fontId="13" fillId="0" borderId="49" xfId="72" applyNumberFormat="1" applyFont="1" applyBorder="1" applyAlignment="1" applyProtection="1">
      <alignment horizontal="center"/>
      <protection locked="0"/>
    </xf>
    <xf numFmtId="164" fontId="49" fillId="0" borderId="28" xfId="72" applyNumberFormat="1" applyFont="1" applyBorder="1" applyAlignment="1" applyProtection="1">
      <alignment horizontal="center"/>
      <protection locked="0"/>
    </xf>
    <xf numFmtId="173" fontId="13" fillId="0" borderId="29" xfId="72" applyNumberFormat="1" applyFont="1" applyBorder="1" applyAlignment="1" applyProtection="1">
      <alignment horizontal="center"/>
      <protection/>
    </xf>
    <xf numFmtId="0" fontId="8" fillId="0" borderId="0" xfId="64" applyFont="1">
      <alignment/>
      <protection/>
    </xf>
    <xf numFmtId="0" fontId="8" fillId="0" borderId="0" xfId="64" applyFont="1" applyFill="1">
      <alignment/>
      <protection/>
    </xf>
    <xf numFmtId="0" fontId="11" fillId="0" borderId="0" xfId="64" applyFont="1" applyFill="1" applyAlignment="1">
      <alignment horizontal="right" vertical="top"/>
      <protection/>
    </xf>
    <xf numFmtId="0" fontId="9" fillId="0" borderId="0" xfId="64" applyFont="1" applyFill="1" applyAlignment="1">
      <alignment horizontal="centerContinuous"/>
      <protection/>
    </xf>
    <xf numFmtId="0" fontId="9" fillId="0" borderId="0" xfId="64" applyFont="1" applyAlignment="1">
      <alignment horizontal="centerContinuous"/>
      <protection/>
    </xf>
    <xf numFmtId="0" fontId="13" fillId="0" borderId="0" xfId="64" applyFont="1" applyFill="1">
      <alignment/>
      <protection/>
    </xf>
    <xf numFmtId="0" fontId="13" fillId="0" borderId="0" xfId="64" applyFont="1">
      <alignment/>
      <protection/>
    </xf>
    <xf numFmtId="0" fontId="6" fillId="0" borderId="0" xfId="64" applyFont="1" applyFill="1" applyAlignment="1">
      <alignment horizontal="centerContinuous"/>
      <protection/>
    </xf>
    <xf numFmtId="0" fontId="14" fillId="0" borderId="0" xfId="64" applyFont="1" applyFill="1" applyAlignment="1">
      <alignment horizontal="centerContinuous"/>
      <protection/>
    </xf>
    <xf numFmtId="0" fontId="14" fillId="0" borderId="0" xfId="64" applyFont="1" applyFill="1">
      <alignment/>
      <protection/>
    </xf>
    <xf numFmtId="0" fontId="14" fillId="0" borderId="0" xfId="64" applyFont="1">
      <alignment/>
      <protection/>
    </xf>
    <xf numFmtId="0" fontId="13" fillId="0" borderId="11" xfId="64" applyFont="1" applyFill="1" applyBorder="1">
      <alignment/>
      <protection/>
    </xf>
    <xf numFmtId="0" fontId="13" fillId="0" borderId="12" xfId="64" applyFont="1" applyFill="1" applyBorder="1">
      <alignment/>
      <protection/>
    </xf>
    <xf numFmtId="0" fontId="13" fillId="0" borderId="13" xfId="64" applyFont="1" applyFill="1" applyBorder="1">
      <alignment/>
      <protection/>
    </xf>
    <xf numFmtId="0" fontId="16" fillId="0" borderId="0" xfId="64" applyFont="1">
      <alignment/>
      <protection/>
    </xf>
    <xf numFmtId="0" fontId="16" fillId="0" borderId="14" xfId="64" applyFont="1" applyBorder="1">
      <alignment/>
      <protection/>
    </xf>
    <xf numFmtId="0" fontId="16" fillId="0" borderId="0" xfId="64" applyFont="1" applyBorder="1">
      <alignment/>
      <protection/>
    </xf>
    <xf numFmtId="0" fontId="20" fillId="0" borderId="0" xfId="64" applyFont="1" applyBorder="1" applyAlignment="1">
      <alignment horizontal="left"/>
      <protection/>
    </xf>
    <xf numFmtId="0" fontId="20" fillId="0" borderId="0" xfId="64" applyFont="1" applyBorder="1">
      <alignment/>
      <protection/>
    </xf>
    <xf numFmtId="0" fontId="18" fillId="0" borderId="0" xfId="64" applyFont="1">
      <alignment/>
      <protection/>
    </xf>
    <xf numFmtId="0" fontId="16" fillId="0" borderId="15" xfId="64" applyFont="1" applyFill="1" applyBorder="1">
      <alignment/>
      <protection/>
    </xf>
    <xf numFmtId="0" fontId="13" fillId="0" borderId="14" xfId="64" applyFont="1" applyFill="1" applyBorder="1">
      <alignment/>
      <protection/>
    </xf>
    <xf numFmtId="0" fontId="13" fillId="0" borderId="0" xfId="64" applyFont="1" applyFill="1" applyBorder="1">
      <alignment/>
      <protection/>
    </xf>
    <xf numFmtId="0" fontId="5" fillId="0" borderId="0" xfId="64" applyFont="1" applyFill="1" applyBorder="1" applyAlignment="1">
      <alignment horizontal="left"/>
      <protection/>
    </xf>
    <xf numFmtId="0" fontId="13" fillId="0" borderId="15" xfId="64" applyFont="1" applyFill="1" applyBorder="1">
      <alignment/>
      <protection/>
    </xf>
    <xf numFmtId="0" fontId="16" fillId="0" borderId="0" xfId="64" applyFont="1" applyAlignment="1">
      <alignment vertical="top"/>
      <protection/>
    </xf>
    <xf numFmtId="0" fontId="16" fillId="0" borderId="14" xfId="64" applyFont="1" applyBorder="1" applyAlignment="1">
      <alignment vertical="top"/>
      <protection/>
    </xf>
    <xf numFmtId="0" fontId="16" fillId="0" borderId="0" xfId="64" applyFont="1" applyBorder="1" applyAlignment="1">
      <alignment vertical="top"/>
      <protection/>
    </xf>
    <xf numFmtId="0" fontId="20" fillId="0" borderId="0" xfId="64" applyFont="1" applyFill="1" applyBorder="1" applyAlignment="1">
      <alignment horizontal="left" vertical="top"/>
      <protection/>
    </xf>
    <xf numFmtId="0" fontId="20" fillId="0" borderId="0" xfId="64" applyFont="1" applyBorder="1" applyAlignment="1">
      <alignment vertical="top"/>
      <protection/>
    </xf>
    <xf numFmtId="0" fontId="18" fillId="0" borderId="0" xfId="64" applyFont="1" applyAlignment="1">
      <alignment vertical="top"/>
      <protection/>
    </xf>
    <xf numFmtId="0" fontId="16" fillId="0" borderId="15" xfId="64" applyFont="1" applyFill="1" applyBorder="1" applyAlignment="1">
      <alignment vertical="top"/>
      <protection/>
    </xf>
    <xf numFmtId="0" fontId="13" fillId="0" borderId="0" xfId="64" applyFont="1" applyFill="1" applyAlignment="1">
      <alignment vertical="top"/>
      <protection/>
    </xf>
    <xf numFmtId="0" fontId="13" fillId="0" borderId="14" xfId="64" applyFont="1" applyFill="1" applyBorder="1" applyAlignment="1">
      <alignment vertical="top"/>
      <protection/>
    </xf>
    <xf numFmtId="0" fontId="13" fillId="0" borderId="0" xfId="64" applyFont="1" applyFill="1" applyBorder="1" applyAlignment="1">
      <alignment vertical="top"/>
      <protection/>
    </xf>
    <xf numFmtId="0" fontId="20" fillId="0" borderId="0" xfId="64" applyFont="1" applyBorder="1" applyAlignment="1">
      <alignment horizontal="left" vertical="top"/>
      <protection/>
    </xf>
    <xf numFmtId="0" fontId="13" fillId="0" borderId="0" xfId="64" applyFont="1" applyFill="1" applyBorder="1" applyAlignment="1">
      <alignment horizontal="center" vertical="top"/>
      <protection/>
    </xf>
    <xf numFmtId="0" fontId="13" fillId="0" borderId="15" xfId="64" applyFont="1" applyFill="1" applyBorder="1" applyAlignment="1">
      <alignment vertical="top"/>
      <protection/>
    </xf>
    <xf numFmtId="0" fontId="13" fillId="0" borderId="0" xfId="64" applyFont="1" applyAlignment="1">
      <alignment vertical="top"/>
      <protection/>
    </xf>
    <xf numFmtId="0" fontId="23" fillId="0" borderId="0" xfId="64" applyFont="1" applyFill="1">
      <alignment/>
      <protection/>
    </xf>
    <xf numFmtId="0" fontId="24" fillId="0" borderId="14" xfId="73" applyFont="1" applyBorder="1" applyAlignment="1">
      <alignment horizontal="centerContinuous"/>
      <protection/>
    </xf>
    <xf numFmtId="0" fontId="24" fillId="0" borderId="0" xfId="64" applyFont="1" applyBorder="1" applyAlignment="1">
      <alignment horizontal="centerContinuous"/>
      <protection/>
    </xf>
    <xf numFmtId="0" fontId="24" fillId="0" borderId="0" xfId="64" applyFont="1" applyFill="1" applyAlignment="1">
      <alignment horizontal="centerContinuous"/>
      <protection/>
    </xf>
    <xf numFmtId="0" fontId="24" fillId="0" borderId="0" xfId="64" applyFont="1" applyFill="1" applyBorder="1" applyAlignment="1">
      <alignment horizontal="centerContinuous"/>
      <protection/>
    </xf>
    <xf numFmtId="0" fontId="26" fillId="0" borderId="0" xfId="64" applyFont="1" applyFill="1" applyAlignment="1">
      <alignment horizontal="centerContinuous"/>
      <protection/>
    </xf>
    <xf numFmtId="0" fontId="26" fillId="0" borderId="15" xfId="64" applyFont="1" applyFill="1" applyBorder="1" applyAlignment="1">
      <alignment horizontal="centerContinuous"/>
      <protection/>
    </xf>
    <xf numFmtId="0" fontId="23" fillId="0" borderId="0" xfId="64" applyFont="1">
      <alignment/>
      <protection/>
    </xf>
    <xf numFmtId="0" fontId="13" fillId="0" borderId="0" xfId="64" applyFont="1" applyFill="1" applyBorder="1" applyAlignment="1">
      <alignment horizontal="center"/>
      <protection/>
    </xf>
    <xf numFmtId="0" fontId="3" fillId="0" borderId="62" xfId="64" applyFont="1" applyFill="1" applyBorder="1" applyAlignment="1" applyProtection="1">
      <alignment horizontal="left" vertical="center"/>
      <protection/>
    </xf>
    <xf numFmtId="0" fontId="3" fillId="0" borderId="62" xfId="64" applyFont="1" applyFill="1" applyBorder="1" applyAlignment="1" applyProtection="1">
      <alignment horizontal="center" vertical="center"/>
      <protection/>
    </xf>
    <xf numFmtId="0" fontId="3" fillId="0" borderId="62" xfId="64" applyFont="1" applyFill="1" applyBorder="1" applyAlignment="1">
      <alignment horizontal="center" vertical="center"/>
      <protection/>
    </xf>
    <xf numFmtId="0" fontId="13" fillId="41" borderId="0" xfId="64" applyFont="1" applyFill="1" applyBorder="1">
      <alignment/>
      <protection/>
    </xf>
    <xf numFmtId="0" fontId="3" fillId="0" borderId="16" xfId="64" applyFont="1" applyFill="1" applyBorder="1" applyAlignment="1" applyProtection="1">
      <alignment horizontal="left" vertical="center"/>
      <protection/>
    </xf>
    <xf numFmtId="0" fontId="3" fillId="0" borderId="41" xfId="64" applyFont="1" applyFill="1" applyBorder="1" applyAlignment="1" applyProtection="1">
      <alignment horizontal="center" vertical="center"/>
      <protection/>
    </xf>
    <xf numFmtId="0" fontId="3" fillId="0" borderId="21" xfId="64" applyFont="1" applyFill="1" applyBorder="1" applyAlignment="1">
      <alignment horizontal="center" vertical="center"/>
      <protection/>
    </xf>
    <xf numFmtId="0" fontId="3" fillId="0" borderId="0" xfId="64">
      <alignment/>
      <protection/>
    </xf>
    <xf numFmtId="0" fontId="48" fillId="0" borderId="0" xfId="64" applyFont="1" applyBorder="1" applyAlignment="1">
      <alignment horizontal="right"/>
      <protection/>
    </xf>
    <xf numFmtId="0" fontId="13" fillId="0" borderId="0" xfId="64" applyFont="1" applyBorder="1">
      <alignment/>
      <protection/>
    </xf>
    <xf numFmtId="0" fontId="5" fillId="0" borderId="0" xfId="64" applyFont="1" applyBorder="1" applyAlignment="1">
      <alignment horizontal="center"/>
      <protection/>
    </xf>
    <xf numFmtId="0" fontId="3" fillId="0" borderId="16" xfId="64" applyFont="1" applyFill="1" applyBorder="1" applyAlignment="1" applyProtection="1" quotePrefix="1">
      <alignment horizontal="left"/>
      <protection/>
    </xf>
    <xf numFmtId="0" fontId="3" fillId="0" borderId="22" xfId="64" applyFont="1" applyFill="1" applyBorder="1" applyAlignment="1" applyProtection="1">
      <alignment horizontal="center"/>
      <protection/>
    </xf>
    <xf numFmtId="164" fontId="3" fillId="0" borderId="21" xfId="64" applyNumberFormat="1" applyFont="1" applyFill="1" applyBorder="1" applyAlignment="1" applyProtection="1">
      <alignment horizontal="center"/>
      <protection/>
    </xf>
    <xf numFmtId="0" fontId="103" fillId="0" borderId="0" xfId="64" applyFont="1" applyBorder="1" applyAlignment="1">
      <alignment horizontal="center"/>
      <protection/>
    </xf>
    <xf numFmtId="22" fontId="13" fillId="0" borderId="0" xfId="64" applyNumberFormat="1" applyFont="1" applyFill="1" applyBorder="1">
      <alignment/>
      <protection/>
    </xf>
    <xf numFmtId="0" fontId="3" fillId="0" borderId="0" xfId="64" applyFont="1" applyFill="1" applyBorder="1" applyAlignment="1" applyProtection="1" quotePrefix="1">
      <alignment horizontal="left"/>
      <protection/>
    </xf>
    <xf numFmtId="0" fontId="3" fillId="0" borderId="0" xfId="64" applyFont="1" applyFill="1" applyBorder="1" applyAlignment="1" applyProtection="1">
      <alignment horizontal="center"/>
      <protection/>
    </xf>
    <xf numFmtId="164" fontId="3" fillId="0" borderId="0" xfId="64" applyNumberFormat="1" applyFont="1" applyFill="1" applyBorder="1" applyAlignment="1" applyProtection="1">
      <alignment horizontal="center"/>
      <protection/>
    </xf>
    <xf numFmtId="0" fontId="29" fillId="0" borderId="0" xfId="64" applyFont="1" applyFill="1" applyBorder="1">
      <alignment/>
      <protection/>
    </xf>
    <xf numFmtId="0" fontId="30" fillId="0" borderId="21" xfId="64" applyFont="1" applyFill="1" applyBorder="1" applyAlignment="1">
      <alignment horizontal="center" vertical="center"/>
      <protection/>
    </xf>
    <xf numFmtId="0" fontId="30" fillId="0" borderId="21" xfId="64" applyFont="1" applyBorder="1" applyAlignment="1">
      <alignment horizontal="center" vertical="center"/>
      <protection/>
    </xf>
    <xf numFmtId="0" fontId="30" fillId="0" borderId="21" xfId="64" applyFont="1" applyFill="1" applyBorder="1" applyAlignment="1" applyProtection="1">
      <alignment horizontal="center" vertical="center" wrapText="1"/>
      <protection/>
    </xf>
    <xf numFmtId="0" fontId="30" fillId="0" borderId="21" xfId="64" applyFont="1" applyFill="1" applyBorder="1" applyAlignment="1" applyProtection="1">
      <alignment horizontal="center" vertical="center"/>
      <protection/>
    </xf>
    <xf numFmtId="0" fontId="30" fillId="0" borderId="21" xfId="64" applyFont="1" applyFill="1" applyBorder="1" applyAlignment="1" applyProtection="1" quotePrefix="1">
      <alignment horizontal="center" vertical="center" wrapText="1"/>
      <protection/>
    </xf>
    <xf numFmtId="0" fontId="30" fillId="0" borderId="21" xfId="64" applyFont="1" applyFill="1" applyBorder="1" applyAlignment="1">
      <alignment horizontal="center" vertical="center" wrapText="1"/>
      <protection/>
    </xf>
    <xf numFmtId="0" fontId="60" fillId="37" borderId="21" xfId="64" applyFont="1" applyFill="1" applyBorder="1" applyAlignment="1" applyProtection="1">
      <alignment horizontal="center" vertical="center"/>
      <protection/>
    </xf>
    <xf numFmtId="0" fontId="30" fillId="0" borderId="16" xfId="64" applyFont="1" applyBorder="1" applyAlignment="1" applyProtection="1">
      <alignment horizontal="center" vertical="center" wrapText="1"/>
      <protection/>
    </xf>
    <xf numFmtId="0" fontId="30" fillId="0" borderId="16" xfId="64" applyFont="1" applyFill="1" applyBorder="1" applyAlignment="1" applyProtection="1">
      <alignment horizontal="center" vertical="center"/>
      <protection/>
    </xf>
    <xf numFmtId="164" fontId="29" fillId="42" borderId="21" xfId="64" applyNumberFormat="1" applyFont="1" applyFill="1" applyBorder="1" applyAlignment="1" applyProtection="1">
      <alignment horizontal="center" vertical="center"/>
      <protection/>
    </xf>
    <xf numFmtId="0" fontId="66" fillId="39" borderId="21" xfId="64" applyFont="1" applyFill="1" applyBorder="1" applyAlignment="1">
      <alignment horizontal="center" vertical="center" wrapText="1"/>
      <protection/>
    </xf>
    <xf numFmtId="0" fontId="67" fillId="36" borderId="21" xfId="64" applyFont="1" applyFill="1" applyBorder="1" applyAlignment="1">
      <alignment horizontal="center" vertical="center" wrapText="1"/>
      <protection/>
    </xf>
    <xf numFmtId="0" fontId="36" fillId="37" borderId="16" xfId="64" applyFont="1" applyFill="1" applyBorder="1" applyAlignment="1" applyProtection="1">
      <alignment horizontal="centerContinuous" vertical="center" wrapText="1"/>
      <protection/>
    </xf>
    <xf numFmtId="0" fontId="36" fillId="37" borderId="17" xfId="64" applyFont="1" applyFill="1" applyBorder="1" applyAlignment="1">
      <alignment horizontal="centerContinuous" vertical="center"/>
      <protection/>
    </xf>
    <xf numFmtId="0" fontId="68" fillId="43" borderId="16" xfId="64" applyFont="1" applyFill="1" applyBorder="1" applyAlignment="1" applyProtection="1">
      <alignment horizontal="centerContinuous" vertical="center" wrapText="1"/>
      <protection/>
    </xf>
    <xf numFmtId="0" fontId="68" fillId="43" borderId="17" xfId="64" applyFont="1" applyFill="1" applyBorder="1" applyAlignment="1">
      <alignment horizontal="centerContinuous" vertical="center"/>
      <protection/>
    </xf>
    <xf numFmtId="0" fontId="34" fillId="44" borderId="21" xfId="64" applyFont="1" applyFill="1" applyBorder="1" applyAlignment="1">
      <alignment horizontal="center" vertical="center" wrapText="1"/>
      <protection/>
    </xf>
    <xf numFmtId="0" fontId="69" fillId="39" borderId="21" xfId="64" applyFont="1" applyFill="1" applyBorder="1" applyAlignment="1">
      <alignment horizontal="center" vertical="center" wrapText="1"/>
      <protection/>
    </xf>
    <xf numFmtId="0" fontId="30" fillId="0" borderId="21" xfId="64" applyFont="1" applyBorder="1" applyAlignment="1">
      <alignment horizontal="center" vertical="center" wrapText="1"/>
      <protection/>
    </xf>
    <xf numFmtId="0" fontId="61" fillId="37" borderId="21" xfId="64" applyFont="1" applyFill="1" applyBorder="1" applyAlignment="1">
      <alignment horizontal="center" vertical="center" wrapText="1"/>
      <protection/>
    </xf>
    <xf numFmtId="0" fontId="13" fillId="0" borderId="43" xfId="64" applyFont="1" applyFill="1" applyBorder="1" applyAlignment="1">
      <alignment horizontal="center"/>
      <protection/>
    </xf>
    <xf numFmtId="0" fontId="13" fillId="0" borderId="35" xfId="64" applyFont="1" applyFill="1" applyBorder="1" applyAlignment="1">
      <alignment horizontal="center"/>
      <protection/>
    </xf>
    <xf numFmtId="164" fontId="13" fillId="0" borderId="35" xfId="64" applyNumberFormat="1" applyFont="1" applyFill="1" applyBorder="1" applyAlignment="1" applyProtection="1">
      <alignment horizontal="center"/>
      <protection/>
    </xf>
    <xf numFmtId="0" fontId="63" fillId="37" borderId="35" xfId="64" applyFont="1" applyFill="1" applyBorder="1" applyAlignment="1">
      <alignment horizontal="center"/>
      <protection/>
    </xf>
    <xf numFmtId="0" fontId="13" fillId="0" borderId="28" xfId="64" applyFont="1" applyBorder="1">
      <alignment/>
      <protection/>
    </xf>
    <xf numFmtId="0" fontId="13" fillId="0" borderId="57" xfId="64" applyFont="1" applyFill="1" applyBorder="1" applyAlignment="1">
      <alignment horizontal="center"/>
      <protection/>
    </xf>
    <xf numFmtId="164" fontId="29" fillId="42" borderId="23" xfId="64" applyNumberFormat="1" applyFont="1" applyFill="1" applyBorder="1" applyAlignment="1" applyProtection="1">
      <alignment horizontal="center"/>
      <protection/>
    </xf>
    <xf numFmtId="0" fontId="70" fillId="39" borderId="43" xfId="64" applyFont="1" applyFill="1" applyBorder="1" applyAlignment="1">
      <alignment horizontal="center"/>
      <protection/>
    </xf>
    <xf numFmtId="0" fontId="71" fillId="36" borderId="43" xfId="64" applyFont="1" applyFill="1" applyBorder="1" applyAlignment="1">
      <alignment horizontal="center"/>
      <protection/>
    </xf>
    <xf numFmtId="0" fontId="52" fillId="37" borderId="24" xfId="64" applyFont="1" applyFill="1" applyBorder="1" applyAlignment="1">
      <alignment horizontal="center"/>
      <protection/>
    </xf>
    <xf numFmtId="0" fontId="52" fillId="37" borderId="26" xfId="64" applyFont="1" applyFill="1" applyBorder="1" applyAlignment="1">
      <alignment horizontal="center"/>
      <protection/>
    </xf>
    <xf numFmtId="0" fontId="72" fillId="43" borderId="45" xfId="64" applyFont="1" applyFill="1" applyBorder="1" applyAlignment="1">
      <alignment horizontal="center"/>
      <protection/>
    </xf>
    <xf numFmtId="0" fontId="72" fillId="43" borderId="46" xfId="64" applyFont="1" applyFill="1" applyBorder="1" applyAlignment="1">
      <alignment horizontal="center"/>
      <protection/>
    </xf>
    <xf numFmtId="0" fontId="50" fillId="44" borderId="43" xfId="64" applyFont="1" applyFill="1" applyBorder="1" applyAlignment="1">
      <alignment horizontal="center"/>
      <protection/>
    </xf>
    <xf numFmtId="0" fontId="73" fillId="39" borderId="43" xfId="64" applyFont="1" applyFill="1" applyBorder="1" applyAlignment="1">
      <alignment horizontal="center"/>
      <protection/>
    </xf>
    <xf numFmtId="7" fontId="77" fillId="37" borderId="43" xfId="64" applyNumberFormat="1" applyFont="1" applyFill="1" applyBorder="1" applyAlignment="1">
      <alignment horizontal="center"/>
      <protection/>
    </xf>
    <xf numFmtId="7" fontId="48" fillId="0" borderId="35" xfId="64" applyNumberFormat="1" applyFont="1" applyFill="1" applyBorder="1" applyAlignment="1">
      <alignment horizontal="center"/>
      <protection/>
    </xf>
    <xf numFmtId="0" fontId="13" fillId="0" borderId="27" xfId="64" applyFont="1" applyFill="1" applyBorder="1" applyAlignment="1">
      <alignment horizontal="center"/>
      <protection/>
    </xf>
    <xf numFmtId="164" fontId="13" fillId="0" borderId="27" xfId="64" applyNumberFormat="1" applyFont="1" applyFill="1" applyBorder="1" applyAlignment="1" applyProtection="1">
      <alignment horizontal="center"/>
      <protection/>
    </xf>
    <xf numFmtId="0" fontId="63" fillId="37" borderId="27" xfId="64" applyFont="1" applyFill="1" applyBorder="1" applyAlignment="1">
      <alignment horizontal="center"/>
      <protection/>
    </xf>
    <xf numFmtId="0" fontId="13" fillId="0" borderId="29" xfId="64" applyFont="1" applyBorder="1">
      <alignment/>
      <protection/>
    </xf>
    <xf numFmtId="0" fontId="13" fillId="0" borderId="47" xfId="64" applyFont="1" applyFill="1" applyBorder="1" applyAlignment="1">
      <alignment horizontal="center"/>
      <protection/>
    </xf>
    <xf numFmtId="164" fontId="29" fillId="42" borderId="27" xfId="64" applyNumberFormat="1" applyFont="1" applyFill="1" applyBorder="1" applyAlignment="1" applyProtection="1">
      <alignment horizontal="center"/>
      <protection/>
    </xf>
    <xf numFmtId="0" fontId="70" fillId="39" borderId="27" xfId="64" applyFont="1" applyFill="1" applyBorder="1" applyAlignment="1">
      <alignment horizontal="center"/>
      <protection/>
    </xf>
    <xf numFmtId="0" fontId="71" fillId="36" borderId="27" xfId="64" applyFont="1" applyFill="1" applyBorder="1" applyAlignment="1">
      <alignment horizontal="center"/>
      <protection/>
    </xf>
    <xf numFmtId="0" fontId="52" fillId="37" borderId="48" xfId="64" applyFont="1" applyFill="1" applyBorder="1" applyAlignment="1">
      <alignment horizontal="center"/>
      <protection/>
    </xf>
    <xf numFmtId="0" fontId="52" fillId="37" borderId="49" xfId="64" applyFont="1" applyFill="1" applyBorder="1" applyAlignment="1">
      <alignment horizontal="center"/>
      <protection/>
    </xf>
    <xf numFmtId="0" fontId="72" fillId="43" borderId="48" xfId="64" applyFont="1" applyFill="1" applyBorder="1" applyAlignment="1">
      <alignment horizontal="center"/>
      <protection/>
    </xf>
    <xf numFmtId="0" fontId="72" fillId="43" borderId="49" xfId="64" applyFont="1" applyFill="1" applyBorder="1" applyAlignment="1">
      <alignment horizontal="center"/>
      <protection/>
    </xf>
    <xf numFmtId="0" fontId="50" fillId="44" borderId="27" xfId="64" applyFont="1" applyFill="1" applyBorder="1" applyAlignment="1">
      <alignment horizontal="center"/>
      <protection/>
    </xf>
    <xf numFmtId="0" fontId="73" fillId="39" borderId="27" xfId="64" applyFont="1" applyFill="1" applyBorder="1" applyAlignment="1">
      <alignment horizontal="center"/>
      <protection/>
    </xf>
    <xf numFmtId="0" fontId="77" fillId="37" borderId="27" xfId="64" applyFont="1" applyFill="1" applyBorder="1" applyAlignment="1">
      <alignment horizontal="center"/>
      <protection/>
    </xf>
    <xf numFmtId="0" fontId="48" fillId="0" borderId="27" xfId="64" applyFont="1" applyFill="1" applyBorder="1" applyAlignment="1">
      <alignment horizontal="center"/>
      <protection/>
    </xf>
    <xf numFmtId="0" fontId="13" fillId="0" borderId="28" xfId="64" applyFont="1" applyFill="1" applyBorder="1" applyAlignment="1" applyProtection="1">
      <alignment horizontal="center"/>
      <protection locked="0"/>
    </xf>
    <xf numFmtId="0" fontId="13" fillId="0" borderId="27" xfId="64" applyFont="1" applyBorder="1" applyAlignment="1" applyProtection="1">
      <alignment horizontal="center"/>
      <protection locked="0"/>
    </xf>
    <xf numFmtId="0" fontId="13" fillId="0" borderId="32" xfId="64" applyFont="1" applyBorder="1" applyAlignment="1" applyProtection="1">
      <alignment horizontal="center"/>
      <protection locked="0"/>
    </xf>
    <xf numFmtId="164" fontId="13" fillId="0" borderId="27" xfId="64" applyNumberFormat="1" applyFont="1" applyBorder="1" applyAlignment="1" applyProtection="1">
      <alignment horizontal="center"/>
      <protection locked="0"/>
    </xf>
    <xf numFmtId="1" fontId="13" fillId="0" borderId="49" xfId="64" applyNumberFormat="1" applyFont="1" applyBorder="1" applyAlignment="1" applyProtection="1">
      <alignment horizontal="center"/>
      <protection locked="0"/>
    </xf>
    <xf numFmtId="174" fontId="63" fillId="37" borderId="27" xfId="64" applyNumberFormat="1" applyFont="1" applyFill="1" applyBorder="1" applyAlignment="1" applyProtection="1">
      <alignment horizontal="center"/>
      <protection/>
    </xf>
    <xf numFmtId="22" fontId="13" fillId="0" borderId="27" xfId="64" applyNumberFormat="1" applyFont="1" applyFill="1" applyBorder="1" applyAlignment="1" applyProtection="1">
      <alignment horizontal="center"/>
      <protection locked="0"/>
    </xf>
    <xf numFmtId="4" fontId="13" fillId="0" borderId="27" xfId="64" applyNumberFormat="1" applyFont="1" applyFill="1" applyBorder="1" applyAlignment="1" applyProtection="1">
      <alignment horizontal="center"/>
      <protection/>
    </xf>
    <xf numFmtId="3" fontId="13" fillId="0" borderId="27" xfId="64" applyNumberFormat="1" applyFont="1" applyFill="1" applyBorder="1" applyAlignment="1" applyProtection="1">
      <alignment horizontal="center"/>
      <protection/>
    </xf>
    <xf numFmtId="168" fontId="13" fillId="0" borderId="27" xfId="64" applyNumberFormat="1" applyFont="1" applyFill="1" applyBorder="1" applyAlignment="1" applyProtection="1">
      <alignment horizontal="center"/>
      <protection locked="0"/>
    </xf>
    <xf numFmtId="173" fontId="13" fillId="0" borderId="29" xfId="64" applyNumberFormat="1" applyFont="1" applyBorder="1" applyAlignment="1" applyProtection="1" quotePrefix="1">
      <alignment horizontal="center"/>
      <protection/>
    </xf>
    <xf numFmtId="168" fontId="13" fillId="0" borderId="27" xfId="64" applyNumberFormat="1" applyFont="1" applyBorder="1" applyAlignment="1" applyProtection="1" quotePrefix="1">
      <alignment horizontal="center"/>
      <protection/>
    </xf>
    <xf numFmtId="168" fontId="13" fillId="0" borderId="27" xfId="64" applyNumberFormat="1" applyFont="1" applyBorder="1" applyAlignment="1" applyProtection="1">
      <alignment horizontal="center"/>
      <protection/>
    </xf>
    <xf numFmtId="2" fontId="70" fillId="39" borderId="28" xfId="64" applyNumberFormat="1" applyFont="1" applyFill="1" applyBorder="1" applyAlignment="1" applyProtection="1">
      <alignment horizontal="center"/>
      <protection/>
    </xf>
    <xf numFmtId="2" fontId="71" fillId="36" borderId="28" xfId="64" applyNumberFormat="1" applyFont="1" applyFill="1" applyBorder="1" applyAlignment="1" applyProtection="1">
      <alignment horizontal="center"/>
      <protection/>
    </xf>
    <xf numFmtId="168" fontId="52" fillId="37" borderId="48" xfId="64" applyNumberFormat="1" applyFont="1" applyFill="1" applyBorder="1" applyAlignment="1" applyProtection="1" quotePrefix="1">
      <alignment horizontal="center"/>
      <protection/>
    </xf>
    <xf numFmtId="168" fontId="52" fillId="37" borderId="49" xfId="64" applyNumberFormat="1" applyFont="1" applyFill="1" applyBorder="1" applyAlignment="1" applyProtection="1" quotePrefix="1">
      <alignment horizontal="center"/>
      <protection/>
    </xf>
    <xf numFmtId="168" fontId="72" fillId="43" borderId="48" xfId="64" applyNumberFormat="1" applyFont="1" applyFill="1" applyBorder="1" applyAlignment="1" applyProtection="1" quotePrefix="1">
      <alignment horizontal="center"/>
      <protection/>
    </xf>
    <xf numFmtId="168" fontId="72" fillId="43" borderId="49" xfId="64" applyNumberFormat="1" applyFont="1" applyFill="1" applyBorder="1" applyAlignment="1" applyProtection="1" quotePrefix="1">
      <alignment horizontal="center"/>
      <protection/>
    </xf>
    <xf numFmtId="168" fontId="50" fillId="44" borderId="28" xfId="64" applyNumberFormat="1" applyFont="1" applyFill="1" applyBorder="1" applyAlignment="1" applyProtection="1" quotePrefix="1">
      <alignment horizontal="center"/>
      <protection/>
    </xf>
    <xf numFmtId="168" fontId="73" fillId="39" borderId="27" xfId="64" applyNumberFormat="1" applyFont="1" applyFill="1" applyBorder="1" applyAlignment="1" applyProtection="1" quotePrefix="1">
      <alignment horizontal="center"/>
      <protection/>
    </xf>
    <xf numFmtId="168" fontId="13" fillId="0" borderId="47" xfId="64" applyNumberFormat="1" applyFont="1" applyFill="1" applyBorder="1" applyAlignment="1" applyProtection="1">
      <alignment horizontal="center"/>
      <protection/>
    </xf>
    <xf numFmtId="4" fontId="77" fillId="37" borderId="27" xfId="64" applyNumberFormat="1" applyFont="1" applyFill="1" applyBorder="1" applyAlignment="1">
      <alignment horizontal="right"/>
      <protection/>
    </xf>
    <xf numFmtId="4" fontId="77" fillId="0" borderId="27" xfId="64" applyNumberFormat="1" applyFont="1" applyFill="1" applyBorder="1" applyAlignment="1">
      <alignment horizontal="right"/>
      <protection/>
    </xf>
    <xf numFmtId="22" fontId="13" fillId="0" borderId="28" xfId="64" applyNumberFormat="1" applyFont="1" applyFill="1" applyBorder="1" applyAlignment="1" applyProtection="1">
      <alignment horizontal="center"/>
      <protection locked="0"/>
    </xf>
    <xf numFmtId="168" fontId="13" fillId="0" borderId="28" xfId="64" applyNumberFormat="1" applyFont="1" applyFill="1" applyBorder="1" applyAlignment="1" applyProtection="1">
      <alignment horizontal="center"/>
      <protection locked="0"/>
    </xf>
    <xf numFmtId="1" fontId="13" fillId="0" borderId="49" xfId="64" applyNumberFormat="1" applyFont="1" applyBorder="1" applyAlignment="1" applyProtection="1" quotePrefix="1">
      <alignment horizontal="center"/>
      <protection locked="0"/>
    </xf>
    <xf numFmtId="0" fontId="13" fillId="0" borderId="47" xfId="64" applyFont="1" applyBorder="1" applyAlignment="1" applyProtection="1">
      <alignment horizontal="center"/>
      <protection locked="0"/>
    </xf>
    <xf numFmtId="0" fontId="74" fillId="0" borderId="36" xfId="64" applyFont="1" applyFill="1" applyBorder="1" applyAlignment="1" applyProtection="1">
      <alignment horizontal="center"/>
      <protection locked="0"/>
    </xf>
    <xf numFmtId="164" fontId="49" fillId="0" borderId="34" xfId="64" applyNumberFormat="1" applyFont="1" applyFill="1" applyBorder="1" applyAlignment="1" applyProtection="1">
      <alignment horizontal="center"/>
      <protection locked="0"/>
    </xf>
    <xf numFmtId="168" fontId="63" fillId="37" borderId="36" xfId="64" applyNumberFormat="1" applyFont="1" applyFill="1" applyBorder="1" applyAlignment="1" applyProtection="1">
      <alignment horizontal="center"/>
      <protection/>
    </xf>
    <xf numFmtId="0" fontId="13" fillId="0" borderId="36" xfId="64" applyFont="1" applyFill="1" applyBorder="1" applyAlignment="1" applyProtection="1">
      <alignment horizontal="center"/>
      <protection locked="0"/>
    </xf>
    <xf numFmtId="38" fontId="13" fillId="0" borderId="36" xfId="64" applyNumberFormat="1" applyFont="1" applyFill="1" applyBorder="1" applyAlignment="1" applyProtection="1">
      <alignment horizontal="center"/>
      <protection locked="0"/>
    </xf>
    <xf numFmtId="38" fontId="13" fillId="0" borderId="36" xfId="64" applyNumberFormat="1" applyFont="1" applyFill="1" applyBorder="1" applyAlignment="1" applyProtection="1">
      <alignment horizontal="center"/>
      <protection/>
    </xf>
    <xf numFmtId="164" fontId="13" fillId="0" borderId="36" xfId="64" applyNumberFormat="1" applyFont="1" applyFill="1" applyBorder="1" applyAlignment="1" applyProtection="1" quotePrefix="1">
      <alignment horizontal="center"/>
      <protection/>
    </xf>
    <xf numFmtId="168" fontId="13" fillId="0" borderId="36" xfId="64" applyNumberFormat="1" applyFont="1" applyFill="1" applyBorder="1" applyAlignment="1" applyProtection="1">
      <alignment horizontal="center"/>
      <protection locked="0"/>
    </xf>
    <xf numFmtId="173" fontId="13" fillId="0" borderId="36" xfId="64" applyNumberFormat="1" applyFont="1" applyBorder="1" applyAlignment="1" applyProtection="1" quotePrefix="1">
      <alignment horizontal="center"/>
      <protection locked="0"/>
    </xf>
    <xf numFmtId="168" fontId="13" fillId="0" borderId="50" xfId="64" applyNumberFormat="1" applyFont="1" applyFill="1" applyBorder="1" applyAlignment="1" applyProtection="1">
      <alignment horizontal="center"/>
      <protection locked="0"/>
    </xf>
    <xf numFmtId="164" fontId="29" fillId="42" borderId="34" xfId="64" applyNumberFormat="1" applyFont="1" applyFill="1" applyBorder="1" applyAlignment="1" applyProtection="1">
      <alignment horizontal="center"/>
      <protection locked="0"/>
    </xf>
    <xf numFmtId="2" fontId="70" fillId="39" borderId="36" xfId="64" applyNumberFormat="1" applyFont="1" applyFill="1" applyBorder="1" applyAlignment="1" applyProtection="1">
      <alignment horizontal="center"/>
      <protection locked="0"/>
    </xf>
    <xf numFmtId="2" fontId="71" fillId="36" borderId="36" xfId="64" applyNumberFormat="1" applyFont="1" applyFill="1" applyBorder="1" applyAlignment="1" applyProtection="1">
      <alignment horizontal="center"/>
      <protection locked="0"/>
    </xf>
    <xf numFmtId="168" fontId="52" fillId="37" borderId="51" xfId="64" applyNumberFormat="1" applyFont="1" applyFill="1" applyBorder="1" applyAlignment="1" applyProtection="1" quotePrefix="1">
      <alignment horizontal="center"/>
      <protection locked="0"/>
    </xf>
    <xf numFmtId="168" fontId="52" fillId="37" borderId="52" xfId="64" applyNumberFormat="1" applyFont="1" applyFill="1" applyBorder="1" applyAlignment="1" applyProtection="1" quotePrefix="1">
      <alignment horizontal="center"/>
      <protection locked="0"/>
    </xf>
    <xf numFmtId="168" fontId="72" fillId="43" borderId="37" xfId="64" applyNumberFormat="1" applyFont="1" applyFill="1" applyBorder="1" applyAlignment="1" applyProtection="1" quotePrefix="1">
      <alignment horizontal="center"/>
      <protection locked="0"/>
    </xf>
    <xf numFmtId="168" fontId="72" fillId="43" borderId="39" xfId="64" applyNumberFormat="1" applyFont="1" applyFill="1" applyBorder="1" applyAlignment="1" applyProtection="1" quotePrefix="1">
      <alignment horizontal="center"/>
      <protection locked="0"/>
    </xf>
    <xf numFmtId="168" fontId="50" fillId="44" borderId="36" xfId="64" applyNumberFormat="1" applyFont="1" applyFill="1" applyBorder="1" applyAlignment="1" applyProtection="1" quotePrefix="1">
      <alignment horizontal="center"/>
      <protection locked="0"/>
    </xf>
    <xf numFmtId="168" fontId="73" fillId="39" borderId="36" xfId="64" applyNumberFormat="1" applyFont="1" applyFill="1" applyBorder="1" applyAlignment="1" applyProtection="1" quotePrefix="1">
      <alignment horizontal="center"/>
      <protection locked="0"/>
    </xf>
    <xf numFmtId="168" fontId="75" fillId="0" borderId="50" xfId="64" applyNumberFormat="1" applyFont="1" applyFill="1" applyBorder="1" applyAlignment="1" applyProtection="1">
      <alignment horizontal="center"/>
      <protection locked="0"/>
    </xf>
    <xf numFmtId="168" fontId="77" fillId="37" borderId="40" xfId="64" applyNumberFormat="1" applyFont="1" applyFill="1" applyBorder="1" applyAlignment="1">
      <alignment horizontal="center"/>
      <protection/>
    </xf>
    <xf numFmtId="168" fontId="65" fillId="0" borderId="40" xfId="64" applyNumberFormat="1" applyFont="1" applyFill="1" applyBorder="1" applyAlignment="1">
      <alignment horizontal="center"/>
      <protection/>
    </xf>
    <xf numFmtId="0" fontId="104" fillId="0" borderId="41" xfId="64" applyFont="1" applyBorder="1" applyAlignment="1">
      <alignment horizontal="center"/>
      <protection/>
    </xf>
    <xf numFmtId="0" fontId="106" fillId="0" borderId="0" xfId="64" applyFont="1" applyBorder="1" applyAlignment="1" applyProtection="1">
      <alignment horizontal="left"/>
      <protection/>
    </xf>
    <xf numFmtId="0" fontId="57" fillId="0" borderId="41" xfId="64" applyFont="1" applyBorder="1" applyAlignment="1">
      <alignment horizontal="center"/>
      <protection/>
    </xf>
    <xf numFmtId="0" fontId="58" fillId="0" borderId="0" xfId="64" applyFont="1" applyBorder="1" applyAlignment="1" applyProtection="1">
      <alignment horizontal="left"/>
      <protection/>
    </xf>
    <xf numFmtId="164" fontId="29" fillId="0" borderId="0" xfId="64" applyNumberFormat="1" applyFont="1" applyFill="1" applyBorder="1" applyAlignment="1" applyProtection="1">
      <alignment horizontal="center"/>
      <protection/>
    </xf>
    <xf numFmtId="4" fontId="70" fillId="39" borderId="21" xfId="64" applyNumberFormat="1" applyFont="1" applyFill="1" applyBorder="1" applyAlignment="1">
      <alignment horizontal="center"/>
      <protection/>
    </xf>
    <xf numFmtId="4" fontId="71" fillId="36" borderId="21" xfId="64" applyNumberFormat="1" applyFont="1" applyFill="1" applyBorder="1" applyAlignment="1">
      <alignment horizontal="center"/>
      <protection/>
    </xf>
    <xf numFmtId="4" fontId="52" fillId="37" borderId="54" xfId="64" applyNumberFormat="1" applyFont="1" applyFill="1" applyBorder="1" applyAlignment="1">
      <alignment horizontal="center"/>
      <protection/>
    </xf>
    <xf numFmtId="4" fontId="52" fillId="37" borderId="17" xfId="64" applyNumberFormat="1" applyFont="1" applyFill="1" applyBorder="1" applyAlignment="1">
      <alignment horizontal="center"/>
      <protection/>
    </xf>
    <xf numFmtId="4" fontId="72" fillId="43" borderId="54" xfId="64" applyNumberFormat="1" applyFont="1" applyFill="1" applyBorder="1" applyAlignment="1">
      <alignment horizontal="center"/>
      <protection/>
    </xf>
    <xf numFmtId="4" fontId="72" fillId="43" borderId="55" xfId="64" applyNumberFormat="1" applyFont="1" applyFill="1" applyBorder="1" applyAlignment="1">
      <alignment horizontal="center"/>
      <protection/>
    </xf>
    <xf numFmtId="4" fontId="50" fillId="44" borderId="54" xfId="64" applyNumberFormat="1" applyFont="1" applyFill="1" applyBorder="1" applyAlignment="1">
      <alignment horizontal="center"/>
      <protection/>
    </xf>
    <xf numFmtId="4" fontId="73" fillId="39" borderId="55" xfId="64" applyNumberFormat="1" applyFont="1" applyFill="1" applyBorder="1" applyAlignment="1">
      <alignment horizontal="center"/>
      <protection/>
    </xf>
    <xf numFmtId="7" fontId="76" fillId="37" borderId="21" xfId="64" applyNumberFormat="1" applyFont="1" applyFill="1" applyBorder="1" applyAlignment="1">
      <alignment horizontal="right"/>
      <protection/>
    </xf>
    <xf numFmtId="7" fontId="76" fillId="0" borderId="21" xfId="64" applyNumberFormat="1" applyFont="1" applyFill="1" applyBorder="1" applyAlignment="1">
      <alignment horizontal="right"/>
      <protection/>
    </xf>
    <xf numFmtId="0" fontId="13" fillId="0" borderId="18" xfId="64" applyFont="1" applyFill="1" applyBorder="1">
      <alignment/>
      <protection/>
    </xf>
    <xf numFmtId="0" fontId="13" fillId="0" borderId="19" xfId="64" applyFont="1" applyFill="1" applyBorder="1">
      <alignment/>
      <protection/>
    </xf>
    <xf numFmtId="0" fontId="13" fillId="0" borderId="20" xfId="64" applyFont="1" applyFill="1" applyBorder="1">
      <alignment/>
      <protection/>
    </xf>
    <xf numFmtId="0" fontId="3" fillId="0" borderId="0" xfId="64" applyFill="1">
      <alignment/>
      <protection/>
    </xf>
    <xf numFmtId="0" fontId="0" fillId="0" borderId="0" xfId="64" applyFont="1">
      <alignment/>
      <protection/>
    </xf>
    <xf numFmtId="0" fontId="11" fillId="0" borderId="0" xfId="64" applyFont="1" applyAlignment="1">
      <alignment horizontal="right" vertical="top"/>
      <protection/>
    </xf>
    <xf numFmtId="0" fontId="81" fillId="0" borderId="0" xfId="64" applyFont="1" applyFill="1">
      <alignment/>
      <protection/>
    </xf>
    <xf numFmtId="0" fontId="82" fillId="0" borderId="0" xfId="64" applyFont="1" applyAlignment="1">
      <alignment horizontal="centerContinuous"/>
      <protection/>
    </xf>
    <xf numFmtId="0" fontId="81" fillId="0" borderId="0" xfId="64" applyFont="1" applyAlignment="1">
      <alignment horizontal="centerContinuous"/>
      <protection/>
    </xf>
    <xf numFmtId="0" fontId="81" fillId="0" borderId="0" xfId="64" applyFont="1">
      <alignment/>
      <protection/>
    </xf>
    <xf numFmtId="0" fontId="6" fillId="0" borderId="0" xfId="64" applyFont="1" applyFill="1" applyBorder="1" applyAlignment="1" applyProtection="1">
      <alignment horizontal="center"/>
      <protection/>
    </xf>
    <xf numFmtId="0" fontId="6" fillId="0" borderId="0" xfId="64" applyFont="1" applyFill="1" applyBorder="1" applyAlignment="1" applyProtection="1">
      <alignment horizontal="left"/>
      <protection/>
    </xf>
    <xf numFmtId="0" fontId="13" fillId="0" borderId="11" xfId="64" applyFont="1" applyBorder="1">
      <alignment/>
      <protection/>
    </xf>
    <xf numFmtId="0" fontId="13" fillId="0" borderId="12" xfId="64" applyFont="1" applyBorder="1">
      <alignment/>
      <protection/>
    </xf>
    <xf numFmtId="0" fontId="13" fillId="0" borderId="12" xfId="64" applyFont="1" applyBorder="1" applyAlignment="1" applyProtection="1">
      <alignment horizontal="left"/>
      <protection/>
    </xf>
    <xf numFmtId="0" fontId="3" fillId="0" borderId="12" xfId="64" applyBorder="1">
      <alignment/>
      <protection/>
    </xf>
    <xf numFmtId="0" fontId="13" fillId="0" borderId="14" xfId="64" applyFont="1" applyBorder="1">
      <alignment/>
      <protection/>
    </xf>
    <xf numFmtId="0" fontId="19" fillId="0" borderId="0" xfId="64" applyFont="1" applyBorder="1">
      <alignment/>
      <protection/>
    </xf>
    <xf numFmtId="0" fontId="23" fillId="0" borderId="14" xfId="64" applyFont="1" applyBorder="1">
      <alignment/>
      <protection/>
    </xf>
    <xf numFmtId="0" fontId="23" fillId="0" borderId="0" xfId="64" applyFont="1" applyBorder="1">
      <alignment/>
      <protection/>
    </xf>
    <xf numFmtId="0" fontId="17" fillId="0" borderId="0" xfId="64" applyFont="1" applyBorder="1">
      <alignment/>
      <protection/>
    </xf>
    <xf numFmtId="0" fontId="23" fillId="0" borderId="15" xfId="64" applyFont="1" applyFill="1" applyBorder="1">
      <alignment/>
      <protection/>
    </xf>
    <xf numFmtId="0" fontId="13" fillId="0" borderId="0" xfId="64" applyFont="1" applyBorder="1" applyProtection="1">
      <alignment/>
      <protection/>
    </xf>
    <xf numFmtId="0" fontId="24" fillId="0" borderId="14" xfId="64" applyFont="1" applyBorder="1" applyAlignment="1">
      <alignment horizontal="centerContinuous"/>
      <protection/>
    </xf>
    <xf numFmtId="0" fontId="3" fillId="0" borderId="0" xfId="64" applyNumberFormat="1" applyAlignment="1">
      <alignment horizontal="centerContinuous"/>
      <protection/>
    </xf>
    <xf numFmtId="0" fontId="23" fillId="0" borderId="0" xfId="64" applyFont="1" applyBorder="1" applyAlignment="1">
      <alignment horizontal="centerContinuous"/>
      <protection/>
    </xf>
    <xf numFmtId="0" fontId="3" fillId="0" borderId="0" xfId="64" applyAlignment="1">
      <alignment horizontal="centerContinuous"/>
      <protection/>
    </xf>
    <xf numFmtId="0" fontId="23" fillId="0" borderId="0" xfId="64" applyFont="1" applyAlignment="1">
      <alignment horizontal="centerContinuous"/>
      <protection/>
    </xf>
    <xf numFmtId="0" fontId="23" fillId="0" borderId="0" xfId="64" applyFont="1" applyAlignment="1">
      <alignment/>
      <protection/>
    </xf>
    <xf numFmtId="0" fontId="23" fillId="0" borderId="15" xfId="64" applyFont="1" applyBorder="1" applyAlignment="1">
      <alignment horizontal="centerContinuous"/>
      <protection/>
    </xf>
    <xf numFmtId="0" fontId="13" fillId="0" borderId="0" xfId="64" applyFont="1" applyBorder="1" applyAlignment="1">
      <alignment horizontal="center"/>
      <protection/>
    </xf>
    <xf numFmtId="0" fontId="107" fillId="0" borderId="0" xfId="64" applyFont="1" applyBorder="1" applyAlignment="1" quotePrefix="1">
      <alignment horizontal="left"/>
      <protection/>
    </xf>
    <xf numFmtId="168" fontId="48" fillId="0" borderId="0" xfId="64" applyNumberFormat="1" applyFont="1" applyBorder="1" applyAlignment="1" applyProtection="1">
      <alignment horizontal="left"/>
      <protection/>
    </xf>
    <xf numFmtId="0" fontId="3" fillId="0" borderId="0" xfId="64" applyBorder="1">
      <alignment/>
      <protection/>
    </xf>
    <xf numFmtId="0" fontId="10" fillId="0" borderId="0" xfId="64" applyFont="1" applyBorder="1" applyAlignment="1">
      <alignment horizontal="center"/>
      <protection/>
    </xf>
    <xf numFmtId="0" fontId="10" fillId="0" borderId="0" xfId="64" applyFont="1" applyBorder="1">
      <alignment/>
      <protection/>
    </xf>
    <xf numFmtId="0" fontId="21" fillId="0" borderId="0" xfId="64" applyFont="1">
      <alignment/>
      <protection/>
    </xf>
    <xf numFmtId="0" fontId="21" fillId="0" borderId="14" xfId="64" applyFont="1" applyBorder="1">
      <alignment/>
      <protection/>
    </xf>
    <xf numFmtId="0" fontId="21" fillId="0" borderId="0" xfId="64" applyFont="1" applyBorder="1">
      <alignment/>
      <protection/>
    </xf>
    <xf numFmtId="0" fontId="21" fillId="0" borderId="0" xfId="64" applyFont="1" applyBorder="1" applyAlignment="1">
      <alignment horizontal="right"/>
      <protection/>
    </xf>
    <xf numFmtId="7" fontId="21" fillId="0" borderId="0" xfId="64" applyNumberFormat="1" applyFont="1" applyBorder="1" applyAlignment="1">
      <alignment horizontal="center"/>
      <protection/>
    </xf>
    <xf numFmtId="0" fontId="21" fillId="0" borderId="0" xfId="64" applyFont="1" applyBorder="1" applyAlignment="1">
      <alignment horizontal="center"/>
      <protection/>
    </xf>
    <xf numFmtId="0" fontId="83" fillId="0" borderId="0" xfId="64" applyFont="1" applyBorder="1" applyAlignment="1" quotePrefix="1">
      <alignment horizontal="left"/>
      <protection/>
    </xf>
    <xf numFmtId="0" fontId="21" fillId="0" borderId="15" xfId="64" applyFont="1" applyFill="1" applyBorder="1">
      <alignment/>
      <protection/>
    </xf>
    <xf numFmtId="0" fontId="21" fillId="0" borderId="0" xfId="64" applyFont="1" applyBorder="1" applyAlignment="1" applyProtection="1">
      <alignment horizontal="left"/>
      <protection/>
    </xf>
    <xf numFmtId="174" fontId="21" fillId="0" borderId="0" xfId="64" applyNumberFormat="1" applyFont="1" applyBorder="1" applyAlignment="1">
      <alignment horizontal="center"/>
      <protection/>
    </xf>
    <xf numFmtId="168" fontId="21" fillId="0" borderId="0" xfId="64" applyNumberFormat="1" applyFont="1" applyBorder="1" applyAlignment="1" applyProtection="1">
      <alignment horizontal="left"/>
      <protection/>
    </xf>
    <xf numFmtId="0" fontId="21" fillId="0" borderId="0" xfId="64" applyFont="1" applyAlignment="1">
      <alignment horizontal="right"/>
      <protection/>
    </xf>
    <xf numFmtId="10" fontId="21" fillId="0" borderId="0" xfId="64" applyNumberFormat="1" applyFont="1" applyBorder="1" applyAlignment="1" applyProtection="1">
      <alignment horizontal="right"/>
      <protection/>
    </xf>
    <xf numFmtId="183" fontId="21" fillId="0" borderId="0" xfId="64" applyNumberFormat="1" applyFont="1" applyBorder="1">
      <alignment/>
      <protection/>
    </xf>
    <xf numFmtId="0" fontId="3" fillId="0" borderId="0" xfId="64" applyFont="1" applyBorder="1" applyAlignment="1" applyProtection="1">
      <alignment horizontal="center"/>
      <protection/>
    </xf>
    <xf numFmtId="174" fontId="3" fillId="0" borderId="0" xfId="64" applyNumberFormat="1" applyFont="1" applyBorder="1" applyAlignment="1">
      <alignment horizontal="centerContinuous"/>
      <protection/>
    </xf>
    <xf numFmtId="0" fontId="21" fillId="0" borderId="0" xfId="64" applyFont="1" applyBorder="1" applyAlignment="1" applyProtection="1">
      <alignment horizontal="center"/>
      <protection/>
    </xf>
    <xf numFmtId="0" fontId="22" fillId="0" borderId="0" xfId="64" applyFont="1" applyBorder="1">
      <alignment/>
      <protection/>
    </xf>
    <xf numFmtId="168" fontId="4" fillId="0" borderId="16" xfId="64" applyNumberFormat="1" applyFont="1" applyBorder="1" applyAlignment="1" applyProtection="1">
      <alignment horizontal="center"/>
      <protection/>
    </xf>
    <xf numFmtId="183" fontId="21" fillId="0" borderId="17" xfId="64" applyNumberFormat="1" applyFont="1" applyBorder="1" applyAlignment="1" applyProtection="1">
      <alignment horizontal="centerContinuous"/>
      <protection/>
    </xf>
    <xf numFmtId="0" fontId="13" fillId="0" borderId="0" xfId="64" applyFont="1" applyBorder="1" applyAlignment="1" applyProtection="1">
      <alignment horizontal="center"/>
      <protection/>
    </xf>
    <xf numFmtId="164" fontId="88" fillId="0" borderId="0" xfId="64" applyNumberFormat="1" applyFont="1" applyBorder="1" applyAlignment="1" applyProtection="1">
      <alignment horizontal="center"/>
      <protection/>
    </xf>
    <xf numFmtId="165" fontId="21" fillId="0" borderId="0" xfId="64" applyNumberFormat="1" applyFont="1" applyBorder="1" applyAlignment="1" applyProtection="1">
      <alignment horizontal="center"/>
      <protection/>
    </xf>
    <xf numFmtId="168" fontId="21" fillId="0" borderId="0" xfId="64" applyNumberFormat="1" applyFont="1" applyBorder="1" applyAlignment="1" applyProtection="1">
      <alignment horizontal="center"/>
      <protection/>
    </xf>
    <xf numFmtId="173" fontId="21" fillId="0" borderId="0" xfId="64" applyNumberFormat="1" applyFont="1" applyBorder="1" applyAlignment="1" applyProtection="1" quotePrefix="1">
      <alignment horizontal="center"/>
      <protection/>
    </xf>
    <xf numFmtId="2" fontId="108" fillId="0" borderId="22" xfId="64" applyNumberFormat="1" applyFont="1" applyFill="1" applyBorder="1" applyAlignment="1" applyProtection="1">
      <alignment horizontal="center"/>
      <protection/>
    </xf>
    <xf numFmtId="2" fontId="76" fillId="0" borderId="22" xfId="64" applyNumberFormat="1" applyFont="1" applyFill="1" applyBorder="1" applyAlignment="1" applyProtection="1">
      <alignment horizontal="center"/>
      <protection/>
    </xf>
    <xf numFmtId="2" fontId="109" fillId="0" borderId="22" xfId="64" applyNumberFormat="1" applyFont="1" applyFill="1" applyBorder="1" applyAlignment="1" applyProtection="1">
      <alignment horizontal="center"/>
      <protection/>
    </xf>
    <xf numFmtId="2" fontId="21" fillId="0" borderId="0" xfId="64" applyNumberFormat="1" applyFont="1" applyBorder="1" applyAlignment="1" applyProtection="1">
      <alignment horizontal="center"/>
      <protection/>
    </xf>
    <xf numFmtId="7" fontId="21" fillId="0" borderId="0" xfId="64" applyNumberFormat="1" applyFont="1" applyBorder="1" applyAlignment="1" applyProtection="1">
      <alignment horizontal="center"/>
      <protection/>
    </xf>
    <xf numFmtId="4" fontId="13" fillId="0" borderId="15" xfId="64" applyNumberFormat="1" applyFont="1" applyFill="1" applyBorder="1" applyAlignment="1">
      <alignment horizontal="center"/>
      <protection/>
    </xf>
    <xf numFmtId="0" fontId="60" fillId="48" borderId="21" xfId="64" applyFont="1" applyFill="1" applyBorder="1" applyAlignment="1" applyProtection="1">
      <alignment horizontal="center" vertical="center"/>
      <protection/>
    </xf>
    <xf numFmtId="0" fontId="30" fillId="0" borderId="16" xfId="64" applyFont="1" applyFill="1" applyBorder="1" applyAlignment="1" applyProtection="1">
      <alignment horizontal="centerContinuous" vertical="center"/>
      <protection/>
    </xf>
    <xf numFmtId="0" fontId="30" fillId="0" borderId="22" xfId="64" applyFont="1" applyFill="1" applyBorder="1" applyAlignment="1" applyProtection="1">
      <alignment horizontal="centerContinuous" vertical="center"/>
      <protection/>
    </xf>
    <xf numFmtId="0" fontId="62" fillId="49" borderId="21" xfId="64" applyFont="1" applyFill="1" applyBorder="1" applyAlignment="1">
      <alignment horizontal="center" vertical="center" wrapText="1"/>
      <protection/>
    </xf>
    <xf numFmtId="0" fontId="62" fillId="50" borderId="16" xfId="64" applyFont="1" applyFill="1" applyBorder="1" applyAlignment="1" applyProtection="1">
      <alignment horizontal="centerContinuous" vertical="center" wrapText="1"/>
      <protection/>
    </xf>
    <xf numFmtId="0" fontId="62" fillId="50" borderId="17" xfId="64" applyFont="1" applyFill="1" applyBorder="1" applyAlignment="1">
      <alignment horizontal="centerContinuous" vertical="center"/>
      <protection/>
    </xf>
    <xf numFmtId="0" fontId="62" fillId="35" borderId="21" xfId="64" applyFont="1" applyFill="1" applyBorder="1" applyAlignment="1">
      <alignment horizontal="centerContinuous" vertical="center" wrapText="1"/>
      <protection/>
    </xf>
    <xf numFmtId="0" fontId="62" fillId="48" borderId="66" xfId="64" applyFont="1" applyFill="1" applyBorder="1" applyAlignment="1">
      <alignment vertical="center" wrapText="1"/>
      <protection/>
    </xf>
    <xf numFmtId="0" fontId="62" fillId="48" borderId="41" xfId="64" applyFont="1" applyFill="1" applyBorder="1" applyAlignment="1">
      <alignment vertical="center" wrapText="1"/>
      <protection/>
    </xf>
    <xf numFmtId="0" fontId="62" fillId="48" borderId="44" xfId="64" applyFont="1" applyFill="1" applyBorder="1" applyAlignment="1">
      <alignment vertical="center" wrapText="1"/>
      <protection/>
    </xf>
    <xf numFmtId="0" fontId="13" fillId="0" borderId="28" xfId="64" applyFont="1" applyBorder="1" applyAlignment="1">
      <alignment horizontal="center"/>
      <protection/>
    </xf>
    <xf numFmtId="0" fontId="13" fillId="0" borderId="28" xfId="64" applyFont="1" applyFill="1" applyBorder="1" applyAlignment="1">
      <alignment horizontal="center"/>
      <protection/>
    </xf>
    <xf numFmtId="164" fontId="13" fillId="0" borderId="28" xfId="64" applyNumberFormat="1" applyFont="1" applyFill="1" applyBorder="1" applyAlignment="1" applyProtection="1">
      <alignment horizontal="center"/>
      <protection/>
    </xf>
    <xf numFmtId="0" fontId="110" fillId="37" borderId="28" xfId="64" applyFont="1" applyFill="1" applyBorder="1" applyAlignment="1">
      <alignment horizontal="center"/>
      <protection/>
    </xf>
    <xf numFmtId="0" fontId="110" fillId="48" borderId="28" xfId="64" applyFont="1" applyFill="1" applyBorder="1" applyAlignment="1">
      <alignment horizontal="center"/>
      <protection/>
    </xf>
    <xf numFmtId="0" fontId="13" fillId="0" borderId="29" xfId="64" applyFont="1" applyFill="1" applyBorder="1" applyAlignment="1">
      <alignment horizontal="center"/>
      <protection/>
    </xf>
    <xf numFmtId="0" fontId="13" fillId="0" borderId="67" xfId="64" applyFont="1" applyFill="1" applyBorder="1" applyAlignment="1">
      <alignment horizontal="center"/>
      <protection/>
    </xf>
    <xf numFmtId="0" fontId="63" fillId="37" borderId="23" xfId="64" applyFont="1" applyFill="1" applyBorder="1" applyAlignment="1">
      <alignment horizontal="center"/>
      <protection/>
    </xf>
    <xf numFmtId="0" fontId="29" fillId="49" borderId="23" xfId="64" applyFont="1" applyFill="1" applyBorder="1" applyAlignment="1">
      <alignment horizontal="center"/>
      <protection/>
    </xf>
    <xf numFmtId="0" fontId="29" fillId="50" borderId="24" xfId="64" applyFont="1" applyFill="1" applyBorder="1" applyAlignment="1">
      <alignment horizontal="center"/>
      <protection/>
    </xf>
    <xf numFmtId="0" fontId="29" fillId="50" borderId="26" xfId="64" applyFont="1" applyFill="1" applyBorder="1" applyAlignment="1">
      <alignment horizontal="left"/>
      <protection/>
    </xf>
    <xf numFmtId="0" fontId="29" fillId="35" borderId="23" xfId="64" applyFont="1" applyFill="1" applyBorder="1" applyAlignment="1">
      <alignment horizontal="left"/>
      <protection/>
    </xf>
    <xf numFmtId="0" fontId="29" fillId="48" borderId="58" xfId="64" applyFont="1" applyFill="1" applyBorder="1" applyAlignment="1">
      <alignment horizontal="left"/>
      <protection/>
    </xf>
    <xf numFmtId="0" fontId="29" fillId="48" borderId="0" xfId="64" applyFont="1" applyFill="1" applyBorder="1" applyAlignment="1">
      <alignment horizontal="left"/>
      <protection/>
    </xf>
    <xf numFmtId="0" fontId="29" fillId="48" borderId="57" xfId="64" applyFont="1" applyFill="1" applyBorder="1" applyAlignment="1">
      <alignment horizontal="left"/>
      <protection/>
    </xf>
    <xf numFmtId="0" fontId="48" fillId="0" borderId="29" xfId="64" applyFont="1" applyFill="1" applyBorder="1" applyAlignment="1">
      <alignment horizontal="center"/>
      <protection/>
    </xf>
    <xf numFmtId="0" fontId="13" fillId="0" borderId="28" xfId="59" applyFont="1" applyBorder="1" applyAlignment="1" applyProtection="1">
      <alignment horizontal="center"/>
      <protection locked="0"/>
    </xf>
    <xf numFmtId="0" fontId="13" fillId="0" borderId="27" xfId="64" applyFont="1" applyBorder="1" applyAlignment="1" applyProtection="1">
      <alignment horizontal="center"/>
      <protection/>
    </xf>
    <xf numFmtId="0" fontId="13" fillId="0" borderId="32" xfId="64" applyFont="1" applyBorder="1" applyAlignment="1" applyProtection="1">
      <alignment horizontal="center"/>
      <protection/>
    </xf>
    <xf numFmtId="164" fontId="13" fillId="0" borderId="27" xfId="64" applyNumberFormat="1" applyFont="1" applyBorder="1" applyAlignment="1" applyProtection="1">
      <alignment horizontal="center"/>
      <protection/>
    </xf>
    <xf numFmtId="1" fontId="13" fillId="0" borderId="49" xfId="64" applyNumberFormat="1" applyFont="1" applyBorder="1" applyAlignment="1" applyProtection="1">
      <alignment horizontal="center"/>
      <protection/>
    </xf>
    <xf numFmtId="168" fontId="110" fillId="37" borderId="28" xfId="64" applyNumberFormat="1" applyFont="1" applyFill="1" applyBorder="1" applyAlignment="1" applyProtection="1">
      <alignment horizontal="center"/>
      <protection/>
    </xf>
    <xf numFmtId="168" fontId="110" fillId="48" borderId="28" xfId="64" applyNumberFormat="1" applyFont="1" applyFill="1" applyBorder="1" applyAlignment="1" applyProtection="1">
      <alignment horizontal="center"/>
      <protection/>
    </xf>
    <xf numFmtId="22" fontId="13" fillId="0" borderId="28" xfId="64" applyNumberFormat="1" applyFont="1" applyFill="1" applyBorder="1" applyAlignment="1" applyProtection="1">
      <alignment horizontal="center"/>
      <protection/>
    </xf>
    <xf numFmtId="4" fontId="13" fillId="0" borderId="28" xfId="64" applyNumberFormat="1" applyFont="1" applyFill="1" applyBorder="1" applyAlignment="1" applyProtection="1">
      <alignment horizontal="center"/>
      <protection/>
    </xf>
    <xf numFmtId="3" fontId="13" fillId="0" borderId="28" xfId="64" applyNumberFormat="1" applyFont="1" applyFill="1" applyBorder="1" applyAlignment="1" applyProtection="1">
      <alignment horizontal="center"/>
      <protection/>
    </xf>
    <xf numFmtId="168" fontId="13" fillId="0" borderId="28" xfId="64" applyNumberFormat="1" applyFont="1" applyFill="1" applyBorder="1" applyAlignment="1" applyProtection="1">
      <alignment horizontal="center"/>
      <protection/>
    </xf>
    <xf numFmtId="168" fontId="13" fillId="0" borderId="28" xfId="64" applyNumberFormat="1" applyFont="1" applyBorder="1" applyAlignment="1" applyProtection="1" quotePrefix="1">
      <alignment horizontal="center"/>
      <protection/>
    </xf>
    <xf numFmtId="168" fontId="13" fillId="0" borderId="47" xfId="64" applyNumberFormat="1" applyFont="1" applyBorder="1" applyAlignment="1" applyProtection="1">
      <alignment horizontal="center"/>
      <protection/>
    </xf>
    <xf numFmtId="164" fontId="63" fillId="37" borderId="28" xfId="64" applyNumberFormat="1" applyFont="1" applyFill="1" applyBorder="1" applyAlignment="1" applyProtection="1">
      <alignment horizontal="center"/>
      <protection/>
    </xf>
    <xf numFmtId="2" fontId="64" fillId="49" borderId="28" xfId="64" applyNumberFormat="1" applyFont="1" applyFill="1" applyBorder="1" applyAlignment="1">
      <alignment horizontal="center"/>
      <protection/>
    </xf>
    <xf numFmtId="168" fontId="64" fillId="50" borderId="48" xfId="64" applyNumberFormat="1" applyFont="1" applyFill="1" applyBorder="1" applyAlignment="1" applyProtection="1" quotePrefix="1">
      <alignment horizontal="center"/>
      <protection/>
    </xf>
    <xf numFmtId="168" fontId="64" fillId="50" borderId="49" xfId="64" applyNumberFormat="1" applyFont="1" applyFill="1" applyBorder="1" applyAlignment="1" applyProtection="1" quotePrefix="1">
      <alignment horizontal="center"/>
      <protection/>
    </xf>
    <xf numFmtId="168" fontId="64" fillId="35" borderId="28" xfId="64" applyNumberFormat="1" applyFont="1" applyFill="1" applyBorder="1" applyAlignment="1" applyProtection="1" quotePrefix="1">
      <alignment horizontal="center"/>
      <protection/>
    </xf>
    <xf numFmtId="168" fontId="64" fillId="48" borderId="58" xfId="64" applyNumberFormat="1" applyFont="1" applyFill="1" applyBorder="1" applyAlignment="1" applyProtection="1" quotePrefix="1">
      <alignment horizontal="center"/>
      <protection/>
    </xf>
    <xf numFmtId="168" fontId="64" fillId="48" borderId="0" xfId="64" applyNumberFormat="1" applyFont="1" applyFill="1" applyBorder="1" applyAlignment="1" applyProtection="1" quotePrefix="1">
      <alignment horizontal="center"/>
      <protection/>
    </xf>
    <xf numFmtId="168" fontId="64" fillId="48" borderId="57" xfId="64" applyNumberFormat="1" applyFont="1" applyFill="1" applyBorder="1" applyAlignment="1" applyProtection="1" quotePrefix="1">
      <alignment horizontal="center"/>
      <protection/>
    </xf>
    <xf numFmtId="168" fontId="13" fillId="0" borderId="29" xfId="64" applyNumberFormat="1" applyFont="1" applyFill="1" applyBorder="1" applyAlignment="1">
      <alignment horizontal="center"/>
      <protection/>
    </xf>
    <xf numFmtId="4" fontId="77" fillId="0" borderId="29" xfId="64" applyNumberFormat="1" applyFont="1" applyFill="1" applyBorder="1" applyAlignment="1">
      <alignment horizontal="right"/>
      <protection/>
    </xf>
    <xf numFmtId="0" fontId="13" fillId="0" borderId="36" xfId="64" applyFont="1" applyFill="1" applyBorder="1" applyAlignment="1">
      <alignment horizontal="center"/>
      <protection/>
    </xf>
    <xf numFmtId="0" fontId="13" fillId="0" borderId="34" xfId="64" applyFont="1" applyBorder="1" applyAlignment="1" applyProtection="1">
      <alignment horizontal="center"/>
      <protection/>
    </xf>
    <xf numFmtId="0" fontId="13" fillId="0" borderId="68" xfId="64" applyFont="1" applyBorder="1" applyAlignment="1" applyProtection="1">
      <alignment horizontal="center"/>
      <protection/>
    </xf>
    <xf numFmtId="164" fontId="13" fillId="0" borderId="34" xfId="64" applyNumberFormat="1" applyFont="1" applyBorder="1" applyAlignment="1" applyProtection="1">
      <alignment horizontal="center"/>
      <protection/>
    </xf>
    <xf numFmtId="1" fontId="13" fillId="0" borderId="52" xfId="64" applyNumberFormat="1" applyFont="1" applyBorder="1" applyAlignment="1" applyProtection="1" quotePrefix="1">
      <alignment horizontal="center"/>
      <protection/>
    </xf>
    <xf numFmtId="168" fontId="110" fillId="37" borderId="36" xfId="64" applyNumberFormat="1" applyFont="1" applyFill="1" applyBorder="1" applyAlignment="1" applyProtection="1">
      <alignment horizontal="center"/>
      <protection/>
    </xf>
    <xf numFmtId="168" fontId="110" fillId="48" borderId="36" xfId="64" applyNumberFormat="1" applyFont="1" applyFill="1" applyBorder="1" applyAlignment="1" applyProtection="1">
      <alignment horizontal="center"/>
      <protection/>
    </xf>
    <xf numFmtId="22" fontId="13" fillId="0" borderId="36" xfId="64" applyNumberFormat="1" applyFont="1" applyFill="1" applyBorder="1" applyAlignment="1">
      <alignment horizontal="center"/>
      <protection/>
    </xf>
    <xf numFmtId="22" fontId="13" fillId="0" borderId="36" xfId="64" applyNumberFormat="1" applyFont="1" applyFill="1" applyBorder="1" applyAlignment="1" applyProtection="1">
      <alignment horizontal="center"/>
      <protection/>
    </xf>
    <xf numFmtId="4" fontId="13" fillId="0" borderId="36" xfId="64" applyNumberFormat="1" applyFont="1" applyFill="1" applyBorder="1" applyAlignment="1" applyProtection="1">
      <alignment horizontal="center"/>
      <protection/>
    </xf>
    <xf numFmtId="3" fontId="13" fillId="0" borderId="36" xfId="64" applyNumberFormat="1" applyFont="1" applyFill="1" applyBorder="1" applyAlignment="1" applyProtection="1">
      <alignment horizontal="center"/>
      <protection/>
    </xf>
    <xf numFmtId="168" fontId="13" fillId="0" borderId="36" xfId="64" applyNumberFormat="1" applyFont="1" applyFill="1" applyBorder="1" applyAlignment="1" applyProtection="1">
      <alignment horizontal="center"/>
      <protection/>
    </xf>
    <xf numFmtId="168" fontId="13" fillId="0" borderId="36" xfId="64" applyNumberFormat="1" applyFont="1" applyBorder="1" applyAlignment="1" applyProtection="1">
      <alignment horizontal="center"/>
      <protection/>
    </xf>
    <xf numFmtId="164" fontId="63" fillId="37" borderId="36" xfId="64" applyNumberFormat="1" applyFont="1" applyFill="1" applyBorder="1" applyAlignment="1" applyProtection="1">
      <alignment horizontal="center"/>
      <protection/>
    </xf>
    <xf numFmtId="2" fontId="29" fillId="49" borderId="36" xfId="64" applyNumberFormat="1" applyFont="1" applyFill="1" applyBorder="1" applyAlignment="1">
      <alignment horizontal="center"/>
      <protection/>
    </xf>
    <xf numFmtId="168" fontId="29" fillId="50" borderId="51" xfId="64" applyNumberFormat="1" applyFont="1" applyFill="1" applyBorder="1" applyAlignment="1" applyProtection="1" quotePrefix="1">
      <alignment horizontal="center"/>
      <protection/>
    </xf>
    <xf numFmtId="168" fontId="29" fillId="50" borderId="52" xfId="64" applyNumberFormat="1" applyFont="1" applyFill="1" applyBorder="1" applyAlignment="1" applyProtection="1" quotePrefix="1">
      <alignment horizontal="center"/>
      <protection/>
    </xf>
    <xf numFmtId="168" fontId="29" fillId="35" borderId="36" xfId="64" applyNumberFormat="1" applyFont="1" applyFill="1" applyBorder="1" applyAlignment="1" applyProtection="1" quotePrefix="1">
      <alignment horizontal="center"/>
      <protection/>
    </xf>
    <xf numFmtId="168" fontId="29" fillId="48" borderId="69" xfId="64" applyNumberFormat="1" applyFont="1" applyFill="1" applyBorder="1" applyAlignment="1" applyProtection="1" quotePrefix="1">
      <alignment horizontal="center"/>
      <protection/>
    </xf>
    <xf numFmtId="168" fontId="29" fillId="48" borderId="62" xfId="64" applyNumberFormat="1" applyFont="1" applyFill="1" applyBorder="1" applyAlignment="1" applyProtection="1" quotePrefix="1">
      <alignment horizontal="center"/>
      <protection/>
    </xf>
    <xf numFmtId="168" fontId="29" fillId="48" borderId="50" xfId="64" applyNumberFormat="1" applyFont="1" applyFill="1" applyBorder="1" applyAlignment="1" applyProtection="1" quotePrefix="1">
      <alignment horizontal="center"/>
      <protection/>
    </xf>
    <xf numFmtId="168" fontId="13" fillId="0" borderId="50" xfId="64" applyNumberFormat="1" applyFont="1" applyFill="1" applyBorder="1" applyAlignment="1">
      <alignment horizontal="center"/>
      <protection/>
    </xf>
    <xf numFmtId="4" fontId="77" fillId="0" borderId="50" xfId="64" applyNumberFormat="1" applyFont="1" applyFill="1" applyBorder="1" applyAlignment="1">
      <alignment horizontal="right"/>
      <protection/>
    </xf>
    <xf numFmtId="164" fontId="13" fillId="0" borderId="0" xfId="64" applyNumberFormat="1" applyFont="1" applyBorder="1" applyAlignment="1" applyProtection="1">
      <alignment horizontal="center"/>
      <protection/>
    </xf>
    <xf numFmtId="1" fontId="13" fillId="0" borderId="0" xfId="64" applyNumberFormat="1" applyFont="1" applyBorder="1" applyAlignment="1" applyProtection="1" quotePrefix="1">
      <alignment horizontal="center"/>
      <protection/>
    </xf>
    <xf numFmtId="168" fontId="13" fillId="0" borderId="0" xfId="64" applyNumberFormat="1" applyFont="1" applyFill="1" applyBorder="1" applyAlignment="1" applyProtection="1">
      <alignment horizontal="center"/>
      <protection/>
    </xf>
    <xf numFmtId="22" fontId="13" fillId="0" borderId="0" xfId="64" applyNumberFormat="1" applyFont="1" applyFill="1" applyBorder="1" applyAlignment="1">
      <alignment horizontal="center"/>
      <protection/>
    </xf>
    <xf numFmtId="22" fontId="13" fillId="0" borderId="0" xfId="64" applyNumberFormat="1" applyFont="1" applyFill="1" applyBorder="1" applyAlignment="1" applyProtection="1">
      <alignment horizontal="center"/>
      <protection/>
    </xf>
    <xf numFmtId="4" fontId="13" fillId="0" borderId="0" xfId="64" applyNumberFormat="1" applyFont="1" applyFill="1" applyBorder="1" applyAlignment="1" applyProtection="1">
      <alignment horizontal="center"/>
      <protection/>
    </xf>
    <xf numFmtId="3" fontId="13" fillId="0" borderId="0" xfId="64" applyNumberFormat="1" applyFont="1" applyFill="1" applyBorder="1" applyAlignment="1" applyProtection="1">
      <alignment horizontal="center"/>
      <protection/>
    </xf>
    <xf numFmtId="168" fontId="13" fillId="0" borderId="0" xfId="64" applyNumberFormat="1" applyFont="1" applyBorder="1" applyAlignment="1" applyProtection="1" quotePrefix="1">
      <alignment horizontal="center"/>
      <protection/>
    </xf>
    <xf numFmtId="168" fontId="13" fillId="0" borderId="0" xfId="64" applyNumberFormat="1" applyFont="1" applyBorder="1" applyAlignment="1" applyProtection="1">
      <alignment horizontal="center"/>
      <protection/>
    </xf>
    <xf numFmtId="164" fontId="13" fillId="0" borderId="41" xfId="64" applyNumberFormat="1" applyFont="1" applyFill="1" applyBorder="1" applyAlignment="1" applyProtection="1">
      <alignment horizontal="center"/>
      <protection/>
    </xf>
    <xf numFmtId="2" fontId="59" fillId="0" borderId="41" xfId="64" applyNumberFormat="1" applyFont="1" applyFill="1" applyBorder="1" applyAlignment="1">
      <alignment horizontal="center"/>
      <protection/>
    </xf>
    <xf numFmtId="168" fontId="49" fillId="0" borderId="41" xfId="64" applyNumberFormat="1" applyFont="1" applyFill="1" applyBorder="1" applyAlignment="1" applyProtection="1" quotePrefix="1">
      <alignment horizontal="center"/>
      <protection/>
    </xf>
    <xf numFmtId="168" fontId="13" fillId="0" borderId="41" xfId="64" applyNumberFormat="1" applyFont="1" applyFill="1" applyBorder="1" applyAlignment="1">
      <alignment horizontal="center"/>
      <protection/>
    </xf>
    <xf numFmtId="8" fontId="77" fillId="0" borderId="21" xfId="53" applyNumberFormat="1" applyFont="1" applyFill="1" applyBorder="1" applyAlignment="1">
      <alignment horizontal="right"/>
    </xf>
    <xf numFmtId="0" fontId="30" fillId="0" borderId="16" xfId="64" applyFont="1" applyFill="1" applyBorder="1" applyAlignment="1" applyProtection="1" quotePrefix="1">
      <alignment horizontal="center" vertical="center" wrapText="1"/>
      <protection/>
    </xf>
    <xf numFmtId="0" fontId="62" fillId="34" borderId="21" xfId="64" applyFont="1" applyFill="1" applyBorder="1" applyAlignment="1" applyProtection="1">
      <alignment horizontal="center" vertical="center"/>
      <protection/>
    </xf>
    <xf numFmtId="0" fontId="68" fillId="43" borderId="21" xfId="64" applyFont="1" applyFill="1" applyBorder="1" applyAlignment="1">
      <alignment horizontal="center" vertical="center" wrapText="1"/>
      <protection/>
    </xf>
    <xf numFmtId="0" fontId="35" fillId="36" borderId="16" xfId="64" applyFont="1" applyFill="1" applyBorder="1" applyAlignment="1" applyProtection="1">
      <alignment horizontal="centerContinuous" vertical="center" wrapText="1"/>
      <protection/>
    </xf>
    <xf numFmtId="0" fontId="35" fillId="36" borderId="17" xfId="64" applyFont="1" applyFill="1" applyBorder="1" applyAlignment="1">
      <alignment horizontal="centerContinuous" vertical="center"/>
      <protection/>
    </xf>
    <xf numFmtId="0" fontId="62" fillId="35" borderId="21" xfId="64" applyFont="1" applyFill="1" applyBorder="1" applyAlignment="1">
      <alignment horizontal="center" vertical="center" wrapText="1"/>
      <protection/>
    </xf>
    <xf numFmtId="164" fontId="29" fillId="34" borderId="28" xfId="64" applyNumberFormat="1" applyFont="1" applyFill="1" applyBorder="1" applyAlignment="1" applyProtection="1">
      <alignment horizontal="center"/>
      <protection/>
    </xf>
    <xf numFmtId="0" fontId="72" fillId="43" borderId="23" xfId="64" applyFont="1" applyFill="1" applyBorder="1" applyAlignment="1" applyProtection="1">
      <alignment horizontal="center"/>
      <protection/>
    </xf>
    <xf numFmtId="168" fontId="51" fillId="36" borderId="24" xfId="64" applyNumberFormat="1" applyFont="1" applyFill="1" applyBorder="1" applyAlignment="1" applyProtection="1" quotePrefix="1">
      <alignment horizontal="center"/>
      <protection/>
    </xf>
    <xf numFmtId="168" fontId="51" fillId="36" borderId="26" xfId="64" applyNumberFormat="1" applyFont="1" applyFill="1" applyBorder="1" applyAlignment="1" applyProtection="1" quotePrefix="1">
      <alignment horizontal="center"/>
      <protection/>
    </xf>
    <xf numFmtId="168" fontId="64" fillId="35" borderId="23" xfId="64" applyNumberFormat="1" applyFont="1" applyFill="1" applyBorder="1" applyAlignment="1" applyProtection="1" quotePrefix="1">
      <alignment horizontal="center"/>
      <protection/>
    </xf>
    <xf numFmtId="0" fontId="13" fillId="0" borderId="27" xfId="59" applyFont="1" applyBorder="1" applyAlignment="1" applyProtection="1">
      <alignment horizontal="center"/>
      <protection locked="0"/>
    </xf>
    <xf numFmtId="0" fontId="13" fillId="0" borderId="33" xfId="75" applyFont="1" applyBorder="1" applyAlignment="1" applyProtection="1">
      <alignment horizontal="center"/>
      <protection locked="0"/>
    </xf>
    <xf numFmtId="164" fontId="13" fillId="0" borderId="47" xfId="64" applyNumberFormat="1" applyFont="1" applyBorder="1" applyAlignment="1" applyProtection="1">
      <alignment horizontal="center"/>
      <protection/>
    </xf>
    <xf numFmtId="22" fontId="13" fillId="0" borderId="30" xfId="75" applyNumberFormat="1" applyFont="1" applyBorder="1" applyAlignment="1" applyProtection="1">
      <alignment horizontal="center"/>
      <protection locked="0"/>
    </xf>
    <xf numFmtId="22" fontId="13" fillId="0" borderId="28" xfId="75" applyNumberFormat="1" applyFont="1" applyBorder="1" applyAlignment="1" applyProtection="1">
      <alignment horizontal="center"/>
      <protection locked="0"/>
    </xf>
    <xf numFmtId="2" fontId="72" fillId="43" borderId="28" xfId="64" applyNumberFormat="1" applyFont="1" applyFill="1" applyBorder="1" applyAlignment="1" applyProtection="1">
      <alignment horizontal="center"/>
      <protection/>
    </xf>
    <xf numFmtId="168" fontId="51" fillId="36" borderId="30" xfId="64" applyNumberFormat="1" applyFont="1" applyFill="1" applyBorder="1" applyAlignment="1" applyProtection="1" quotePrefix="1">
      <alignment horizontal="center"/>
      <protection/>
    </xf>
    <xf numFmtId="168" fontId="51" fillId="36" borderId="56" xfId="64" applyNumberFormat="1" applyFont="1" applyFill="1" applyBorder="1" applyAlignment="1" applyProtection="1" quotePrefix="1">
      <alignment horizontal="center"/>
      <protection/>
    </xf>
    <xf numFmtId="4" fontId="77" fillId="0" borderId="28" xfId="64" applyNumberFormat="1" applyFont="1" applyFill="1" applyBorder="1" applyAlignment="1">
      <alignment horizontal="right"/>
      <protection/>
    </xf>
    <xf numFmtId="164" fontId="13" fillId="0" borderId="70" xfId="64" applyNumberFormat="1" applyFont="1" applyBorder="1" applyAlignment="1" applyProtection="1">
      <alignment horizontal="center"/>
      <protection/>
    </xf>
    <xf numFmtId="164" fontId="13" fillId="0" borderId="0" xfId="64" applyNumberFormat="1" applyFont="1" applyFill="1" applyBorder="1" applyAlignment="1" applyProtection="1">
      <alignment horizontal="center"/>
      <protection/>
    </xf>
    <xf numFmtId="2" fontId="59" fillId="0" borderId="0" xfId="64" applyNumberFormat="1" applyFont="1" applyFill="1" applyBorder="1" applyAlignment="1">
      <alignment horizontal="center"/>
      <protection/>
    </xf>
    <xf numFmtId="168" fontId="49" fillId="0" borderId="0" xfId="64" applyNumberFormat="1" applyFont="1" applyFill="1" applyBorder="1" applyAlignment="1" applyProtection="1" quotePrefix="1">
      <alignment horizontal="center"/>
      <protection/>
    </xf>
    <xf numFmtId="168" fontId="13" fillId="0" borderId="0" xfId="64" applyNumberFormat="1" applyFont="1" applyFill="1" applyBorder="1" applyAlignment="1">
      <alignment horizontal="center"/>
      <protection/>
    </xf>
    <xf numFmtId="8" fontId="77" fillId="0" borderId="22" xfId="53" applyNumberFormat="1" applyFont="1" applyFill="1" applyBorder="1" applyAlignment="1">
      <alignment horizontal="right"/>
    </xf>
    <xf numFmtId="0" fontId="30" fillId="0" borderId="21" xfId="64" applyFont="1" applyBorder="1" applyAlignment="1" applyProtection="1">
      <alignment horizontal="center" vertical="center"/>
      <protection/>
    </xf>
    <xf numFmtId="168" fontId="29" fillId="48" borderId="0" xfId="64" applyNumberFormat="1" applyFont="1" applyFill="1" applyBorder="1" applyAlignment="1" applyProtection="1" quotePrefix="1">
      <alignment horizontal="center"/>
      <protection/>
    </xf>
    <xf numFmtId="0" fontId="30" fillId="0" borderId="21" xfId="64" applyFont="1" applyBorder="1" applyAlignment="1" applyProtection="1">
      <alignment horizontal="center" vertical="center" wrapText="1"/>
      <protection/>
    </xf>
    <xf numFmtId="0" fontId="60" fillId="37" borderId="17" xfId="64" applyFont="1" applyFill="1" applyBorder="1" applyAlignment="1" applyProtection="1">
      <alignment horizontal="center" vertical="center"/>
      <protection/>
    </xf>
    <xf numFmtId="0" fontId="61" fillId="39" borderId="21" xfId="64" applyFont="1" applyFill="1" applyBorder="1" applyAlignment="1">
      <alignment horizontal="center" vertical="center" wrapText="1"/>
      <protection/>
    </xf>
    <xf numFmtId="0" fontId="34" fillId="45" borderId="16" xfId="64" applyFont="1" applyFill="1" applyBorder="1" applyAlignment="1" applyProtection="1">
      <alignment horizontal="centerContinuous" vertical="center" wrapText="1"/>
      <protection/>
    </xf>
    <xf numFmtId="0" fontId="34" fillId="45" borderId="17" xfId="64" applyFont="1" applyFill="1" applyBorder="1" applyAlignment="1">
      <alignment horizontal="centerContinuous" vertical="center"/>
      <protection/>
    </xf>
    <xf numFmtId="0" fontId="37" fillId="36" borderId="21" xfId="64" applyFont="1" applyFill="1" applyBorder="1" applyAlignment="1">
      <alignment horizontal="center" vertical="center" wrapText="1"/>
      <protection/>
    </xf>
    <xf numFmtId="0" fontId="61" fillId="0" borderId="21" xfId="64" applyFont="1" applyFill="1" applyBorder="1" applyAlignment="1">
      <alignment horizontal="center" vertical="center" wrapText="1"/>
      <protection/>
    </xf>
    <xf numFmtId="4" fontId="21" fillId="0" borderId="15" xfId="64" applyNumberFormat="1" applyFont="1" applyFill="1" applyBorder="1" applyAlignment="1">
      <alignment horizontal="center"/>
      <protection/>
    </xf>
    <xf numFmtId="0" fontId="13" fillId="0" borderId="57" xfId="64" applyFont="1" applyBorder="1" applyAlignment="1">
      <alignment horizontal="center"/>
      <protection/>
    </xf>
    <xf numFmtId="0" fontId="13" fillId="0" borderId="58" xfId="64" applyFont="1" applyBorder="1" applyAlignment="1">
      <alignment horizontal="center"/>
      <protection/>
    </xf>
    <xf numFmtId="0" fontId="13" fillId="0" borderId="35" xfId="64" applyFont="1" applyBorder="1" applyAlignment="1">
      <alignment horizontal="center"/>
      <protection/>
    </xf>
    <xf numFmtId="0" fontId="63" fillId="37" borderId="0" xfId="64" applyFont="1" applyFill="1" applyBorder="1" applyAlignment="1">
      <alignment horizontal="center"/>
      <protection/>
    </xf>
    <xf numFmtId="0" fontId="80" fillId="39" borderId="43" xfId="64" applyFont="1" applyFill="1" applyBorder="1" applyAlignment="1">
      <alignment horizontal="center"/>
      <protection/>
    </xf>
    <xf numFmtId="0" fontId="50" fillId="45" borderId="45" xfId="64" applyFont="1" applyFill="1" applyBorder="1" applyAlignment="1">
      <alignment horizontal="center"/>
      <protection/>
    </xf>
    <xf numFmtId="0" fontId="50" fillId="45" borderId="46" xfId="64" applyFont="1" applyFill="1" applyBorder="1" applyAlignment="1">
      <alignment horizontal="center"/>
      <protection/>
    </xf>
    <xf numFmtId="0" fontId="53" fillId="36" borderId="43" xfId="64" applyFont="1" applyFill="1" applyBorder="1" applyAlignment="1">
      <alignment horizontal="center"/>
      <protection/>
    </xf>
    <xf numFmtId="0" fontId="13" fillId="0" borderId="43" xfId="64" applyFont="1" applyBorder="1" applyAlignment="1">
      <alignment horizontal="center"/>
      <protection/>
    </xf>
    <xf numFmtId="7" fontId="77" fillId="0" borderId="43" xfId="64" applyNumberFormat="1" applyFont="1" applyFill="1" applyBorder="1" applyAlignment="1">
      <alignment horizontal="center"/>
      <protection/>
    </xf>
    <xf numFmtId="0" fontId="74" fillId="0" borderId="32" xfId="64" applyFont="1" applyBorder="1" applyAlignment="1" applyProtection="1">
      <alignment horizontal="center"/>
      <protection/>
    </xf>
    <xf numFmtId="0" fontId="74" fillId="0" borderId="59" xfId="64" applyFont="1" applyBorder="1" applyAlignment="1" applyProtection="1">
      <alignment horizontal="center"/>
      <protection/>
    </xf>
    <xf numFmtId="174" fontId="63" fillId="37" borderId="28" xfId="64" applyNumberFormat="1" applyFont="1" applyFill="1" applyBorder="1" applyAlignment="1" applyProtection="1">
      <alignment horizontal="center"/>
      <protection/>
    </xf>
    <xf numFmtId="22" fontId="13" fillId="0" borderId="48" xfId="64" applyNumberFormat="1" applyFont="1" applyBorder="1" applyAlignment="1">
      <alignment horizontal="center"/>
      <protection/>
    </xf>
    <xf numFmtId="22" fontId="13" fillId="0" borderId="59" xfId="64" applyNumberFormat="1" applyFont="1" applyBorder="1" applyAlignment="1" applyProtection="1">
      <alignment horizontal="center"/>
      <protection/>
    </xf>
    <xf numFmtId="2" fontId="13" fillId="0" borderId="27" xfId="64" applyNumberFormat="1" applyFont="1" applyFill="1" applyBorder="1" applyAlignment="1" applyProtection="1" quotePrefix="1">
      <alignment horizontal="center"/>
      <protection/>
    </xf>
    <xf numFmtId="164" fontId="13" fillId="0" borderId="27" xfId="64" applyNumberFormat="1" applyFont="1" applyFill="1" applyBorder="1" applyAlignment="1" applyProtection="1" quotePrefix="1">
      <alignment horizontal="center"/>
      <protection/>
    </xf>
    <xf numFmtId="164" fontId="63" fillId="37" borderId="59" xfId="64" applyNumberFormat="1" applyFont="1" applyFill="1" applyBorder="1" applyAlignment="1" applyProtection="1">
      <alignment horizontal="center"/>
      <protection/>
    </xf>
    <xf numFmtId="2" fontId="80" fillId="39" borderId="28" xfId="64" applyNumberFormat="1" applyFont="1" applyFill="1" applyBorder="1" applyAlignment="1" applyProtection="1">
      <alignment horizontal="center"/>
      <protection/>
    </xf>
    <xf numFmtId="168" fontId="50" fillId="45" borderId="48" xfId="64" applyNumberFormat="1" applyFont="1" applyFill="1" applyBorder="1" applyAlignment="1" applyProtection="1" quotePrefix="1">
      <alignment horizontal="center"/>
      <protection/>
    </xf>
    <xf numFmtId="168" fontId="50" fillId="45" borderId="49" xfId="64" applyNumberFormat="1" applyFont="1" applyFill="1" applyBorder="1" applyAlignment="1" applyProtection="1" quotePrefix="1">
      <alignment horizontal="center"/>
      <protection/>
    </xf>
    <xf numFmtId="168" fontId="53" fillId="36" borderId="27" xfId="64" applyNumberFormat="1" applyFont="1" applyFill="1" applyBorder="1" applyAlignment="1" applyProtection="1" quotePrefix="1">
      <alignment horizontal="center"/>
      <protection/>
    </xf>
    <xf numFmtId="2" fontId="71" fillId="36" borderId="27" xfId="64" applyNumberFormat="1" applyFont="1" applyFill="1" applyBorder="1" applyAlignment="1" applyProtection="1">
      <alignment horizontal="center"/>
      <protection/>
    </xf>
    <xf numFmtId="2" fontId="13" fillId="0" borderId="28" xfId="64" applyNumberFormat="1" applyFont="1" applyFill="1" applyBorder="1" applyAlignment="1" applyProtection="1" quotePrefix="1">
      <alignment horizontal="center"/>
      <protection/>
    </xf>
    <xf numFmtId="164" fontId="13" fillId="0" borderId="28" xfId="64" applyNumberFormat="1" applyFont="1" applyFill="1" applyBorder="1" applyAlignment="1" applyProtection="1" quotePrefix="1">
      <alignment horizontal="center"/>
      <protection/>
    </xf>
    <xf numFmtId="168" fontId="13" fillId="0" borderId="29" xfId="64" applyNumberFormat="1" applyFont="1" applyBorder="1" applyAlignment="1" applyProtection="1">
      <alignment horizontal="center"/>
      <protection locked="0"/>
    </xf>
    <xf numFmtId="168" fontId="13" fillId="0" borderId="28" xfId="64" applyNumberFormat="1" applyFont="1" applyBorder="1" applyAlignment="1" applyProtection="1">
      <alignment horizontal="center"/>
      <protection/>
    </xf>
    <xf numFmtId="0" fontId="74" fillId="0" borderId="60" xfId="64" applyFont="1" applyBorder="1" applyAlignment="1" applyProtection="1">
      <alignment horizontal="center"/>
      <protection locked="0"/>
    </xf>
    <xf numFmtId="0" fontId="74" fillId="0" borderId="33" xfId="64" applyFont="1" applyBorder="1" applyAlignment="1" applyProtection="1">
      <alignment horizontal="center"/>
      <protection locked="0"/>
    </xf>
    <xf numFmtId="22" fontId="13" fillId="0" borderId="30" xfId="64" applyNumberFormat="1" applyFont="1" applyBorder="1" applyAlignment="1" applyProtection="1">
      <alignment horizontal="center"/>
      <protection locked="0"/>
    </xf>
    <xf numFmtId="22" fontId="13" fillId="0" borderId="33" xfId="64" applyNumberFormat="1" applyFont="1" applyBorder="1" applyAlignment="1" applyProtection="1">
      <alignment horizontal="center"/>
      <protection locked="0"/>
    </xf>
    <xf numFmtId="0" fontId="13" fillId="0" borderId="34" xfId="64" applyFont="1" applyFill="1" applyBorder="1" applyAlignment="1">
      <alignment horizontal="center"/>
      <protection/>
    </xf>
    <xf numFmtId="0" fontId="74" fillId="0" borderId="62" xfId="64" applyFont="1" applyBorder="1" applyAlignment="1" applyProtection="1">
      <alignment horizontal="center"/>
      <protection locked="0"/>
    </xf>
    <xf numFmtId="0" fontId="74" fillId="0" borderId="69" xfId="64" applyFont="1" applyBorder="1" applyAlignment="1" applyProtection="1">
      <alignment horizontal="center"/>
      <protection locked="0"/>
    </xf>
    <xf numFmtId="22" fontId="13" fillId="0" borderId="37" xfId="64" applyNumberFormat="1" applyFont="1" applyBorder="1" applyAlignment="1" applyProtection="1">
      <alignment horizontal="center"/>
      <protection locked="0"/>
    </xf>
    <xf numFmtId="22" fontId="13" fillId="0" borderId="69" xfId="64" applyNumberFormat="1" applyFont="1" applyBorder="1" applyAlignment="1" applyProtection="1">
      <alignment horizontal="center"/>
      <protection locked="0"/>
    </xf>
    <xf numFmtId="2" fontId="13" fillId="0" borderId="36" xfId="64" applyNumberFormat="1" applyFont="1" applyFill="1" applyBorder="1" applyAlignment="1" applyProtection="1" quotePrefix="1">
      <alignment horizontal="center"/>
      <protection/>
    </xf>
    <xf numFmtId="168" fontId="13" fillId="0" borderId="50" xfId="64" applyNumberFormat="1" applyFont="1" applyBorder="1" applyAlignment="1" applyProtection="1">
      <alignment horizontal="center"/>
      <protection locked="0"/>
    </xf>
    <xf numFmtId="173" fontId="13" fillId="0" borderId="50" xfId="64" applyNumberFormat="1" applyFont="1" applyBorder="1" applyAlignment="1" applyProtection="1" quotePrefix="1">
      <alignment horizontal="center"/>
      <protection/>
    </xf>
    <xf numFmtId="164" fontId="63" fillId="37" borderId="62" xfId="64" applyNumberFormat="1" applyFont="1" applyFill="1" applyBorder="1" applyAlignment="1" applyProtection="1">
      <alignment horizontal="center"/>
      <protection/>
    </xf>
    <xf numFmtId="2" fontId="80" fillId="39" borderId="36" xfId="64" applyNumberFormat="1" applyFont="1" applyFill="1" applyBorder="1" applyAlignment="1" applyProtection="1">
      <alignment horizontal="center"/>
      <protection/>
    </xf>
    <xf numFmtId="168" fontId="50" fillId="45" borderId="51" xfId="64" applyNumberFormat="1" applyFont="1" applyFill="1" applyBorder="1" applyAlignment="1" applyProtection="1" quotePrefix="1">
      <alignment horizontal="center"/>
      <protection/>
    </xf>
    <xf numFmtId="168" fontId="50" fillId="45" borderId="52" xfId="64" applyNumberFormat="1" applyFont="1" applyFill="1" applyBorder="1" applyAlignment="1" applyProtection="1" quotePrefix="1">
      <alignment horizontal="center"/>
      <protection/>
    </xf>
    <xf numFmtId="168" fontId="72" fillId="43" borderId="51" xfId="64" applyNumberFormat="1" applyFont="1" applyFill="1" applyBorder="1" applyAlignment="1" applyProtection="1" quotePrefix="1">
      <alignment horizontal="center"/>
      <protection/>
    </xf>
    <xf numFmtId="168" fontId="72" fillId="43" borderId="52" xfId="64" applyNumberFormat="1" applyFont="1" applyFill="1" applyBorder="1" applyAlignment="1" applyProtection="1" quotePrefix="1">
      <alignment horizontal="center"/>
      <protection/>
    </xf>
    <xf numFmtId="168" fontId="53" fillId="36" borderId="34" xfId="64" applyNumberFormat="1" applyFont="1" applyFill="1" applyBorder="1" applyAlignment="1" applyProtection="1" quotePrefix="1">
      <alignment horizontal="center"/>
      <protection/>
    </xf>
    <xf numFmtId="2" fontId="71" fillId="36" borderId="36" xfId="64" applyNumberFormat="1" applyFont="1" applyFill="1" applyBorder="1" applyAlignment="1" applyProtection="1">
      <alignment horizontal="center"/>
      <protection/>
    </xf>
    <xf numFmtId="4" fontId="77" fillId="0" borderId="36" xfId="64" applyNumberFormat="1" applyFont="1" applyFill="1" applyBorder="1" applyAlignment="1">
      <alignment horizontal="right"/>
      <protection/>
    </xf>
    <xf numFmtId="8" fontId="77" fillId="0" borderId="0" xfId="53" applyNumberFormat="1" applyFont="1" applyFill="1" applyBorder="1" applyAlignment="1">
      <alignment horizontal="right"/>
    </xf>
    <xf numFmtId="168" fontId="13" fillId="0" borderId="0" xfId="64" applyNumberFormat="1" applyFont="1" applyBorder="1" applyAlignment="1" applyProtection="1" quotePrefix="1">
      <alignment horizontal="centerContinuous"/>
      <protection/>
    </xf>
    <xf numFmtId="168" fontId="13" fillId="0" borderId="0" xfId="64" applyNumberFormat="1" applyFont="1" applyBorder="1" applyAlignment="1" applyProtection="1">
      <alignment horizontal="centerContinuous"/>
      <protection/>
    </xf>
    <xf numFmtId="4" fontId="77" fillId="0" borderId="0" xfId="64" applyNumberFormat="1" applyFont="1" applyFill="1" applyBorder="1" applyAlignment="1">
      <alignment horizontal="right"/>
      <protection/>
    </xf>
    <xf numFmtId="2" fontId="89" fillId="0" borderId="0" xfId="64" applyNumberFormat="1" applyFont="1" applyBorder="1" applyAlignment="1" applyProtection="1">
      <alignment horizontal="left"/>
      <protection/>
    </xf>
    <xf numFmtId="168" fontId="89" fillId="0" borderId="0" xfId="64" applyNumberFormat="1" applyFont="1" applyBorder="1" applyAlignment="1" applyProtection="1">
      <alignment horizontal="center"/>
      <protection/>
    </xf>
    <xf numFmtId="0" fontId="89" fillId="0" borderId="0" xfId="64" applyFont="1" applyBorder="1" applyAlignment="1" applyProtection="1">
      <alignment horizontal="center"/>
      <protection/>
    </xf>
    <xf numFmtId="165" fontId="89" fillId="0" borderId="0" xfId="64" applyNumberFormat="1" applyFont="1" applyBorder="1" applyAlignment="1" applyProtection="1">
      <alignment horizontal="center"/>
      <protection/>
    </xf>
    <xf numFmtId="0" fontId="111" fillId="0" borderId="0" xfId="64" applyFont="1">
      <alignment/>
      <protection/>
    </xf>
    <xf numFmtId="173" fontId="89" fillId="0" borderId="0" xfId="64" applyNumberFormat="1" applyFont="1" applyBorder="1" applyAlignment="1" applyProtection="1" quotePrefix="1">
      <alignment horizontal="center"/>
      <protection/>
    </xf>
    <xf numFmtId="0" fontId="89" fillId="0" borderId="0" xfId="64" applyFont="1">
      <alignment/>
      <protection/>
    </xf>
    <xf numFmtId="2" fontId="89" fillId="0" borderId="0" xfId="64" applyNumberFormat="1" applyFont="1" applyBorder="1" applyAlignment="1" applyProtection="1">
      <alignment horizontal="center"/>
      <protection/>
    </xf>
    <xf numFmtId="168" fontId="89" fillId="0" borderId="0" xfId="64" applyNumberFormat="1" applyFont="1" applyBorder="1" applyAlignment="1" applyProtection="1" quotePrefix="1">
      <alignment horizontal="center"/>
      <protection/>
    </xf>
    <xf numFmtId="0" fontId="4" fillId="0" borderId="0" xfId="64" applyFont="1" applyBorder="1" applyAlignment="1">
      <alignment horizontal="center"/>
      <protection/>
    </xf>
    <xf numFmtId="2" fontId="90" fillId="0" borderId="0" xfId="64" applyNumberFormat="1" applyFont="1" applyBorder="1" applyAlignment="1" applyProtection="1">
      <alignment horizontal="left"/>
      <protection/>
    </xf>
    <xf numFmtId="0" fontId="21" fillId="0" borderId="0" xfId="64" applyFont="1" applyAlignment="1">
      <alignment horizontal="center"/>
      <protection/>
    </xf>
    <xf numFmtId="173" fontId="4" fillId="0" borderId="0" xfId="64" applyNumberFormat="1" applyFont="1" applyBorder="1" applyAlignment="1" applyProtection="1">
      <alignment horizontal="left"/>
      <protection/>
    </xf>
    <xf numFmtId="2" fontId="91" fillId="0" borderId="0" xfId="64" applyNumberFormat="1" applyFont="1" applyBorder="1" applyAlignment="1" applyProtection="1">
      <alignment horizontal="center"/>
      <protection/>
    </xf>
    <xf numFmtId="168" fontId="4" fillId="0" borderId="0" xfId="64" applyNumberFormat="1" applyFont="1" applyBorder="1" applyAlignment="1" applyProtection="1">
      <alignment horizontal="left"/>
      <protection/>
    </xf>
    <xf numFmtId="168" fontId="88" fillId="0" borderId="0" xfId="64" applyNumberFormat="1" applyFont="1" applyBorder="1" applyAlignment="1" applyProtection="1" quotePrefix="1">
      <alignment horizontal="center"/>
      <protection/>
    </xf>
    <xf numFmtId="4" fontId="88" fillId="0" borderId="0" xfId="64" applyNumberFormat="1" applyFont="1" applyBorder="1" applyAlignment="1" applyProtection="1">
      <alignment horizontal="center"/>
      <protection/>
    </xf>
    <xf numFmtId="7" fontId="21" fillId="0" borderId="0" xfId="64" applyNumberFormat="1" applyFont="1" applyBorder="1" applyAlignment="1">
      <alignment horizontal="centerContinuous"/>
      <protection/>
    </xf>
    <xf numFmtId="1" fontId="21" fillId="0" borderId="0" xfId="64" applyNumberFormat="1" applyFont="1" applyBorder="1" applyAlignment="1" applyProtection="1">
      <alignment horizontal="center"/>
      <protection/>
    </xf>
    <xf numFmtId="183" fontId="21" fillId="0" borderId="0" xfId="64" applyNumberFormat="1" applyFont="1" applyBorder="1" applyAlignment="1" applyProtection="1">
      <alignment horizontal="centerContinuous"/>
      <protection/>
    </xf>
    <xf numFmtId="183" fontId="89" fillId="0" borderId="0" xfId="64" applyNumberFormat="1" applyFont="1" applyBorder="1" applyAlignment="1" applyProtection="1">
      <alignment horizontal="centerContinuous"/>
      <protection/>
    </xf>
    <xf numFmtId="168" fontId="89" fillId="0" borderId="0" xfId="73" applyNumberFormat="1" applyFont="1" applyBorder="1" applyAlignment="1" applyProtection="1" quotePrefix="1">
      <alignment horizontal="left"/>
      <protection/>
    </xf>
    <xf numFmtId="4" fontId="89" fillId="0" borderId="0" xfId="64" applyNumberFormat="1" applyFont="1" applyBorder="1" applyAlignment="1" applyProtection="1">
      <alignment horizontal="center"/>
      <protection/>
    </xf>
    <xf numFmtId="7" fontId="89" fillId="0" borderId="0" xfId="64" applyNumberFormat="1" applyFont="1" applyFill="1" applyBorder="1" applyAlignment="1">
      <alignment horizontal="center"/>
      <protection/>
    </xf>
    <xf numFmtId="168" fontId="89" fillId="0" borderId="0" xfId="64" applyNumberFormat="1" applyFont="1" applyBorder="1" applyAlignment="1" applyProtection="1" quotePrefix="1">
      <alignment horizontal="left"/>
      <protection/>
    </xf>
    <xf numFmtId="168" fontId="21" fillId="0" borderId="0" xfId="64" applyNumberFormat="1" applyFont="1" applyBorder="1" applyAlignment="1" applyProtection="1">
      <alignment horizontal="centerContinuous"/>
      <protection/>
    </xf>
    <xf numFmtId="1" fontId="21" fillId="0" borderId="0" xfId="64" applyNumberFormat="1" applyFont="1" applyBorder="1" applyAlignment="1" applyProtection="1">
      <alignment horizontal="left"/>
      <protection/>
    </xf>
    <xf numFmtId="1" fontId="21" fillId="0" borderId="0" xfId="64" applyNumberFormat="1" applyFont="1" applyBorder="1" applyAlignment="1" applyProtection="1">
      <alignment horizontal="centerContinuous"/>
      <protection/>
    </xf>
    <xf numFmtId="7" fontId="89" fillId="0" borderId="60" xfId="64" applyNumberFormat="1" applyFont="1" applyFill="1" applyBorder="1" applyAlignment="1">
      <alignment horizontal="center"/>
      <protection/>
    </xf>
    <xf numFmtId="7" fontId="21" fillId="0" borderId="0" xfId="64" applyNumberFormat="1" applyFont="1" applyBorder="1" applyAlignment="1">
      <alignment horizontal="right"/>
      <protection/>
    </xf>
    <xf numFmtId="168" fontId="22" fillId="0" borderId="0" xfId="64" applyNumberFormat="1" applyFont="1" applyBorder="1" applyAlignment="1" applyProtection="1">
      <alignment horizontal="left"/>
      <protection/>
    </xf>
    <xf numFmtId="10" fontId="21" fillId="0" borderId="0" xfId="64" applyNumberFormat="1" applyFont="1" applyBorder="1" applyAlignment="1" applyProtection="1">
      <alignment horizontal="center"/>
      <protection/>
    </xf>
    <xf numFmtId="7" fontId="21" fillId="0" borderId="0" xfId="64" applyNumberFormat="1" applyFont="1" applyAlignment="1">
      <alignment horizontal="right"/>
      <protection/>
    </xf>
    <xf numFmtId="0" fontId="21" fillId="0" borderId="0" xfId="64" applyFont="1" quotePrefix="1">
      <alignment/>
      <protection/>
    </xf>
    <xf numFmtId="168" fontId="21" fillId="0" borderId="0" xfId="64" applyNumberFormat="1" applyFont="1" applyBorder="1" applyAlignment="1" applyProtection="1" quotePrefix="1">
      <alignment horizontal="center"/>
      <protection/>
    </xf>
    <xf numFmtId="7" fontId="21" fillId="0" borderId="0" xfId="64" applyNumberFormat="1" applyFont="1" applyBorder="1" applyAlignment="1" applyProtection="1">
      <alignment horizontal="left"/>
      <protection/>
    </xf>
    <xf numFmtId="0" fontId="111" fillId="0" borderId="0" xfId="64" applyFont="1" quotePrefix="1">
      <alignment/>
      <protection/>
    </xf>
    <xf numFmtId="0" fontId="112" fillId="0" borderId="0" xfId="64" applyFont="1" applyAlignment="1">
      <alignment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0" xfId="64" applyFont="1" applyBorder="1" applyAlignment="1">
      <alignment horizontal="center" vertical="center"/>
      <protection/>
    </xf>
    <xf numFmtId="168" fontId="23" fillId="0" borderId="0" xfId="64" applyNumberFormat="1" applyFont="1" applyBorder="1" applyAlignment="1" applyProtection="1">
      <alignment horizontal="left" vertical="center"/>
      <protection/>
    </xf>
    <xf numFmtId="0" fontId="112" fillId="0" borderId="0" xfId="64" applyFont="1" applyAlignment="1" quotePrefix="1">
      <alignment vertical="center"/>
      <protection/>
    </xf>
    <xf numFmtId="0" fontId="23" fillId="0" borderId="0" xfId="64" applyFont="1" applyBorder="1" applyAlignment="1" applyProtection="1">
      <alignment horizontal="center" vertical="center"/>
      <protection/>
    </xf>
    <xf numFmtId="165" fontId="23" fillId="0" borderId="0" xfId="64" applyNumberFormat="1" applyFont="1" applyBorder="1" applyAlignment="1" applyProtection="1">
      <alignment horizontal="center" vertical="center"/>
      <protection/>
    </xf>
    <xf numFmtId="4" fontId="10" fillId="0" borderId="16" xfId="64" applyNumberFormat="1" applyFont="1" applyBorder="1" applyAlignment="1" applyProtection="1">
      <alignment horizontal="center" vertical="center"/>
      <protection/>
    </xf>
    <xf numFmtId="7" fontId="113" fillId="0" borderId="17" xfId="64" applyNumberFormat="1" applyFont="1" applyFill="1" applyBorder="1" applyAlignment="1">
      <alignment horizontal="center" vertical="center"/>
      <protection/>
    </xf>
    <xf numFmtId="168" fontId="23" fillId="0" borderId="0" xfId="64" applyNumberFormat="1" applyFont="1" applyBorder="1" applyAlignment="1" applyProtection="1">
      <alignment horizontal="center" vertical="center"/>
      <protection/>
    </xf>
    <xf numFmtId="168" fontId="10" fillId="0" borderId="0" xfId="64" applyNumberFormat="1" applyFont="1" applyBorder="1" applyAlignment="1" applyProtection="1">
      <alignment horizontal="left" vertical="center"/>
      <protection/>
    </xf>
    <xf numFmtId="173" fontId="23" fillId="0" borderId="0" xfId="64" applyNumberFormat="1" applyFont="1" applyBorder="1" applyAlignment="1" applyProtection="1" quotePrefix="1">
      <alignment horizontal="center" vertical="center"/>
      <protection/>
    </xf>
    <xf numFmtId="2" fontId="92" fillId="0" borderId="0" xfId="64" applyNumberFormat="1" applyFont="1" applyBorder="1" applyAlignment="1" applyProtection="1">
      <alignment horizontal="center" vertical="center"/>
      <protection/>
    </xf>
    <xf numFmtId="168" fontId="93" fillId="0" borderId="0" xfId="64" applyNumberFormat="1" applyFont="1" applyBorder="1" applyAlignment="1" applyProtection="1" quotePrefix="1">
      <alignment horizontal="center" vertical="center"/>
      <protection/>
    </xf>
    <xf numFmtId="4" fontId="23" fillId="0" borderId="15" xfId="64" applyNumberFormat="1" applyFont="1" applyFill="1" applyBorder="1" applyAlignment="1">
      <alignment horizontal="center" vertical="center"/>
      <protection/>
    </xf>
    <xf numFmtId="0" fontId="21" fillId="0" borderId="18" xfId="64" applyFont="1" applyBorder="1">
      <alignment/>
      <protection/>
    </xf>
    <xf numFmtId="0" fontId="21" fillId="0" borderId="19" xfId="64" applyFont="1" applyBorder="1">
      <alignment/>
      <protection/>
    </xf>
    <xf numFmtId="0" fontId="3" fillId="0" borderId="19" xfId="64" applyBorder="1">
      <alignment/>
      <protection/>
    </xf>
    <xf numFmtId="0" fontId="21" fillId="0" borderId="20" xfId="64" applyFont="1" applyFill="1" applyBorder="1">
      <alignment/>
      <protection/>
    </xf>
    <xf numFmtId="0" fontId="13" fillId="0" borderId="0" xfId="64" applyFont="1" applyBorder="1" applyAlignment="1">
      <alignment horizontal="left"/>
      <protection/>
    </xf>
    <xf numFmtId="0" fontId="13" fillId="0" borderId="0" xfId="66" applyFont="1" applyFill="1">
      <alignment/>
      <protection/>
    </xf>
    <xf numFmtId="0" fontId="13" fillId="0" borderId="0" xfId="66" applyFont="1">
      <alignment/>
      <protection/>
    </xf>
    <xf numFmtId="0" fontId="11" fillId="0" borderId="0" xfId="66" applyFont="1" applyAlignment="1">
      <alignment horizontal="right" vertical="top"/>
      <protection/>
    </xf>
    <xf numFmtId="0" fontId="3" fillId="0" borderId="0" xfId="66">
      <alignment/>
      <protection/>
    </xf>
    <xf numFmtId="0" fontId="81" fillId="0" borderId="0" xfId="66" applyFont="1" applyFill="1">
      <alignment/>
      <protection/>
    </xf>
    <xf numFmtId="0" fontId="82" fillId="0" borderId="0" xfId="66" applyFont="1" applyAlignment="1">
      <alignment horizontal="centerContinuous"/>
      <protection/>
    </xf>
    <xf numFmtId="0" fontId="81" fillId="0" borderId="0" xfId="66" applyFont="1" applyAlignment="1">
      <alignment horizontal="centerContinuous"/>
      <protection/>
    </xf>
    <xf numFmtId="0" fontId="81" fillId="0" borderId="0" xfId="66" applyFont="1">
      <alignment/>
      <protection/>
    </xf>
    <xf numFmtId="0" fontId="6" fillId="0" borderId="0" xfId="66" applyFont="1" applyFill="1" applyBorder="1" applyAlignment="1" applyProtection="1">
      <alignment horizontal="center"/>
      <protection/>
    </xf>
    <xf numFmtId="0" fontId="6" fillId="0" borderId="0" xfId="66" applyFont="1" applyFill="1" applyBorder="1" applyAlignment="1" applyProtection="1">
      <alignment horizontal="left"/>
      <protection/>
    </xf>
    <xf numFmtId="0" fontId="14" fillId="0" borderId="0" xfId="66" applyFont="1">
      <alignment/>
      <protection/>
    </xf>
    <xf numFmtId="0" fontId="13" fillId="0" borderId="11" xfId="66" applyFont="1" applyBorder="1">
      <alignment/>
      <protection/>
    </xf>
    <xf numFmtId="0" fontId="13" fillId="0" borderId="12" xfId="66" applyFont="1" applyBorder="1">
      <alignment/>
      <protection/>
    </xf>
    <xf numFmtId="0" fontId="13" fillId="0" borderId="12" xfId="66" applyFont="1" applyBorder="1" applyAlignment="1" applyProtection="1">
      <alignment horizontal="left"/>
      <protection/>
    </xf>
    <xf numFmtId="0" fontId="13" fillId="0" borderId="13" xfId="66" applyFont="1" applyFill="1" applyBorder="1">
      <alignment/>
      <protection/>
    </xf>
    <xf numFmtId="0" fontId="13" fillId="0" borderId="14" xfId="66" applyFont="1" applyBorder="1">
      <alignment/>
      <protection/>
    </xf>
    <xf numFmtId="0" fontId="13" fillId="0" borderId="0" xfId="66" applyFont="1" applyBorder="1">
      <alignment/>
      <protection/>
    </xf>
    <xf numFmtId="0" fontId="20" fillId="0" borderId="0" xfId="66" applyFont="1" applyBorder="1" applyAlignment="1">
      <alignment horizontal="left"/>
      <protection/>
    </xf>
    <xf numFmtId="0" fontId="19" fillId="0" borderId="0" xfId="66" applyFont="1" applyBorder="1">
      <alignment/>
      <protection/>
    </xf>
    <xf numFmtId="0" fontId="13" fillId="0" borderId="15" xfId="66" applyFont="1" applyFill="1" applyBorder="1">
      <alignment/>
      <protection/>
    </xf>
    <xf numFmtId="0" fontId="23" fillId="0" borderId="0" xfId="66" applyFont="1">
      <alignment/>
      <protection/>
    </xf>
    <xf numFmtId="0" fontId="23" fillId="0" borderId="14" xfId="66" applyFont="1" applyBorder="1">
      <alignment/>
      <protection/>
    </xf>
    <xf numFmtId="0" fontId="23" fillId="0" borderId="0" xfId="66" applyFont="1" applyBorder="1">
      <alignment/>
      <protection/>
    </xf>
    <xf numFmtId="0" fontId="17" fillId="0" borderId="0" xfId="66" applyFont="1" applyBorder="1">
      <alignment/>
      <protection/>
    </xf>
    <xf numFmtId="0" fontId="23" fillId="0" borderId="15" xfId="66" applyFont="1" applyFill="1" applyBorder="1">
      <alignment/>
      <protection/>
    </xf>
    <xf numFmtId="0" fontId="13" fillId="0" borderId="0" xfId="66" applyFont="1" applyBorder="1" applyProtection="1">
      <alignment/>
      <protection/>
    </xf>
    <xf numFmtId="0" fontId="24" fillId="0" borderId="14" xfId="66" applyFont="1" applyBorder="1" applyAlignment="1">
      <alignment horizontal="centerContinuous"/>
      <protection/>
    </xf>
    <xf numFmtId="0" fontId="3" fillId="0" borderId="0" xfId="66" applyNumberFormat="1" applyAlignment="1">
      <alignment horizontal="centerContinuous"/>
      <protection/>
    </xf>
    <xf numFmtId="0" fontId="24" fillId="0" borderId="0" xfId="66" applyFont="1" applyBorder="1" applyAlignment="1">
      <alignment horizontal="centerContinuous"/>
      <protection/>
    </xf>
    <xf numFmtId="0" fontId="23" fillId="0" borderId="0" xfId="66" applyFont="1" applyBorder="1" applyAlignment="1">
      <alignment horizontal="centerContinuous"/>
      <protection/>
    </xf>
    <xf numFmtId="0" fontId="3" fillId="0" borderId="0" xfId="66" applyAlignment="1">
      <alignment horizontal="centerContinuous"/>
      <protection/>
    </xf>
    <xf numFmtId="0" fontId="23" fillId="0" borderId="0" xfId="66" applyFont="1" applyAlignment="1">
      <alignment horizontal="centerContinuous"/>
      <protection/>
    </xf>
    <xf numFmtId="0" fontId="23" fillId="0" borderId="15" xfId="66" applyFont="1" applyBorder="1" applyAlignment="1">
      <alignment horizontal="centerContinuous"/>
      <protection/>
    </xf>
    <xf numFmtId="0" fontId="13" fillId="0" borderId="0" xfId="66" applyFont="1" applyBorder="1" applyAlignment="1">
      <alignment horizontal="center"/>
      <protection/>
    </xf>
    <xf numFmtId="0" fontId="107" fillId="0" borderId="0" xfId="66" applyFont="1" applyBorder="1" applyAlignment="1" quotePrefix="1">
      <alignment horizontal="left"/>
      <protection/>
    </xf>
    <xf numFmtId="168" fontId="48" fillId="0" borderId="0" xfId="66" applyNumberFormat="1" applyFont="1" applyBorder="1" applyAlignment="1" applyProtection="1">
      <alignment horizontal="left"/>
      <protection/>
    </xf>
    <xf numFmtId="0" fontId="3" fillId="0" borderId="0" xfId="66" applyBorder="1">
      <alignment/>
      <protection/>
    </xf>
    <xf numFmtId="0" fontId="10" fillId="0" borderId="0" xfId="66" applyFont="1" applyBorder="1" applyAlignment="1">
      <alignment horizontal="center"/>
      <protection/>
    </xf>
    <xf numFmtId="0" fontId="10" fillId="0" borderId="0" xfId="66" applyFont="1" applyBorder="1">
      <alignment/>
      <protection/>
    </xf>
    <xf numFmtId="0" fontId="21" fillId="0" borderId="0" xfId="66" applyFont="1">
      <alignment/>
      <protection/>
    </xf>
    <xf numFmtId="0" fontId="21" fillId="0" borderId="14" xfId="66" applyFont="1" applyBorder="1">
      <alignment/>
      <protection/>
    </xf>
    <xf numFmtId="0" fontId="21" fillId="0" borderId="0" xfId="66" applyFont="1" applyBorder="1">
      <alignment/>
      <protection/>
    </xf>
    <xf numFmtId="0" fontId="21" fillId="0" borderId="0" xfId="66" applyFont="1" applyBorder="1" applyAlignment="1">
      <alignment horizontal="right"/>
      <protection/>
    </xf>
    <xf numFmtId="0" fontId="21" fillId="0" borderId="0" xfId="66" applyFont="1" applyAlignment="1">
      <alignment horizontal="right"/>
      <protection/>
    </xf>
    <xf numFmtId="183" fontId="21" fillId="0" borderId="0" xfId="66" applyNumberFormat="1" applyFont="1" applyBorder="1" applyAlignment="1" applyProtection="1">
      <alignment horizontal="centerContinuous"/>
      <protection/>
    </xf>
    <xf numFmtId="168" fontId="89" fillId="0" borderId="0" xfId="66" applyNumberFormat="1" applyFont="1" applyBorder="1" applyAlignment="1" applyProtection="1" quotePrefix="1">
      <alignment horizontal="left"/>
      <protection/>
    </xf>
    <xf numFmtId="0" fontId="83" fillId="0" borderId="0" xfId="66" applyFont="1" applyBorder="1" applyAlignment="1" quotePrefix="1">
      <alignment horizontal="left"/>
      <protection/>
    </xf>
    <xf numFmtId="1" fontId="3" fillId="0" borderId="71" xfId="66" applyNumberFormat="1" applyBorder="1" applyAlignment="1">
      <alignment horizontal="center"/>
      <protection/>
    </xf>
    <xf numFmtId="0" fontId="21" fillId="0" borderId="15" xfId="66" applyFont="1" applyFill="1" applyBorder="1">
      <alignment/>
      <protection/>
    </xf>
    <xf numFmtId="0" fontId="21" fillId="0" borderId="0" xfId="66" applyFont="1" applyAlignment="1">
      <alignment/>
      <protection/>
    </xf>
    <xf numFmtId="10" fontId="21" fillId="0" borderId="0" xfId="66" applyNumberFormat="1" applyFont="1" applyBorder="1" applyAlignment="1" applyProtection="1">
      <alignment horizontal="right"/>
      <protection/>
    </xf>
    <xf numFmtId="174" fontId="21" fillId="0" borderId="0" xfId="66" applyNumberFormat="1" applyFont="1" applyBorder="1" applyAlignment="1">
      <alignment horizontal="center"/>
      <protection/>
    </xf>
    <xf numFmtId="0" fontId="3" fillId="0" borderId="0" xfId="66" applyFont="1" applyBorder="1" applyAlignment="1" applyProtection="1">
      <alignment horizontal="center"/>
      <protection/>
    </xf>
    <xf numFmtId="174" fontId="3" fillId="0" borderId="0" xfId="66" applyNumberFormat="1" applyFont="1" applyBorder="1" applyAlignment="1">
      <alignment horizontal="centerContinuous"/>
      <protection/>
    </xf>
    <xf numFmtId="0" fontId="48" fillId="0" borderId="72" xfId="66" applyFont="1" applyBorder="1" applyAlignment="1">
      <alignment horizontal="centerContinuous"/>
      <protection/>
    </xf>
    <xf numFmtId="0" fontId="48" fillId="0" borderId="73" xfId="66" applyFont="1" applyBorder="1" applyAlignment="1">
      <alignment horizontal="centerContinuous"/>
      <protection/>
    </xf>
    <xf numFmtId="174" fontId="48" fillId="0" borderId="74" xfId="66" applyNumberFormat="1" applyFont="1" applyBorder="1" applyAlignment="1">
      <alignment horizontal="center"/>
      <protection/>
    </xf>
    <xf numFmtId="1" fontId="48" fillId="0" borderId="74" xfId="66" applyNumberFormat="1" applyFont="1" applyBorder="1" applyAlignment="1">
      <alignment horizontal="center"/>
      <protection/>
    </xf>
    <xf numFmtId="0" fontId="48" fillId="0" borderId="75" xfId="66" applyFont="1" applyBorder="1" applyAlignment="1">
      <alignment horizontal="centerContinuous"/>
      <protection/>
    </xf>
    <xf numFmtId="0" fontId="48" fillId="0" borderId="64" xfId="66" applyFont="1" applyBorder="1" applyAlignment="1">
      <alignment horizontal="centerContinuous"/>
      <protection/>
    </xf>
    <xf numFmtId="174" fontId="48" fillId="0" borderId="76" xfId="66" applyNumberFormat="1" applyFont="1" applyBorder="1" applyAlignment="1">
      <alignment horizontal="center"/>
      <protection/>
    </xf>
    <xf numFmtId="1" fontId="48" fillId="0" borderId="76" xfId="66" applyNumberFormat="1" applyFont="1" applyBorder="1" applyAlignment="1">
      <alignment horizontal="center"/>
      <protection/>
    </xf>
    <xf numFmtId="183" fontId="21" fillId="0" borderId="0" xfId="66" applyNumberFormat="1" applyFont="1" applyBorder="1">
      <alignment/>
      <protection/>
    </xf>
    <xf numFmtId="0" fontId="48" fillId="0" borderId="77" xfId="66" applyFont="1" applyBorder="1" applyAlignment="1">
      <alignment horizontal="centerContinuous"/>
      <protection/>
    </xf>
    <xf numFmtId="0" fontId="48" fillId="0" borderId="78" xfId="66" applyFont="1" applyBorder="1" applyAlignment="1">
      <alignment horizontal="centerContinuous"/>
      <protection/>
    </xf>
    <xf numFmtId="174" fontId="48" fillId="0" borderId="79" xfId="66" applyNumberFormat="1" applyFont="1" applyFill="1" applyBorder="1" applyAlignment="1">
      <alignment horizontal="center"/>
      <protection/>
    </xf>
    <xf numFmtId="1" fontId="48" fillId="0" borderId="79" xfId="66" applyNumberFormat="1" applyFont="1" applyFill="1" applyBorder="1" applyAlignment="1">
      <alignment horizontal="center"/>
      <protection/>
    </xf>
    <xf numFmtId="0" fontId="21" fillId="0" borderId="0" xfId="66" applyFont="1" applyBorder="1" applyAlignment="1" applyProtection="1">
      <alignment horizontal="center"/>
      <protection/>
    </xf>
    <xf numFmtId="0" fontId="22" fillId="0" borderId="0" xfId="66" applyFont="1" applyBorder="1">
      <alignment/>
      <protection/>
    </xf>
    <xf numFmtId="0" fontId="21" fillId="0" borderId="0" xfId="66" applyFont="1" applyBorder="1" applyAlignment="1">
      <alignment horizontal="center"/>
      <protection/>
    </xf>
    <xf numFmtId="168" fontId="10" fillId="0" borderId="16" xfId="66" applyNumberFormat="1" applyFont="1" applyBorder="1" applyAlignment="1" applyProtection="1">
      <alignment horizontal="center"/>
      <protection/>
    </xf>
    <xf numFmtId="183" fontId="10" fillId="0" borderId="17" xfId="66" applyNumberFormat="1" applyFont="1" applyBorder="1" applyAlignment="1" applyProtection="1">
      <alignment horizontal="centerContinuous"/>
      <protection/>
    </xf>
    <xf numFmtId="0" fontId="13" fillId="0" borderId="0" xfId="66" applyFont="1" applyBorder="1" applyAlignment="1" applyProtection="1">
      <alignment horizontal="center"/>
      <protection/>
    </xf>
    <xf numFmtId="164" fontId="88" fillId="0" borderId="0" xfId="66" applyNumberFormat="1" applyFont="1" applyBorder="1" applyAlignment="1" applyProtection="1">
      <alignment horizontal="center"/>
      <protection/>
    </xf>
    <xf numFmtId="165" fontId="21" fillId="0" borderId="0" xfId="66" applyNumberFormat="1" applyFont="1" applyBorder="1" applyAlignment="1" applyProtection="1">
      <alignment horizontal="center"/>
      <protection/>
    </xf>
    <xf numFmtId="168" fontId="21" fillId="0" borderId="0" xfId="66" applyNumberFormat="1" applyFont="1" applyBorder="1" applyAlignment="1" applyProtection="1">
      <alignment horizontal="center"/>
      <protection/>
    </xf>
    <xf numFmtId="173" fontId="21" fillId="0" borderId="0" xfId="66" applyNumberFormat="1" applyFont="1" applyBorder="1" applyAlignment="1" applyProtection="1" quotePrefix="1">
      <alignment horizontal="center"/>
      <protection/>
    </xf>
    <xf numFmtId="2" fontId="108" fillId="0" borderId="62" xfId="66" applyNumberFormat="1" applyFont="1" applyFill="1" applyBorder="1" applyAlignment="1" applyProtection="1">
      <alignment horizontal="center"/>
      <protection/>
    </xf>
    <xf numFmtId="2" fontId="76" fillId="0" borderId="62" xfId="66" applyNumberFormat="1" applyFont="1" applyFill="1" applyBorder="1" applyAlignment="1" applyProtection="1">
      <alignment horizontal="center"/>
      <protection/>
    </xf>
    <xf numFmtId="2" fontId="109" fillId="0" borderId="62" xfId="66" applyNumberFormat="1" applyFont="1" applyFill="1" applyBorder="1" applyAlignment="1" applyProtection="1">
      <alignment horizontal="center"/>
      <protection/>
    </xf>
    <xf numFmtId="4" fontId="13" fillId="0" borderId="15" xfId="66" applyNumberFormat="1" applyFont="1" applyFill="1" applyBorder="1" applyAlignment="1">
      <alignment horizontal="center"/>
      <protection/>
    </xf>
    <xf numFmtId="0" fontId="13" fillId="0" borderId="14" xfId="66" applyFont="1" applyFill="1" applyBorder="1">
      <alignment/>
      <protection/>
    </xf>
    <xf numFmtId="0" fontId="30" fillId="0" borderId="21" xfId="66" applyFont="1" applyFill="1" applyBorder="1" applyAlignment="1">
      <alignment horizontal="center" vertical="center"/>
      <protection/>
    </xf>
    <xf numFmtId="0" fontId="30" fillId="0" borderId="21" xfId="66" applyFont="1" applyFill="1" applyBorder="1" applyAlignment="1" applyProtection="1">
      <alignment horizontal="center" vertical="center" wrapText="1"/>
      <protection/>
    </xf>
    <xf numFmtId="0" fontId="30" fillId="0" borderId="21" xfId="66" applyFont="1" applyFill="1" applyBorder="1" applyAlignment="1" applyProtection="1">
      <alignment horizontal="center" vertical="center"/>
      <protection/>
    </xf>
    <xf numFmtId="0" fontId="30" fillId="0" borderId="21" xfId="66" applyFont="1" applyFill="1" applyBorder="1" applyAlignment="1" applyProtection="1" quotePrefix="1">
      <alignment horizontal="center" vertical="center" wrapText="1"/>
      <protection/>
    </xf>
    <xf numFmtId="0" fontId="30" fillId="0" borderId="21" xfId="66" applyFont="1" applyFill="1" applyBorder="1" applyAlignment="1">
      <alignment horizontal="center" vertical="center" wrapText="1"/>
      <protection/>
    </xf>
    <xf numFmtId="0" fontId="60" fillId="37" borderId="21" xfId="66" applyFont="1" applyFill="1" applyBorder="1" applyAlignment="1" applyProtection="1">
      <alignment horizontal="center" vertical="center"/>
      <protection/>
    </xf>
    <xf numFmtId="0" fontId="30" fillId="0" borderId="16" xfId="66" applyFont="1" applyBorder="1" applyAlignment="1" applyProtection="1">
      <alignment horizontal="center" vertical="center" wrapText="1"/>
      <protection/>
    </xf>
    <xf numFmtId="0" fontId="30" fillId="0" borderId="16" xfId="66" applyFont="1" applyFill="1" applyBorder="1" applyAlignment="1" applyProtection="1">
      <alignment horizontal="centerContinuous" vertical="center"/>
      <protection/>
    </xf>
    <xf numFmtId="0" fontId="62" fillId="49" borderId="21" xfId="66" applyFont="1" applyFill="1" applyBorder="1" applyAlignment="1">
      <alignment horizontal="center" vertical="center" wrapText="1"/>
      <protection/>
    </xf>
    <xf numFmtId="0" fontId="62" fillId="50" borderId="16" xfId="66" applyFont="1" applyFill="1" applyBorder="1" applyAlignment="1" applyProtection="1">
      <alignment horizontal="centerContinuous" vertical="center" wrapText="1"/>
      <protection/>
    </xf>
    <xf numFmtId="0" fontId="62" fillId="50" borderId="17" xfId="66" applyFont="1" applyFill="1" applyBorder="1" applyAlignment="1">
      <alignment horizontal="centerContinuous" vertical="center"/>
      <protection/>
    </xf>
    <xf numFmtId="0" fontId="62" fillId="35" borderId="21" xfId="66" applyFont="1" applyFill="1" applyBorder="1" applyAlignment="1">
      <alignment horizontal="centerContinuous" vertical="center" wrapText="1"/>
      <protection/>
    </xf>
    <xf numFmtId="0" fontId="30" fillId="0" borderId="21" xfId="66" applyFont="1" applyBorder="1" applyAlignment="1">
      <alignment horizontal="center" vertical="center" wrapText="1"/>
      <protection/>
    </xf>
    <xf numFmtId="0" fontId="13" fillId="0" borderId="28" xfId="66" applyFont="1" applyFill="1" applyBorder="1" applyAlignment="1">
      <alignment horizontal="center"/>
      <protection/>
    </xf>
    <xf numFmtId="164" fontId="13" fillId="0" borderId="28" xfId="66" applyNumberFormat="1" applyFont="1" applyFill="1" applyBorder="1" applyAlignment="1" applyProtection="1">
      <alignment horizontal="center"/>
      <protection/>
    </xf>
    <xf numFmtId="0" fontId="110" fillId="37" borderId="28" xfId="66" applyFont="1" applyFill="1" applyBorder="1" applyAlignment="1">
      <alignment horizontal="center"/>
      <protection/>
    </xf>
    <xf numFmtId="0" fontId="13" fillId="0" borderId="29" xfId="66" applyFont="1" applyFill="1" applyBorder="1" applyAlignment="1">
      <alignment horizontal="center"/>
      <protection/>
    </xf>
    <xf numFmtId="0" fontId="13" fillId="0" borderId="23" xfId="66" applyFont="1" applyFill="1" applyBorder="1" applyAlignment="1">
      <alignment horizontal="centerContinuous"/>
      <protection/>
    </xf>
    <xf numFmtId="0" fontId="63" fillId="37" borderId="23" xfId="66" applyFont="1" applyFill="1" applyBorder="1" applyAlignment="1">
      <alignment horizontal="center"/>
      <protection/>
    </xf>
    <xf numFmtId="0" fontId="29" fillId="49" borderId="23" xfId="66" applyFont="1" applyFill="1" applyBorder="1" applyAlignment="1">
      <alignment horizontal="center"/>
      <protection/>
    </xf>
    <xf numFmtId="0" fontId="29" fillId="50" borderId="24" xfId="66" applyFont="1" applyFill="1" applyBorder="1" applyAlignment="1">
      <alignment horizontal="center"/>
      <protection/>
    </xf>
    <xf numFmtId="0" fontId="29" fillId="50" borderId="26" xfId="66" applyFont="1" applyFill="1" applyBorder="1" applyAlignment="1">
      <alignment horizontal="left"/>
      <protection/>
    </xf>
    <xf numFmtId="0" fontId="29" fillId="35" borderId="23" xfId="66" applyFont="1" applyFill="1" applyBorder="1" applyAlignment="1">
      <alignment horizontal="left"/>
      <protection/>
    </xf>
    <xf numFmtId="0" fontId="48" fillId="0" borderId="29" xfId="66" applyFont="1" applyFill="1" applyBorder="1" applyAlignment="1">
      <alignment horizontal="center"/>
      <protection/>
    </xf>
    <xf numFmtId="0" fontId="13" fillId="0" borderId="27" xfId="73" applyFont="1" applyBorder="1" applyAlignment="1" applyProtection="1">
      <alignment horizontal="center"/>
      <protection/>
    </xf>
    <xf numFmtId="0" fontId="13" fillId="0" borderId="32" xfId="73" applyFont="1" applyBorder="1" applyAlignment="1" applyProtection="1">
      <alignment horizontal="center"/>
      <protection/>
    </xf>
    <xf numFmtId="164" fontId="13" fillId="0" borderId="27" xfId="73" applyNumberFormat="1" applyFont="1" applyBorder="1" applyAlignment="1" applyProtection="1">
      <alignment horizontal="center"/>
      <protection/>
    </xf>
    <xf numFmtId="1" fontId="13" fillId="0" borderId="49" xfId="73" applyNumberFormat="1" applyFont="1" applyBorder="1" applyAlignment="1" applyProtection="1">
      <alignment horizontal="center"/>
      <protection/>
    </xf>
    <xf numFmtId="168" fontId="110" fillId="37" borderId="28" xfId="66" applyNumberFormat="1" applyFont="1" applyFill="1" applyBorder="1" applyAlignment="1" applyProtection="1">
      <alignment horizontal="center"/>
      <protection/>
    </xf>
    <xf numFmtId="22" fontId="13" fillId="0" borderId="28" xfId="73" applyNumberFormat="1" applyFont="1" applyFill="1" applyBorder="1" applyAlignment="1" applyProtection="1">
      <alignment horizontal="center"/>
      <protection/>
    </xf>
    <xf numFmtId="4" fontId="13" fillId="0" borderId="28" xfId="66" applyNumberFormat="1" applyFont="1" applyFill="1" applyBorder="1" applyAlignment="1" applyProtection="1">
      <alignment horizontal="center"/>
      <protection/>
    </xf>
    <xf numFmtId="3" fontId="13" fillId="0" borderId="28" xfId="66" applyNumberFormat="1" applyFont="1" applyFill="1" applyBorder="1" applyAlignment="1" applyProtection="1">
      <alignment horizontal="center"/>
      <protection/>
    </xf>
    <xf numFmtId="168" fontId="13" fillId="0" borderId="28" xfId="74" applyNumberFormat="1" applyFont="1" applyFill="1" applyBorder="1" applyAlignment="1" applyProtection="1">
      <alignment horizontal="center"/>
      <protection/>
    </xf>
    <xf numFmtId="168" fontId="13" fillId="0" borderId="28" xfId="66" applyNumberFormat="1" applyFont="1" applyBorder="1" applyAlignment="1" applyProtection="1" quotePrefix="1">
      <alignment horizontal="center"/>
      <protection/>
    </xf>
    <xf numFmtId="168" fontId="13" fillId="0" borderId="28" xfId="66" applyNumberFormat="1" applyFont="1" applyBorder="1" applyAlignment="1" applyProtection="1">
      <alignment horizontal="centerContinuous"/>
      <protection/>
    </xf>
    <xf numFmtId="164" fontId="63" fillId="37" borderId="28" xfId="66" applyNumberFormat="1" applyFont="1" applyFill="1" applyBorder="1" applyAlignment="1" applyProtection="1">
      <alignment horizontal="center"/>
      <protection/>
    </xf>
    <xf numFmtId="2" fontId="64" fillId="49" borderId="28" xfId="66" applyNumberFormat="1" applyFont="1" applyFill="1" applyBorder="1" applyAlignment="1">
      <alignment horizontal="center"/>
      <protection/>
    </xf>
    <xf numFmtId="168" fontId="64" fillId="50" borderId="48" xfId="66" applyNumberFormat="1" applyFont="1" applyFill="1" applyBorder="1" applyAlignment="1" applyProtection="1" quotePrefix="1">
      <alignment horizontal="center"/>
      <protection/>
    </xf>
    <xf numFmtId="168" fontId="64" fillId="50" borderId="49" xfId="66" applyNumberFormat="1" applyFont="1" applyFill="1" applyBorder="1" applyAlignment="1" applyProtection="1" quotePrefix="1">
      <alignment horizontal="center"/>
      <protection/>
    </xf>
    <xf numFmtId="168" fontId="64" fillId="35" borderId="28" xfId="66" applyNumberFormat="1" applyFont="1" applyFill="1" applyBorder="1" applyAlignment="1" applyProtection="1" quotePrefix="1">
      <alignment horizontal="center"/>
      <protection/>
    </xf>
    <xf numFmtId="168" fontId="13" fillId="0" borderId="29" xfId="66" applyNumberFormat="1" applyFont="1" applyFill="1" applyBorder="1" applyAlignment="1">
      <alignment horizontal="center"/>
      <protection/>
    </xf>
    <xf numFmtId="4" fontId="77" fillId="0" borderId="29" xfId="66" applyNumberFormat="1" applyFont="1" applyFill="1" applyBorder="1" applyAlignment="1">
      <alignment horizontal="right"/>
      <protection/>
    </xf>
    <xf numFmtId="0" fontId="13" fillId="0" borderId="27" xfId="74" applyFont="1" applyBorder="1" applyAlignment="1" applyProtection="1">
      <alignment horizontal="center"/>
      <protection locked="0"/>
    </xf>
    <xf numFmtId="0" fontId="13" fillId="0" borderId="32" xfId="74" applyFont="1" applyBorder="1" applyAlignment="1" applyProtection="1">
      <alignment horizontal="center"/>
      <protection locked="0"/>
    </xf>
    <xf numFmtId="164" fontId="13" fillId="0" borderId="27" xfId="74" applyNumberFormat="1" applyFont="1" applyBorder="1" applyAlignment="1" applyProtection="1">
      <alignment horizontal="center"/>
      <protection locked="0"/>
    </xf>
    <xf numFmtId="1" fontId="13" fillId="0" borderId="49" xfId="74" applyNumberFormat="1" applyFont="1" applyBorder="1" applyAlignment="1" applyProtection="1">
      <alignment horizontal="center"/>
      <protection locked="0"/>
    </xf>
    <xf numFmtId="22" fontId="13" fillId="0" borderId="28" xfId="74" applyNumberFormat="1" applyFont="1" applyFill="1" applyBorder="1" applyAlignment="1" applyProtection="1">
      <alignment horizontal="center"/>
      <protection locked="0"/>
    </xf>
    <xf numFmtId="0" fontId="13" fillId="0" borderId="80" xfId="66" applyFont="1" applyBorder="1" applyAlignment="1" applyProtection="1">
      <alignment horizontal="center"/>
      <protection/>
    </xf>
    <xf numFmtId="0" fontId="13" fillId="0" borderId="81" xfId="66" applyFont="1" applyBorder="1" applyAlignment="1" applyProtection="1">
      <alignment horizontal="center"/>
      <protection/>
    </xf>
    <xf numFmtId="164" fontId="13" fillId="0" borderId="80" xfId="66" applyNumberFormat="1" applyFont="1" applyBorder="1" applyAlignment="1" applyProtection="1">
      <alignment horizontal="center"/>
      <protection/>
    </xf>
    <xf numFmtId="1" fontId="13" fillId="0" borderId="82" xfId="66" applyNumberFormat="1" applyFont="1" applyBorder="1" applyAlignment="1" applyProtection="1">
      <alignment horizontal="center"/>
      <protection/>
    </xf>
    <xf numFmtId="22" fontId="13" fillId="0" borderId="28" xfId="66" applyNumberFormat="1" applyFont="1" applyFill="1" applyBorder="1" applyAlignment="1" applyProtection="1">
      <alignment horizontal="center"/>
      <protection/>
    </xf>
    <xf numFmtId="168" fontId="13" fillId="0" borderId="28" xfId="74" applyNumberFormat="1" applyFont="1" applyFill="1" applyBorder="1" applyAlignment="1" applyProtection="1">
      <alignment horizontal="center"/>
      <protection locked="0"/>
    </xf>
    <xf numFmtId="0" fontId="13" fillId="0" borderId="36" xfId="66" applyFont="1" applyFill="1" applyBorder="1" applyAlignment="1">
      <alignment horizontal="center"/>
      <protection/>
    </xf>
    <xf numFmtId="0" fontId="13" fillId="0" borderId="34" xfId="66" applyFont="1" applyBorder="1" applyAlignment="1" applyProtection="1">
      <alignment horizontal="center"/>
      <protection/>
    </xf>
    <xf numFmtId="0" fontId="13" fillId="0" borderId="68" xfId="66" applyFont="1" applyBorder="1" applyAlignment="1" applyProtection="1">
      <alignment horizontal="center"/>
      <protection/>
    </xf>
    <xf numFmtId="164" fontId="13" fillId="0" borderId="34" xfId="66" applyNumberFormat="1" applyFont="1" applyBorder="1" applyAlignment="1" applyProtection="1">
      <alignment horizontal="center"/>
      <protection/>
    </xf>
    <xf numFmtId="1" fontId="13" fillId="0" borderId="52" xfId="66" applyNumberFormat="1" applyFont="1" applyBorder="1" applyAlignment="1" applyProtection="1" quotePrefix="1">
      <alignment horizontal="center"/>
      <protection/>
    </xf>
    <xf numFmtId="168" fontId="110" fillId="37" borderId="36" xfId="66" applyNumberFormat="1" applyFont="1" applyFill="1" applyBorder="1" applyAlignment="1" applyProtection="1">
      <alignment horizontal="center"/>
      <protection/>
    </xf>
    <xf numFmtId="22" fontId="13" fillId="0" borderId="36" xfId="66" applyNumberFormat="1" applyFont="1" applyFill="1" applyBorder="1" applyAlignment="1">
      <alignment horizontal="center"/>
      <protection/>
    </xf>
    <xf numFmtId="22" fontId="13" fillId="0" borderId="36" xfId="66" applyNumberFormat="1" applyFont="1" applyFill="1" applyBorder="1" applyAlignment="1" applyProtection="1">
      <alignment horizontal="center"/>
      <protection/>
    </xf>
    <xf numFmtId="4" fontId="13" fillId="0" borderId="36" xfId="66" applyNumberFormat="1" applyFont="1" applyFill="1" applyBorder="1" applyAlignment="1" applyProtection="1">
      <alignment horizontal="center"/>
      <protection/>
    </xf>
    <xf numFmtId="3" fontId="13" fillId="0" borderId="36" xfId="66" applyNumberFormat="1" applyFont="1" applyFill="1" applyBorder="1" applyAlignment="1" applyProtection="1">
      <alignment horizontal="center"/>
      <protection/>
    </xf>
    <xf numFmtId="168" fontId="13" fillId="0" borderId="36" xfId="66" applyNumberFormat="1" applyFont="1" applyFill="1" applyBorder="1" applyAlignment="1" applyProtection="1">
      <alignment horizontal="center"/>
      <protection/>
    </xf>
    <xf numFmtId="168" fontId="13" fillId="0" borderId="36" xfId="66" applyNumberFormat="1" applyFont="1" applyBorder="1" applyAlignment="1" applyProtection="1">
      <alignment horizontal="center"/>
      <protection/>
    </xf>
    <xf numFmtId="168" fontId="13" fillId="0" borderId="36" xfId="66" applyNumberFormat="1" applyFont="1" applyBorder="1" applyAlignment="1" applyProtection="1">
      <alignment horizontal="centerContinuous"/>
      <protection/>
    </xf>
    <xf numFmtId="164" fontId="63" fillId="37" borderId="36" xfId="66" applyNumberFormat="1" applyFont="1" applyFill="1" applyBorder="1" applyAlignment="1" applyProtection="1">
      <alignment horizontal="center"/>
      <protection/>
    </xf>
    <xf numFmtId="2" fontId="29" fillId="49" borderId="36" xfId="66" applyNumberFormat="1" applyFont="1" applyFill="1" applyBorder="1" applyAlignment="1">
      <alignment horizontal="center"/>
      <protection/>
    </xf>
    <xf numFmtId="168" fontId="29" fillId="50" borderId="51" xfId="66" applyNumberFormat="1" applyFont="1" applyFill="1" applyBorder="1" applyAlignment="1" applyProtection="1" quotePrefix="1">
      <alignment horizontal="center"/>
      <protection/>
    </xf>
    <xf numFmtId="168" fontId="29" fillId="50" borderId="52" xfId="66" applyNumberFormat="1" applyFont="1" applyFill="1" applyBorder="1" applyAlignment="1" applyProtection="1" quotePrefix="1">
      <alignment horizontal="center"/>
      <protection/>
    </xf>
    <xf numFmtId="168" fontId="29" fillId="35" borderId="36" xfId="66" applyNumberFormat="1" applyFont="1" applyFill="1" applyBorder="1" applyAlignment="1" applyProtection="1" quotePrefix="1">
      <alignment horizontal="center"/>
      <protection/>
    </xf>
    <xf numFmtId="168" fontId="13" fillId="0" borderId="50" xfId="66" applyNumberFormat="1" applyFont="1" applyFill="1" applyBorder="1" applyAlignment="1">
      <alignment horizontal="center"/>
      <protection/>
    </xf>
    <xf numFmtId="4" fontId="77" fillId="0" borderId="50" xfId="66" applyNumberFormat="1" applyFont="1" applyFill="1" applyBorder="1" applyAlignment="1">
      <alignment horizontal="right"/>
      <protection/>
    </xf>
    <xf numFmtId="0" fontId="13" fillId="0" borderId="0" xfId="66" applyFont="1" applyFill="1" applyBorder="1" applyAlignment="1">
      <alignment horizontal="center"/>
      <protection/>
    </xf>
    <xf numFmtId="164" fontId="13" fillId="0" borderId="0" xfId="66" applyNumberFormat="1" applyFont="1" applyBorder="1" applyAlignment="1" applyProtection="1">
      <alignment horizontal="center"/>
      <protection/>
    </xf>
    <xf numFmtId="1" fontId="13" fillId="0" borderId="0" xfId="66" applyNumberFormat="1" applyFont="1" applyBorder="1" applyAlignment="1" applyProtection="1" quotePrefix="1">
      <alignment horizontal="center"/>
      <protection/>
    </xf>
    <xf numFmtId="168" fontId="13" fillId="0" borderId="0" xfId="66" applyNumberFormat="1" applyFont="1" applyFill="1" applyBorder="1" applyAlignment="1" applyProtection="1">
      <alignment horizontal="center"/>
      <protection/>
    </xf>
    <xf numFmtId="22" fontId="13" fillId="0" borderId="0" xfId="66" applyNumberFormat="1" applyFont="1" applyFill="1" applyBorder="1" applyAlignment="1">
      <alignment horizontal="center"/>
      <protection/>
    </xf>
    <xf numFmtId="22" fontId="13" fillId="0" borderId="0" xfId="66" applyNumberFormat="1" applyFont="1" applyFill="1" applyBorder="1" applyAlignment="1" applyProtection="1">
      <alignment horizontal="center"/>
      <protection/>
    </xf>
    <xf numFmtId="4" fontId="13" fillId="0" borderId="0" xfId="66" applyNumberFormat="1" applyFont="1" applyFill="1" applyBorder="1" applyAlignment="1" applyProtection="1">
      <alignment horizontal="center"/>
      <protection/>
    </xf>
    <xf numFmtId="3" fontId="13" fillId="0" borderId="0" xfId="66" applyNumberFormat="1" applyFont="1" applyFill="1" applyBorder="1" applyAlignment="1" applyProtection="1">
      <alignment horizontal="center"/>
      <protection/>
    </xf>
    <xf numFmtId="168" fontId="13" fillId="0" borderId="0" xfId="66" applyNumberFormat="1" applyFont="1" applyBorder="1" applyAlignment="1" applyProtection="1" quotePrefix="1">
      <alignment horizontal="center"/>
      <protection/>
    </xf>
    <xf numFmtId="168" fontId="13" fillId="0" borderId="0" xfId="66" applyNumberFormat="1" applyFont="1" applyBorder="1" applyAlignment="1" applyProtection="1">
      <alignment horizontal="center"/>
      <protection/>
    </xf>
    <xf numFmtId="164" fontId="13" fillId="0" borderId="0" xfId="66" applyNumberFormat="1" applyFont="1" applyFill="1" applyBorder="1" applyAlignment="1" applyProtection="1">
      <alignment horizontal="center"/>
      <protection/>
    </xf>
    <xf numFmtId="2" fontId="59" fillId="0" borderId="0" xfId="66" applyNumberFormat="1" applyFont="1" applyFill="1" applyBorder="1" applyAlignment="1">
      <alignment horizontal="center"/>
      <protection/>
    </xf>
    <xf numFmtId="168" fontId="49" fillId="0" borderId="0" xfId="66" applyNumberFormat="1" applyFont="1" applyFill="1" applyBorder="1" applyAlignment="1" applyProtection="1" quotePrefix="1">
      <alignment horizontal="center"/>
      <protection/>
    </xf>
    <xf numFmtId="168" fontId="13" fillId="0" borderId="0" xfId="66" applyNumberFormat="1" applyFont="1" applyFill="1" applyBorder="1" applyAlignment="1">
      <alignment horizontal="center"/>
      <protection/>
    </xf>
    <xf numFmtId="4" fontId="77" fillId="0" borderId="21" xfId="66" applyNumberFormat="1" applyFont="1" applyFill="1" applyBorder="1" applyAlignment="1">
      <alignment horizontal="right"/>
      <protection/>
    </xf>
    <xf numFmtId="168" fontId="13" fillId="0" borderId="0" xfId="66" applyNumberFormat="1" applyFont="1" applyBorder="1" applyAlignment="1" applyProtection="1" quotePrefix="1">
      <alignment horizontal="centerContinuous"/>
      <protection/>
    </xf>
    <xf numFmtId="168" fontId="13" fillId="0" borderId="0" xfId="66" applyNumberFormat="1" applyFont="1" applyBorder="1" applyAlignment="1" applyProtection="1">
      <alignment horizontal="centerContinuous"/>
      <protection/>
    </xf>
    <xf numFmtId="0" fontId="30" fillId="0" borderId="21" xfId="66" applyFont="1" applyBorder="1" applyAlignment="1">
      <alignment horizontal="center" vertical="center"/>
      <protection/>
    </xf>
    <xf numFmtId="0" fontId="30" fillId="0" borderId="21" xfId="66" applyFont="1" applyBorder="1" applyAlignment="1" applyProtection="1">
      <alignment horizontal="center" vertical="center" wrapText="1"/>
      <protection/>
    </xf>
    <xf numFmtId="0" fontId="30" fillId="0" borderId="16" xfId="66" applyFont="1" applyBorder="1" applyAlignment="1" applyProtection="1">
      <alignment horizontal="center" vertical="center"/>
      <protection/>
    </xf>
    <xf numFmtId="0" fontId="30" fillId="0" borderId="21" xfId="66" applyFont="1" applyBorder="1" applyAlignment="1" applyProtection="1">
      <alignment horizontal="center" vertical="center"/>
      <protection/>
    </xf>
    <xf numFmtId="0" fontId="30" fillId="0" borderId="17" xfId="66" applyFont="1" applyBorder="1" applyAlignment="1" applyProtection="1">
      <alignment horizontal="center" vertical="center"/>
      <protection/>
    </xf>
    <xf numFmtId="0" fontId="30" fillId="0" borderId="17" xfId="66" applyFont="1" applyBorder="1" applyAlignment="1" applyProtection="1">
      <alignment horizontal="center" vertical="center" wrapText="1"/>
      <protection/>
    </xf>
    <xf numFmtId="0" fontId="62" fillId="34" borderId="21" xfId="66" applyFont="1" applyFill="1" applyBorder="1" applyAlignment="1" applyProtection="1">
      <alignment horizontal="center" vertical="center"/>
      <protection/>
    </xf>
    <xf numFmtId="0" fontId="68" fillId="43" borderId="21" xfId="66" applyFont="1" applyFill="1" applyBorder="1" applyAlignment="1">
      <alignment horizontal="center" vertical="center" wrapText="1"/>
      <protection/>
    </xf>
    <xf numFmtId="0" fontId="35" fillId="36" borderId="16" xfId="66" applyFont="1" applyFill="1" applyBorder="1" applyAlignment="1" applyProtection="1">
      <alignment horizontal="centerContinuous" vertical="center" wrapText="1"/>
      <protection/>
    </xf>
    <xf numFmtId="0" fontId="35" fillId="36" borderId="17" xfId="66" applyFont="1" applyFill="1" applyBorder="1" applyAlignment="1">
      <alignment horizontal="centerContinuous" vertical="center"/>
      <protection/>
    </xf>
    <xf numFmtId="0" fontId="62" fillId="35" borderId="21" xfId="66" applyFont="1" applyFill="1" applyBorder="1" applyAlignment="1">
      <alignment horizontal="center" vertical="center" wrapText="1"/>
      <protection/>
    </xf>
    <xf numFmtId="0" fontId="13" fillId="0" borderId="15" xfId="66" applyFont="1" applyBorder="1">
      <alignment/>
      <protection/>
    </xf>
    <xf numFmtId="0" fontId="13" fillId="0" borderId="28" xfId="66" applyFont="1" applyBorder="1" applyAlignment="1">
      <alignment horizontal="center"/>
      <protection/>
    </xf>
    <xf numFmtId="0" fontId="74" fillId="0" borderId="33" xfId="66" applyFont="1" applyBorder="1" applyAlignment="1" applyProtection="1">
      <alignment horizontal="center"/>
      <protection/>
    </xf>
    <xf numFmtId="0" fontId="63" fillId="37" borderId="33" xfId="66" applyFont="1" applyFill="1" applyBorder="1" applyAlignment="1" applyProtection="1">
      <alignment horizontal="center"/>
      <protection/>
    </xf>
    <xf numFmtId="0" fontId="29" fillId="34" borderId="28" xfId="66" applyFont="1" applyFill="1" applyBorder="1" applyAlignment="1" applyProtection="1">
      <alignment horizontal="center"/>
      <protection/>
    </xf>
    <xf numFmtId="0" fontId="72" fillId="43" borderId="28" xfId="66" applyFont="1" applyFill="1" applyBorder="1" applyAlignment="1" applyProtection="1">
      <alignment horizontal="center"/>
      <protection/>
    </xf>
    <xf numFmtId="168" fontId="51" fillId="36" borderId="30" xfId="66" applyNumberFormat="1" applyFont="1" applyFill="1" applyBorder="1" applyAlignment="1" applyProtection="1" quotePrefix="1">
      <alignment horizontal="center"/>
      <protection/>
    </xf>
    <xf numFmtId="168" fontId="51" fillId="36" borderId="56" xfId="66" applyNumberFormat="1" applyFont="1" applyFill="1" applyBorder="1" applyAlignment="1" applyProtection="1" quotePrefix="1">
      <alignment horizontal="center"/>
      <protection/>
    </xf>
    <xf numFmtId="168" fontId="77" fillId="0" borderId="28" xfId="66" applyNumberFormat="1" applyFont="1" applyFill="1" applyBorder="1" applyAlignment="1">
      <alignment horizontal="center"/>
      <protection/>
    </xf>
    <xf numFmtId="168" fontId="63" fillId="37" borderId="28" xfId="66" applyNumberFormat="1" applyFont="1" applyFill="1" applyBorder="1" applyAlignment="1" applyProtection="1">
      <alignment horizontal="center"/>
      <protection/>
    </xf>
    <xf numFmtId="2" fontId="13" fillId="0" borderId="28" xfId="66" applyNumberFormat="1" applyFont="1" applyFill="1" applyBorder="1" applyAlignment="1" applyProtection="1" quotePrefix="1">
      <alignment horizontal="center"/>
      <protection/>
    </xf>
    <xf numFmtId="164" fontId="13" fillId="0" borderId="28" xfId="66" applyNumberFormat="1" applyFont="1" applyFill="1" applyBorder="1" applyAlignment="1" applyProtection="1" quotePrefix="1">
      <alignment horizontal="center"/>
      <protection/>
    </xf>
    <xf numFmtId="168" fontId="13" fillId="0" borderId="47" xfId="66" applyNumberFormat="1" applyFont="1" applyBorder="1" applyAlignment="1" applyProtection="1">
      <alignment horizontal="center"/>
      <protection/>
    </xf>
    <xf numFmtId="164" fontId="29" fillId="34" borderId="28" xfId="66" applyNumberFormat="1" applyFont="1" applyFill="1" applyBorder="1" applyAlignment="1" applyProtection="1">
      <alignment horizontal="center"/>
      <protection/>
    </xf>
    <xf numFmtId="2" fontId="72" fillId="43" borderId="28" xfId="66" applyNumberFormat="1" applyFont="1" applyFill="1" applyBorder="1" applyAlignment="1">
      <alignment horizontal="center"/>
      <protection/>
    </xf>
    <xf numFmtId="168" fontId="13" fillId="0" borderId="28" xfId="66" applyNumberFormat="1" applyFont="1" applyBorder="1" applyAlignment="1">
      <alignment horizontal="center"/>
      <protection/>
    </xf>
    <xf numFmtId="4" fontId="77" fillId="0" borderId="28" xfId="66" applyNumberFormat="1" applyFont="1" applyFill="1" applyBorder="1" applyAlignment="1">
      <alignment horizontal="right"/>
      <protection/>
    </xf>
    <xf numFmtId="0" fontId="74" fillId="0" borderId="33" xfId="74" applyFont="1" applyBorder="1" applyAlignment="1" applyProtection="1">
      <alignment horizontal="center"/>
      <protection/>
    </xf>
    <xf numFmtId="164" fontId="49" fillId="0" borderId="28" xfId="74" applyNumberFormat="1" applyFont="1" applyBorder="1" applyAlignment="1" applyProtection="1" quotePrefix="1">
      <alignment horizontal="center"/>
      <protection/>
    </xf>
    <xf numFmtId="22" fontId="13" fillId="0" borderId="30" xfId="74" applyNumberFormat="1" applyFont="1" applyBorder="1" applyAlignment="1">
      <alignment horizontal="center"/>
      <protection/>
    </xf>
    <xf numFmtId="22" fontId="13" fillId="0" borderId="28" xfId="74" applyNumberFormat="1" applyFont="1" applyBorder="1" applyAlignment="1" applyProtection="1">
      <alignment horizontal="center"/>
      <protection/>
    </xf>
    <xf numFmtId="168" fontId="13" fillId="0" borderId="29" xfId="74" applyNumberFormat="1" applyFont="1" applyBorder="1" applyAlignment="1" applyProtection="1">
      <alignment horizontal="center"/>
      <protection/>
    </xf>
    <xf numFmtId="2" fontId="13" fillId="0" borderId="27" xfId="66" applyNumberFormat="1" applyFont="1" applyFill="1" applyBorder="1" applyAlignment="1" applyProtection="1" quotePrefix="1">
      <alignment horizontal="center"/>
      <protection/>
    </xf>
    <xf numFmtId="0" fontId="13" fillId="0" borderId="27" xfId="66" applyFont="1" applyBorder="1" applyAlignment="1" applyProtection="1">
      <alignment horizontal="center"/>
      <protection/>
    </xf>
    <xf numFmtId="164" fontId="13" fillId="0" borderId="28" xfId="66" applyNumberFormat="1" applyFont="1" applyBorder="1" applyAlignment="1" applyProtection="1" quotePrefix="1">
      <alignment horizontal="center"/>
      <protection/>
    </xf>
    <xf numFmtId="22" fontId="13" fillId="0" borderId="48" xfId="66" applyNumberFormat="1" applyFont="1" applyBorder="1" applyAlignment="1">
      <alignment horizontal="center"/>
      <protection/>
    </xf>
    <xf numFmtId="22" fontId="13" fillId="0" borderId="27" xfId="66" applyNumberFormat="1" applyFont="1" applyBorder="1" applyAlignment="1" applyProtection="1">
      <alignment horizontal="center"/>
      <protection/>
    </xf>
    <xf numFmtId="168" fontId="13" fillId="0" borderId="29" xfId="66" applyNumberFormat="1" applyFont="1" applyBorder="1" applyAlignment="1" applyProtection="1">
      <alignment horizontal="center"/>
      <protection/>
    </xf>
    <xf numFmtId="164" fontId="13" fillId="0" borderId="27" xfId="66" applyNumberFormat="1" applyFont="1" applyBorder="1" applyAlignment="1" applyProtection="1" quotePrefix="1">
      <alignment horizontal="center"/>
      <protection/>
    </xf>
    <xf numFmtId="168" fontId="63" fillId="37" borderId="27" xfId="66" applyNumberFormat="1" applyFont="1" applyFill="1" applyBorder="1" applyAlignment="1" applyProtection="1">
      <alignment horizontal="center"/>
      <protection/>
    </xf>
    <xf numFmtId="164" fontId="13" fillId="0" borderId="27" xfId="66" applyNumberFormat="1" applyFont="1" applyFill="1" applyBorder="1" applyAlignment="1" applyProtection="1" quotePrefix="1">
      <alignment horizontal="center"/>
      <protection/>
    </xf>
    <xf numFmtId="164" fontId="29" fillId="34" borderId="35" xfId="66" applyNumberFormat="1" applyFont="1" applyFill="1" applyBorder="1" applyAlignment="1" applyProtection="1">
      <alignment horizontal="center"/>
      <protection/>
    </xf>
    <xf numFmtId="2" fontId="72" fillId="43" borderId="35" xfId="66" applyNumberFormat="1" applyFont="1" applyFill="1" applyBorder="1" applyAlignment="1">
      <alignment horizontal="center"/>
      <protection/>
    </xf>
    <xf numFmtId="168" fontId="51" fillId="36" borderId="83" xfId="66" applyNumberFormat="1" applyFont="1" applyFill="1" applyBorder="1" applyAlignment="1" applyProtection="1" quotePrefix="1">
      <alignment horizontal="center"/>
      <protection/>
    </xf>
    <xf numFmtId="168" fontId="51" fillId="36" borderId="84" xfId="66" applyNumberFormat="1" applyFont="1" applyFill="1" applyBorder="1" applyAlignment="1" applyProtection="1" quotePrefix="1">
      <alignment horizontal="center"/>
      <protection/>
    </xf>
    <xf numFmtId="168" fontId="64" fillId="35" borderId="35" xfId="66" applyNumberFormat="1" applyFont="1" applyFill="1" applyBorder="1" applyAlignment="1" applyProtection="1" quotePrefix="1">
      <alignment horizontal="center"/>
      <protection/>
    </xf>
    <xf numFmtId="168" fontId="13" fillId="0" borderId="35" xfId="66" applyNumberFormat="1" applyFont="1" applyBorder="1" applyAlignment="1">
      <alignment horizontal="center"/>
      <protection/>
    </xf>
    <xf numFmtId="4" fontId="77" fillId="0" borderId="35" xfId="66" applyNumberFormat="1" applyFont="1" applyFill="1" applyBorder="1" applyAlignment="1">
      <alignment horizontal="right"/>
      <protection/>
    </xf>
    <xf numFmtId="0" fontId="74" fillId="0" borderId="85" xfId="66" applyFont="1" applyBorder="1" applyAlignment="1" applyProtection="1">
      <alignment horizontal="center"/>
      <protection/>
    </xf>
    <xf numFmtId="164" fontId="49" fillId="0" borderId="34" xfId="66" applyNumberFormat="1" applyFont="1" applyBorder="1" applyAlignment="1" applyProtection="1" quotePrefix="1">
      <alignment horizontal="center"/>
      <protection/>
    </xf>
    <xf numFmtId="168" fontId="63" fillId="37" borderId="34" xfId="66" applyNumberFormat="1" applyFont="1" applyFill="1" applyBorder="1" applyAlignment="1" applyProtection="1">
      <alignment horizontal="center"/>
      <protection/>
    </xf>
    <xf numFmtId="22" fontId="13" fillId="0" borderId="51" xfId="66" applyNumberFormat="1" applyFont="1" applyBorder="1" applyAlignment="1">
      <alignment horizontal="center"/>
      <protection/>
    </xf>
    <xf numFmtId="22" fontId="13" fillId="0" borderId="34" xfId="66" applyNumberFormat="1" applyFont="1" applyBorder="1" applyAlignment="1" applyProtection="1">
      <alignment horizontal="center"/>
      <protection/>
    </xf>
    <xf numFmtId="2" fontId="13" fillId="0" borderId="34" xfId="66" applyNumberFormat="1" applyFont="1" applyFill="1" applyBorder="1" applyAlignment="1" applyProtection="1" quotePrefix="1">
      <alignment horizontal="center"/>
      <protection/>
    </xf>
    <xf numFmtId="164" fontId="13" fillId="0" borderId="34" xfId="66" applyNumberFormat="1" applyFont="1" applyFill="1" applyBorder="1" applyAlignment="1" applyProtection="1" quotePrefix="1">
      <alignment horizontal="center"/>
      <protection/>
    </xf>
    <xf numFmtId="168" fontId="13" fillId="0" borderId="70" xfId="66" applyNumberFormat="1" applyFont="1" applyBorder="1" applyAlignment="1" applyProtection="1">
      <alignment horizontal="center"/>
      <protection/>
    </xf>
    <xf numFmtId="164" fontId="29" fillId="34" borderId="34" xfId="66" applyNumberFormat="1" applyFont="1" applyFill="1" applyBorder="1" applyAlignment="1" applyProtection="1">
      <alignment horizontal="center"/>
      <protection/>
    </xf>
    <xf numFmtId="2" fontId="72" fillId="43" borderId="34" xfId="66" applyNumberFormat="1" applyFont="1" applyFill="1" applyBorder="1" applyAlignment="1">
      <alignment horizontal="center"/>
      <protection/>
    </xf>
    <xf numFmtId="168" fontId="51" fillId="36" borderId="51" xfId="66" applyNumberFormat="1" applyFont="1" applyFill="1" applyBorder="1" applyAlignment="1" applyProtection="1" quotePrefix="1">
      <alignment horizontal="center"/>
      <protection/>
    </xf>
    <xf numFmtId="168" fontId="51" fillId="36" borderId="52" xfId="66" applyNumberFormat="1" applyFont="1" applyFill="1" applyBorder="1" applyAlignment="1" applyProtection="1" quotePrefix="1">
      <alignment horizontal="center"/>
      <protection/>
    </xf>
    <xf numFmtId="168" fontId="64" fillId="35" borderId="34" xfId="66" applyNumberFormat="1" applyFont="1" applyFill="1" applyBorder="1" applyAlignment="1" applyProtection="1" quotePrefix="1">
      <alignment horizontal="center"/>
      <protection/>
    </xf>
    <xf numFmtId="168" fontId="13" fillId="0" borderId="34" xfId="66" applyNumberFormat="1" applyFont="1" applyBorder="1" applyAlignment="1">
      <alignment horizontal="center"/>
      <protection/>
    </xf>
    <xf numFmtId="4" fontId="77" fillId="0" borderId="34" xfId="66" applyNumberFormat="1" applyFont="1" applyFill="1" applyBorder="1" applyAlignment="1">
      <alignment horizontal="right"/>
      <protection/>
    </xf>
    <xf numFmtId="2" fontId="89" fillId="0" borderId="0" xfId="66" applyNumberFormat="1" applyFont="1" applyBorder="1" applyAlignment="1" applyProtection="1">
      <alignment horizontal="left"/>
      <protection/>
    </xf>
    <xf numFmtId="168" fontId="89" fillId="0" borderId="0" xfId="66" applyNumberFormat="1" applyFont="1" applyBorder="1" applyAlignment="1" applyProtection="1">
      <alignment horizontal="center"/>
      <protection/>
    </xf>
    <xf numFmtId="0" fontId="89" fillId="0" borderId="0" xfId="66" applyFont="1" applyBorder="1" applyAlignment="1" applyProtection="1">
      <alignment horizontal="center"/>
      <protection/>
    </xf>
    <xf numFmtId="165" fontId="89" fillId="0" borderId="0" xfId="66" applyNumberFormat="1" applyFont="1" applyBorder="1" applyAlignment="1" applyProtection="1">
      <alignment horizontal="center"/>
      <protection/>
    </xf>
    <xf numFmtId="0" fontId="111" fillId="0" borderId="0" xfId="66" applyFont="1">
      <alignment/>
      <protection/>
    </xf>
    <xf numFmtId="173" fontId="89" fillId="0" borderId="0" xfId="66" applyNumberFormat="1" applyFont="1" applyBorder="1" applyAlignment="1" applyProtection="1" quotePrefix="1">
      <alignment horizontal="center"/>
      <protection/>
    </xf>
    <xf numFmtId="0" fontId="89" fillId="0" borderId="0" xfId="66" applyFont="1">
      <alignment/>
      <protection/>
    </xf>
    <xf numFmtId="2" fontId="89" fillId="0" borderId="0" xfId="66" applyNumberFormat="1" applyFont="1" applyBorder="1" applyAlignment="1" applyProtection="1">
      <alignment horizontal="center"/>
      <protection/>
    </xf>
    <xf numFmtId="168" fontId="89" fillId="0" borderId="0" xfId="66" applyNumberFormat="1" applyFont="1" applyBorder="1" applyAlignment="1" applyProtection="1" quotePrefix="1">
      <alignment horizontal="center"/>
      <protection/>
    </xf>
    <xf numFmtId="4" fontId="21" fillId="0" borderId="15" xfId="66" applyNumberFormat="1" applyFont="1" applyFill="1" applyBorder="1" applyAlignment="1">
      <alignment horizontal="center"/>
      <protection/>
    </xf>
    <xf numFmtId="0" fontId="4" fillId="0" borderId="0" xfId="66" applyFont="1" applyBorder="1" applyAlignment="1">
      <alignment horizontal="center"/>
      <protection/>
    </xf>
    <xf numFmtId="2" fontId="90" fillId="0" borderId="0" xfId="66" applyNumberFormat="1" applyFont="1" applyBorder="1" applyAlignment="1" applyProtection="1">
      <alignment horizontal="left"/>
      <protection/>
    </xf>
    <xf numFmtId="0" fontId="21" fillId="0" borderId="0" xfId="66" applyFont="1" applyAlignment="1">
      <alignment horizontal="center"/>
      <protection/>
    </xf>
    <xf numFmtId="173" fontId="4" fillId="0" borderId="0" xfId="66" applyNumberFormat="1" applyFont="1" applyBorder="1" applyAlignment="1" applyProtection="1">
      <alignment horizontal="left"/>
      <protection/>
    </xf>
    <xf numFmtId="0" fontId="48" fillId="0" borderId="0" xfId="66" applyFont="1" applyFill="1" applyBorder="1">
      <alignment/>
      <protection/>
    </xf>
    <xf numFmtId="0" fontId="21" fillId="0" borderId="0" xfId="66" applyFont="1" applyAlignment="1">
      <alignment horizontal="centerContinuous"/>
      <protection/>
    </xf>
    <xf numFmtId="4" fontId="88" fillId="0" borderId="0" xfId="66" applyNumberFormat="1" applyFont="1" applyBorder="1" applyAlignment="1" applyProtection="1">
      <alignment horizontal="center"/>
      <protection/>
    </xf>
    <xf numFmtId="0" fontId="48" fillId="0" borderId="0" xfId="66" applyFont="1" applyFill="1" applyBorder="1" applyAlignment="1">
      <alignment horizontal="center"/>
      <protection/>
    </xf>
    <xf numFmtId="164" fontId="48" fillId="0" borderId="0" xfId="66" applyNumberFormat="1" applyFont="1" applyBorder="1" applyAlignment="1" applyProtection="1" quotePrefix="1">
      <alignment horizontal="center"/>
      <protection/>
    </xf>
    <xf numFmtId="7" fontId="48" fillId="0" borderId="0" xfId="66" applyNumberFormat="1" applyFont="1" applyFill="1" applyBorder="1" applyAlignment="1">
      <alignment horizontal="center"/>
      <protection/>
    </xf>
    <xf numFmtId="0" fontId="48" fillId="0" borderId="0" xfId="66" applyFont="1" applyFill="1" applyBorder="1" applyAlignment="1">
      <alignment horizontal="centerContinuous"/>
      <protection/>
    </xf>
    <xf numFmtId="0" fontId="48" fillId="0" borderId="0" xfId="66" applyFont="1" applyBorder="1" applyAlignment="1">
      <alignment horizontal="center"/>
      <protection/>
    </xf>
    <xf numFmtId="0" fontId="48" fillId="0" borderId="0" xfId="66" applyFont="1" applyBorder="1" applyAlignment="1" applyProtection="1">
      <alignment horizontal="center"/>
      <protection/>
    </xf>
    <xf numFmtId="4" fontId="89" fillId="0" borderId="0" xfId="66" applyNumberFormat="1" applyFont="1" applyBorder="1" applyAlignment="1" applyProtection="1">
      <alignment horizontal="center"/>
      <protection/>
    </xf>
    <xf numFmtId="168" fontId="21" fillId="0" borderId="0" xfId="66" applyNumberFormat="1" applyFont="1" applyBorder="1" applyAlignment="1" applyProtection="1">
      <alignment horizontal="centerContinuous"/>
      <protection/>
    </xf>
    <xf numFmtId="2" fontId="91" fillId="0" borderId="0" xfId="66" applyNumberFormat="1" applyFont="1" applyBorder="1" applyAlignment="1" applyProtection="1">
      <alignment horizontal="center"/>
      <protection/>
    </xf>
    <xf numFmtId="168" fontId="4" fillId="0" borderId="0" xfId="66" applyNumberFormat="1" applyFont="1" applyBorder="1" applyAlignment="1" applyProtection="1">
      <alignment horizontal="left"/>
      <protection/>
    </xf>
    <xf numFmtId="168" fontId="88" fillId="0" borderId="0" xfId="66" applyNumberFormat="1" applyFont="1" applyBorder="1" applyAlignment="1" applyProtection="1" quotePrefix="1">
      <alignment horizontal="center"/>
      <protection/>
    </xf>
    <xf numFmtId="1" fontId="21" fillId="0" borderId="0" xfId="66" applyNumberFormat="1" applyFont="1" applyBorder="1" applyAlignment="1" applyProtection="1">
      <alignment horizontal="centerContinuous"/>
      <protection/>
    </xf>
    <xf numFmtId="1" fontId="21" fillId="0" borderId="0" xfId="66" applyNumberFormat="1" applyFont="1" applyBorder="1" applyAlignment="1" applyProtection="1">
      <alignment horizontal="center"/>
      <protection/>
    </xf>
    <xf numFmtId="183" fontId="89" fillId="0" borderId="0" xfId="66" applyNumberFormat="1" applyFont="1" applyBorder="1" applyAlignment="1" applyProtection="1">
      <alignment horizontal="centerContinuous"/>
      <protection/>
    </xf>
    <xf numFmtId="168" fontId="21" fillId="0" borderId="0" xfId="66" applyNumberFormat="1" applyFont="1" applyBorder="1" applyAlignment="1" applyProtection="1">
      <alignment horizontal="left"/>
      <protection/>
    </xf>
    <xf numFmtId="7" fontId="21" fillId="0" borderId="0" xfId="66" applyNumberFormat="1" applyFont="1" applyBorder="1" applyAlignment="1">
      <alignment horizontal="right"/>
      <protection/>
    </xf>
    <xf numFmtId="168" fontId="22" fillId="0" borderId="0" xfId="66" applyNumberFormat="1" applyFont="1" applyBorder="1" applyAlignment="1" applyProtection="1">
      <alignment horizontal="left"/>
      <protection/>
    </xf>
    <xf numFmtId="10" fontId="21" fillId="0" borderId="0" xfId="66" applyNumberFormat="1" applyFont="1" applyBorder="1" applyAlignment="1" applyProtection="1">
      <alignment horizontal="center"/>
      <protection/>
    </xf>
    <xf numFmtId="7" fontId="21" fillId="0" borderId="0" xfId="66" applyNumberFormat="1" applyFont="1" applyAlignment="1">
      <alignment horizontal="right"/>
      <protection/>
    </xf>
    <xf numFmtId="0" fontId="21" fillId="0" borderId="0" xfId="66" applyFont="1" quotePrefix="1">
      <alignment/>
      <protection/>
    </xf>
    <xf numFmtId="7" fontId="21" fillId="0" borderId="0" xfId="66" applyNumberFormat="1" applyFont="1" applyBorder="1" applyAlignment="1" applyProtection="1">
      <alignment horizontal="center"/>
      <protection/>
    </xf>
    <xf numFmtId="2" fontId="21" fillId="0" borderId="0" xfId="66" applyNumberFormat="1" applyFont="1" applyBorder="1" applyAlignment="1" applyProtection="1">
      <alignment horizontal="center"/>
      <protection/>
    </xf>
    <xf numFmtId="168" fontId="21" fillId="0" borderId="0" xfId="66" applyNumberFormat="1" applyFont="1" applyBorder="1" applyAlignment="1" applyProtection="1" quotePrefix="1">
      <alignment horizontal="center"/>
      <protection/>
    </xf>
    <xf numFmtId="7" fontId="21" fillId="0" borderId="0" xfId="66" applyNumberFormat="1" applyFont="1" applyBorder="1" applyAlignment="1" applyProtection="1">
      <alignment horizontal="left"/>
      <protection/>
    </xf>
    <xf numFmtId="0" fontId="111" fillId="0" borderId="0" xfId="66" applyFont="1" quotePrefix="1">
      <alignment/>
      <protection/>
    </xf>
    <xf numFmtId="0" fontId="112" fillId="0" borderId="0" xfId="66" applyFont="1" applyAlignment="1">
      <alignment vertical="center"/>
      <protection/>
    </xf>
    <xf numFmtId="0" fontId="23" fillId="0" borderId="14" xfId="66" applyFont="1" applyBorder="1" applyAlignment="1">
      <alignment vertical="center"/>
      <protection/>
    </xf>
    <xf numFmtId="0" fontId="23" fillId="0" borderId="0" xfId="66" applyFont="1" applyBorder="1" applyAlignment="1">
      <alignment horizontal="center" vertical="center"/>
      <protection/>
    </xf>
    <xf numFmtId="168" fontId="23" fillId="0" borderId="0" xfId="66" applyNumberFormat="1" applyFont="1" applyBorder="1" applyAlignment="1" applyProtection="1">
      <alignment horizontal="left" vertical="center"/>
      <protection/>
    </xf>
    <xf numFmtId="0" fontId="112" fillId="0" borderId="0" xfId="66" applyFont="1" applyAlignment="1" quotePrefix="1">
      <alignment vertical="center"/>
      <protection/>
    </xf>
    <xf numFmtId="0" fontId="23" fillId="0" borderId="0" xfId="66" applyFont="1" applyBorder="1" applyAlignment="1" applyProtection="1">
      <alignment horizontal="center" vertical="center"/>
      <protection/>
    </xf>
    <xf numFmtId="165" fontId="23" fillId="0" borderId="0" xfId="66" applyNumberFormat="1" applyFont="1" applyBorder="1" applyAlignment="1" applyProtection="1">
      <alignment horizontal="center" vertical="center"/>
      <protection/>
    </xf>
    <xf numFmtId="4" fontId="10" fillId="0" borderId="16" xfId="66" applyNumberFormat="1" applyFont="1" applyBorder="1" applyAlignment="1" applyProtection="1">
      <alignment horizontal="center" vertical="center"/>
      <protection/>
    </xf>
    <xf numFmtId="7" fontId="113" fillId="0" borderId="17" xfId="66" applyNumberFormat="1" applyFont="1" applyFill="1" applyBorder="1" applyAlignment="1">
      <alignment horizontal="center" vertical="center"/>
      <protection/>
    </xf>
    <xf numFmtId="168" fontId="10" fillId="0" borderId="0" xfId="66" applyNumberFormat="1" applyFont="1" applyBorder="1" applyAlignment="1" applyProtection="1">
      <alignment horizontal="left" vertical="center"/>
      <protection/>
    </xf>
    <xf numFmtId="173" fontId="23" fillId="0" borderId="0" xfId="66" applyNumberFormat="1" applyFont="1" applyBorder="1" applyAlignment="1" applyProtection="1" quotePrefix="1">
      <alignment horizontal="center" vertical="center"/>
      <protection/>
    </xf>
    <xf numFmtId="168" fontId="23" fillId="0" borderId="0" xfId="66" applyNumberFormat="1" applyFont="1" applyBorder="1" applyAlignment="1" applyProtection="1">
      <alignment horizontal="center" vertical="center"/>
      <protection/>
    </xf>
    <xf numFmtId="2" fontId="92" fillId="0" borderId="0" xfId="66" applyNumberFormat="1" applyFont="1" applyBorder="1" applyAlignment="1" applyProtection="1">
      <alignment horizontal="center" vertical="center"/>
      <protection/>
    </xf>
    <xf numFmtId="168" fontId="93" fillId="0" borderId="0" xfId="66" applyNumberFormat="1" applyFont="1" applyBorder="1" applyAlignment="1" applyProtection="1" quotePrefix="1">
      <alignment horizontal="center" vertical="center"/>
      <protection/>
    </xf>
    <xf numFmtId="4" fontId="23" fillId="0" borderId="15" xfId="66" applyNumberFormat="1" applyFont="1" applyFill="1" applyBorder="1" applyAlignment="1">
      <alignment horizontal="center" vertical="center"/>
      <protection/>
    </xf>
    <xf numFmtId="0" fontId="21" fillId="0" borderId="18" xfId="66" applyFont="1" applyBorder="1">
      <alignment/>
      <protection/>
    </xf>
    <xf numFmtId="0" fontId="21" fillId="0" borderId="19" xfId="66" applyFont="1" applyBorder="1">
      <alignment/>
      <protection/>
    </xf>
    <xf numFmtId="0" fontId="3" fillId="0" borderId="19" xfId="66" applyBorder="1">
      <alignment/>
      <protection/>
    </xf>
    <xf numFmtId="0" fontId="21" fillId="0" borderId="20" xfId="66" applyFont="1" applyFill="1" applyBorder="1">
      <alignment/>
      <protection/>
    </xf>
    <xf numFmtId="0" fontId="13" fillId="0" borderId="0" xfId="66" applyFont="1" applyBorder="1" applyAlignment="1">
      <alignment horizontal="left"/>
      <protection/>
    </xf>
    <xf numFmtId="0" fontId="8" fillId="0" borderId="0" xfId="73" applyFont="1">
      <alignment/>
      <protection/>
    </xf>
    <xf numFmtId="0" fontId="8" fillId="0" borderId="0" xfId="73" applyFont="1" applyFill="1">
      <alignment/>
      <protection/>
    </xf>
    <xf numFmtId="0" fontId="11" fillId="0" borderId="0" xfId="73" applyFont="1" applyFill="1" applyAlignment="1">
      <alignment horizontal="right" vertical="top"/>
      <protection/>
    </xf>
    <xf numFmtId="0" fontId="9" fillId="0" borderId="0" xfId="73" applyFont="1" applyFill="1" applyAlignment="1">
      <alignment horizontal="centerContinuous"/>
      <protection/>
    </xf>
    <xf numFmtId="0" fontId="9" fillId="0" borderId="0" xfId="73" applyFont="1" applyAlignment="1">
      <alignment horizontal="centerContinuous"/>
      <protection/>
    </xf>
    <xf numFmtId="0" fontId="13" fillId="0" borderId="0" xfId="73" applyFont="1" applyFill="1">
      <alignment/>
      <protection/>
    </xf>
    <xf numFmtId="0" fontId="13" fillId="0" borderId="0" xfId="73" applyFont="1">
      <alignment/>
      <protection/>
    </xf>
    <xf numFmtId="0" fontId="6" fillId="0" borderId="0" xfId="73" applyFont="1" applyFill="1" applyAlignment="1">
      <alignment horizontal="centerContinuous"/>
      <protection/>
    </xf>
    <xf numFmtId="0" fontId="14" fillId="0" borderId="0" xfId="73" applyFont="1" applyFill="1" applyAlignment="1">
      <alignment horizontal="centerContinuous"/>
      <protection/>
    </xf>
    <xf numFmtId="0" fontId="14" fillId="0" borderId="0" xfId="73" applyFont="1" applyFill="1">
      <alignment/>
      <protection/>
    </xf>
    <xf numFmtId="0" fontId="14" fillId="0" borderId="0" xfId="73" applyFont="1">
      <alignment/>
      <protection/>
    </xf>
    <xf numFmtId="0" fontId="13" fillId="0" borderId="11" xfId="73" applyFont="1" applyFill="1" applyBorder="1">
      <alignment/>
      <protection/>
    </xf>
    <xf numFmtId="0" fontId="13" fillId="0" borderId="12" xfId="73" applyFont="1" applyFill="1" applyBorder="1">
      <alignment/>
      <protection/>
    </xf>
    <xf numFmtId="0" fontId="13" fillId="0" borderId="13" xfId="73" applyFont="1" applyFill="1" applyBorder="1">
      <alignment/>
      <protection/>
    </xf>
    <xf numFmtId="0" fontId="16" fillId="0" borderId="0" xfId="73" applyFont="1" applyFill="1">
      <alignment/>
      <protection/>
    </xf>
    <xf numFmtId="0" fontId="16" fillId="0" borderId="14" xfId="73" applyFont="1" applyFill="1" applyBorder="1">
      <alignment/>
      <protection/>
    </xf>
    <xf numFmtId="0" fontId="16" fillId="0" borderId="0" xfId="73" applyFont="1" applyFill="1" applyBorder="1">
      <alignment/>
      <protection/>
    </xf>
    <xf numFmtId="0" fontId="20" fillId="0" borderId="0" xfId="73" applyFont="1" applyFill="1" applyBorder="1" applyAlignment="1">
      <alignment horizontal="left"/>
      <protection/>
    </xf>
    <xf numFmtId="0" fontId="16" fillId="0" borderId="0" xfId="73" applyFont="1" applyFill="1" applyBorder="1" applyAlignment="1" applyProtection="1">
      <alignment horizontal="left"/>
      <protection/>
    </xf>
    <xf numFmtId="0" fontId="16" fillId="0" borderId="15" xfId="73" applyFont="1" applyFill="1" applyBorder="1">
      <alignment/>
      <protection/>
    </xf>
    <xf numFmtId="0" fontId="16" fillId="0" borderId="0" xfId="73" applyFont="1">
      <alignment/>
      <protection/>
    </xf>
    <xf numFmtId="0" fontId="13" fillId="0" borderId="14" xfId="73" applyFont="1" applyFill="1" applyBorder="1">
      <alignment/>
      <protection/>
    </xf>
    <xf numFmtId="0" fontId="13" fillId="0" borderId="0" xfId="73" applyFont="1" applyFill="1" applyBorder="1">
      <alignment/>
      <protection/>
    </xf>
    <xf numFmtId="0" fontId="5" fillId="0" borderId="0" xfId="73" applyFont="1" applyFill="1" applyBorder="1" applyAlignment="1">
      <alignment horizontal="left"/>
      <protection/>
    </xf>
    <xf numFmtId="0" fontId="13" fillId="0" borderId="15" xfId="73" applyFont="1" applyFill="1" applyBorder="1">
      <alignment/>
      <protection/>
    </xf>
    <xf numFmtId="0" fontId="16" fillId="0" borderId="0" xfId="73" applyFont="1" applyFill="1" applyAlignment="1">
      <alignment vertical="top"/>
      <protection/>
    </xf>
    <xf numFmtId="0" fontId="16" fillId="0" borderId="14" xfId="73" applyFont="1" applyFill="1" applyBorder="1" applyAlignment="1">
      <alignment vertical="top"/>
      <protection/>
    </xf>
    <xf numFmtId="0" fontId="16" fillId="0" borderId="0" xfId="73" applyFont="1" applyFill="1" applyBorder="1" applyAlignment="1">
      <alignment vertical="top"/>
      <protection/>
    </xf>
    <xf numFmtId="0" fontId="20" fillId="0" borderId="0" xfId="73" applyFont="1" applyFill="1" applyBorder="1" applyAlignment="1">
      <alignment horizontal="left" vertical="top"/>
      <protection/>
    </xf>
    <xf numFmtId="0" fontId="20" fillId="0" borderId="0" xfId="73" applyFont="1" applyFill="1" applyBorder="1" applyAlignment="1">
      <alignment vertical="top"/>
      <protection/>
    </xf>
    <xf numFmtId="0" fontId="16" fillId="0" borderId="15" xfId="73" applyFont="1" applyFill="1" applyBorder="1" applyAlignment="1">
      <alignment vertical="top"/>
      <protection/>
    </xf>
    <xf numFmtId="0" fontId="16" fillId="0" borderId="0" xfId="73" applyFont="1" applyAlignment="1">
      <alignment vertical="top"/>
      <protection/>
    </xf>
    <xf numFmtId="0" fontId="13" fillId="0" borderId="0" xfId="73" applyFont="1" applyFill="1" applyAlignment="1">
      <alignment vertical="top"/>
      <protection/>
    </xf>
    <xf numFmtId="0" fontId="13" fillId="0" borderId="14" xfId="73" applyFont="1" applyFill="1" applyBorder="1" applyAlignment="1">
      <alignment vertical="top"/>
      <protection/>
    </xf>
    <xf numFmtId="0" fontId="13" fillId="0" borderId="0" xfId="73" applyFont="1" applyFill="1" applyBorder="1" applyAlignment="1">
      <alignment vertical="top"/>
      <protection/>
    </xf>
    <xf numFmtId="0" fontId="20" fillId="0" borderId="0" xfId="73" applyFont="1" applyBorder="1" applyAlignment="1">
      <alignment horizontal="left" vertical="top"/>
      <protection/>
    </xf>
    <xf numFmtId="0" fontId="13" fillId="0" borderId="0" xfId="73" applyFont="1" applyFill="1" applyBorder="1" applyAlignment="1">
      <alignment horizontal="center" vertical="top"/>
      <protection/>
    </xf>
    <xf numFmtId="0" fontId="13" fillId="0" borderId="15" xfId="73" applyFont="1" applyFill="1" applyBorder="1" applyAlignment="1">
      <alignment vertical="top"/>
      <protection/>
    </xf>
    <xf numFmtId="0" fontId="13" fillId="0" borderId="0" xfId="73" applyFont="1" applyAlignment="1">
      <alignment vertical="top"/>
      <protection/>
    </xf>
    <xf numFmtId="0" fontId="23" fillId="0" borderId="0" xfId="73" applyFont="1" applyFill="1">
      <alignment/>
      <protection/>
    </xf>
    <xf numFmtId="0" fontId="24" fillId="0" borderId="0" xfId="73" applyFont="1" applyBorder="1" applyAlignment="1">
      <alignment horizontal="centerContinuous"/>
      <protection/>
    </xf>
    <xf numFmtId="0" fontId="24" fillId="0" borderId="0" xfId="73" applyFont="1" applyFill="1" applyAlignment="1">
      <alignment horizontal="centerContinuous"/>
      <protection/>
    </xf>
    <xf numFmtId="0" fontId="24" fillId="0" borderId="0" xfId="73" applyFont="1" applyFill="1" applyBorder="1" applyAlignment="1">
      <alignment horizontal="centerContinuous"/>
      <protection/>
    </xf>
    <xf numFmtId="0" fontId="26" fillId="0" borderId="15" xfId="73" applyFont="1" applyFill="1" applyBorder="1" applyAlignment="1">
      <alignment horizontal="centerContinuous"/>
      <protection/>
    </xf>
    <xf numFmtId="0" fontId="23" fillId="0" borderId="0" xfId="73" applyFont="1">
      <alignment/>
      <protection/>
    </xf>
    <xf numFmtId="0" fontId="13" fillId="0" borderId="0" xfId="73" applyFont="1" applyFill="1" applyBorder="1" applyAlignment="1">
      <alignment horizontal="center"/>
      <protection/>
    </xf>
    <xf numFmtId="0" fontId="13" fillId="0" borderId="16" xfId="73" applyFont="1" applyFill="1" applyBorder="1" applyAlignment="1" applyProtection="1">
      <alignment horizontal="left"/>
      <protection/>
    </xf>
    <xf numFmtId="0" fontId="13" fillId="0" borderId="41" xfId="73" applyFont="1" applyFill="1" applyBorder="1" applyAlignment="1" applyProtection="1">
      <alignment horizontal="center"/>
      <protection/>
    </xf>
    <xf numFmtId="0" fontId="13" fillId="0" borderId="21" xfId="73" applyFont="1" applyFill="1" applyBorder="1" applyAlignment="1">
      <alignment horizontal="center"/>
      <protection/>
    </xf>
    <xf numFmtId="0" fontId="3" fillId="0" borderId="16" xfId="73" applyFont="1" applyFill="1" applyBorder="1" applyAlignment="1" applyProtection="1" quotePrefix="1">
      <alignment horizontal="left"/>
      <protection/>
    </xf>
    <xf numFmtId="0" fontId="3" fillId="0" borderId="22" xfId="73" applyFont="1" applyFill="1" applyBorder="1" applyAlignment="1" applyProtection="1">
      <alignment horizontal="center"/>
      <protection/>
    </xf>
    <xf numFmtId="164" fontId="3" fillId="0" borderId="21" xfId="73" applyNumberFormat="1" applyFont="1" applyFill="1" applyBorder="1" applyAlignment="1" applyProtection="1">
      <alignment horizontal="center"/>
      <protection/>
    </xf>
    <xf numFmtId="0" fontId="3" fillId="0" borderId="0" xfId="73">
      <alignment/>
      <protection/>
    </xf>
    <xf numFmtId="22" fontId="13" fillId="0" borderId="0" xfId="73" applyNumberFormat="1" applyFont="1" applyFill="1" applyBorder="1">
      <alignment/>
      <protection/>
    </xf>
    <xf numFmtId="0" fontId="29" fillId="0" borderId="0" xfId="73" applyFont="1" applyFill="1" applyBorder="1">
      <alignment/>
      <protection/>
    </xf>
    <xf numFmtId="0" fontId="30" fillId="0" borderId="21" xfId="73" applyFont="1" applyFill="1" applyBorder="1" applyAlignment="1">
      <alignment horizontal="center" vertical="center"/>
      <protection/>
    </xf>
    <xf numFmtId="0" fontId="30" fillId="0" borderId="21" xfId="73" applyFont="1" applyBorder="1" applyAlignment="1">
      <alignment horizontal="center" vertical="center"/>
      <protection/>
    </xf>
    <xf numFmtId="0" fontId="30" fillId="0" borderId="21" xfId="73" applyFont="1" applyFill="1" applyBorder="1" applyAlignment="1" applyProtection="1">
      <alignment horizontal="center" vertical="center" wrapText="1"/>
      <protection/>
    </xf>
    <xf numFmtId="0" fontId="30" fillId="0" borderId="21" xfId="73" applyFont="1" applyFill="1" applyBorder="1" applyAlignment="1" applyProtection="1">
      <alignment horizontal="center" vertical="center"/>
      <protection/>
    </xf>
    <xf numFmtId="0" fontId="30" fillId="0" borderId="21" xfId="73" applyFont="1" applyFill="1" applyBorder="1" applyAlignment="1" applyProtection="1" quotePrefix="1">
      <alignment horizontal="center" vertical="center" wrapText="1"/>
      <protection/>
    </xf>
    <xf numFmtId="0" fontId="30" fillId="0" borderId="21" xfId="73" applyFont="1" applyFill="1" applyBorder="1" applyAlignment="1">
      <alignment horizontal="center" vertical="center" wrapText="1"/>
      <protection/>
    </xf>
    <xf numFmtId="0" fontId="60" fillId="37" borderId="21" xfId="73" applyFont="1" applyFill="1" applyBorder="1" applyAlignment="1" applyProtection="1">
      <alignment horizontal="center" vertical="center"/>
      <protection/>
    </xf>
    <xf numFmtId="0" fontId="30" fillId="0" borderId="16" xfId="73" applyFont="1" applyBorder="1" applyAlignment="1" applyProtection="1">
      <alignment horizontal="center" vertical="center" wrapText="1"/>
      <protection/>
    </xf>
    <xf numFmtId="0" fontId="30" fillId="0" borderId="16" xfId="73" applyFont="1" applyFill="1" applyBorder="1" applyAlignment="1" applyProtection="1">
      <alignment horizontal="center" vertical="center"/>
      <protection/>
    </xf>
    <xf numFmtId="0" fontId="62" fillId="42" borderId="21" xfId="73" applyFont="1" applyFill="1" applyBorder="1" applyAlignment="1" applyProtection="1">
      <alignment horizontal="center" vertical="center"/>
      <protection/>
    </xf>
    <xf numFmtId="0" fontId="66" fillId="39" borderId="21" xfId="73" applyFont="1" applyFill="1" applyBorder="1" applyAlignment="1">
      <alignment horizontal="center" vertical="center" wrapText="1"/>
      <protection/>
    </xf>
    <xf numFmtId="0" fontId="67" fillId="36" borderId="21" xfId="73" applyFont="1" applyFill="1" applyBorder="1" applyAlignment="1">
      <alignment horizontal="center" vertical="center" wrapText="1"/>
      <protection/>
    </xf>
    <xf numFmtId="0" fontId="36" fillId="37" borderId="16" xfId="73" applyFont="1" applyFill="1" applyBorder="1" applyAlignment="1" applyProtection="1">
      <alignment horizontal="centerContinuous" vertical="center" wrapText="1"/>
      <protection/>
    </xf>
    <xf numFmtId="0" fontId="36" fillId="37" borderId="17" xfId="73" applyFont="1" applyFill="1" applyBorder="1" applyAlignment="1">
      <alignment horizontal="centerContinuous" vertical="center"/>
      <protection/>
    </xf>
    <xf numFmtId="0" fontId="68" fillId="43" borderId="16" xfId="73" applyFont="1" applyFill="1" applyBorder="1" applyAlignment="1" applyProtection="1">
      <alignment horizontal="centerContinuous" vertical="center" wrapText="1"/>
      <protection/>
    </xf>
    <xf numFmtId="0" fontId="68" fillId="43" borderId="17" xfId="73" applyFont="1" applyFill="1" applyBorder="1" applyAlignment="1">
      <alignment horizontal="centerContinuous" vertical="center"/>
      <protection/>
    </xf>
    <xf numFmtId="0" fontId="34" fillId="44" borderId="21" xfId="73" applyFont="1" applyFill="1" applyBorder="1" applyAlignment="1">
      <alignment horizontal="center" vertical="center" wrapText="1"/>
      <protection/>
    </xf>
    <xf numFmtId="0" fontId="69" fillId="39" borderId="21" xfId="73" applyFont="1" applyFill="1" applyBorder="1" applyAlignment="1">
      <alignment horizontal="center" vertical="center" wrapText="1"/>
      <protection/>
    </xf>
    <xf numFmtId="0" fontId="30" fillId="0" borderId="21" xfId="73" applyFont="1" applyBorder="1" applyAlignment="1">
      <alignment horizontal="center" vertical="center" wrapText="1"/>
      <protection/>
    </xf>
    <xf numFmtId="0" fontId="13" fillId="0" borderId="43" xfId="73" applyFont="1" applyFill="1" applyBorder="1" applyAlignment="1">
      <alignment horizontal="center"/>
      <protection/>
    </xf>
    <xf numFmtId="164" fontId="13" fillId="0" borderId="43" xfId="73" applyNumberFormat="1" applyFont="1" applyFill="1" applyBorder="1" applyAlignment="1" applyProtection="1">
      <alignment horizontal="center"/>
      <protection/>
    </xf>
    <xf numFmtId="0" fontId="63" fillId="37" borderId="43" xfId="73" applyFont="1" applyFill="1" applyBorder="1" applyAlignment="1">
      <alignment horizontal="center"/>
      <protection/>
    </xf>
    <xf numFmtId="0" fontId="13" fillId="0" borderId="23" xfId="73" applyFont="1" applyBorder="1">
      <alignment/>
      <protection/>
    </xf>
    <xf numFmtId="0" fontId="13" fillId="0" borderId="44" xfId="73" applyFont="1" applyFill="1" applyBorder="1" applyAlignment="1">
      <alignment horizontal="center"/>
      <protection/>
    </xf>
    <xf numFmtId="0" fontId="29" fillId="42" borderId="43" xfId="73" applyFont="1" applyFill="1" applyBorder="1" applyAlignment="1">
      <alignment horizontal="center"/>
      <protection/>
    </xf>
    <xf numFmtId="0" fontId="70" fillId="39" borderId="43" xfId="73" applyFont="1" applyFill="1" applyBorder="1" applyAlignment="1">
      <alignment horizontal="center"/>
      <protection/>
    </xf>
    <xf numFmtId="0" fontId="71" fillId="36" borderId="43" xfId="73" applyFont="1" applyFill="1" applyBorder="1" applyAlignment="1">
      <alignment horizontal="center"/>
      <protection/>
    </xf>
    <xf numFmtId="0" fontId="52" fillId="37" borderId="24" xfId="73" applyFont="1" applyFill="1" applyBorder="1" applyAlignment="1">
      <alignment horizontal="center"/>
      <protection/>
    </xf>
    <xf numFmtId="0" fontId="52" fillId="37" borderId="26" xfId="73" applyFont="1" applyFill="1" applyBorder="1" applyAlignment="1">
      <alignment horizontal="center"/>
      <protection/>
    </xf>
    <xf numFmtId="0" fontId="72" fillId="43" borderId="45" xfId="73" applyFont="1" applyFill="1" applyBorder="1" applyAlignment="1">
      <alignment horizontal="center"/>
      <protection/>
    </xf>
    <xf numFmtId="0" fontId="72" fillId="43" borderId="46" xfId="73" applyFont="1" applyFill="1" applyBorder="1" applyAlignment="1">
      <alignment horizontal="center"/>
      <protection/>
    </xf>
    <xf numFmtId="0" fontId="50" fillId="44" borderId="43" xfId="73" applyFont="1" applyFill="1" applyBorder="1" applyAlignment="1">
      <alignment horizontal="center"/>
      <protection/>
    </xf>
    <xf numFmtId="0" fontId="73" fillId="39" borderId="43" xfId="73" applyFont="1" applyFill="1" applyBorder="1" applyAlignment="1">
      <alignment horizontal="center"/>
      <protection/>
    </xf>
    <xf numFmtId="7" fontId="48" fillId="0" borderId="44" xfId="73" applyNumberFormat="1" applyFont="1" applyFill="1" applyBorder="1" applyAlignment="1">
      <alignment/>
      <protection/>
    </xf>
    <xf numFmtId="0" fontId="13" fillId="0" borderId="27" xfId="73" applyFont="1" applyFill="1" applyBorder="1" applyAlignment="1">
      <alignment horizontal="center"/>
      <protection/>
    </xf>
    <xf numFmtId="164" fontId="13" fillId="0" borderId="27" xfId="73" applyNumberFormat="1" applyFont="1" applyFill="1" applyBorder="1" applyAlignment="1" applyProtection="1">
      <alignment horizontal="center"/>
      <protection/>
    </xf>
    <xf numFmtId="0" fontId="63" fillId="37" borderId="27" xfId="73" applyFont="1" applyFill="1" applyBorder="1" applyAlignment="1">
      <alignment horizontal="center"/>
      <protection/>
    </xf>
    <xf numFmtId="0" fontId="13" fillId="0" borderId="29" xfId="73" applyFont="1" applyBorder="1">
      <alignment/>
      <protection/>
    </xf>
    <xf numFmtId="0" fontId="13" fillId="0" borderId="47" xfId="73" applyFont="1" applyFill="1" applyBorder="1" applyAlignment="1">
      <alignment horizontal="center"/>
      <protection/>
    </xf>
    <xf numFmtId="0" fontId="29" fillId="42" borderId="27" xfId="73" applyFont="1" applyFill="1" applyBorder="1" applyAlignment="1">
      <alignment horizontal="center"/>
      <protection/>
    </xf>
    <xf numFmtId="0" fontId="70" fillId="39" borderId="27" xfId="73" applyFont="1" applyFill="1" applyBorder="1" applyAlignment="1">
      <alignment horizontal="center"/>
      <protection/>
    </xf>
    <xf numFmtId="0" fontId="71" fillId="36" borderId="27" xfId="73" applyFont="1" applyFill="1" applyBorder="1" applyAlignment="1">
      <alignment horizontal="center"/>
      <protection/>
    </xf>
    <xf numFmtId="0" fontId="52" fillId="37" borderId="48" xfId="73" applyFont="1" applyFill="1" applyBorder="1" applyAlignment="1">
      <alignment horizontal="center"/>
      <protection/>
    </xf>
    <xf numFmtId="0" fontId="52" fillId="37" borderId="49" xfId="73" applyFont="1" applyFill="1" applyBorder="1" applyAlignment="1">
      <alignment horizontal="center"/>
      <protection/>
    </xf>
    <xf numFmtId="0" fontId="72" fillId="43" borderId="48" xfId="73" applyFont="1" applyFill="1" applyBorder="1" applyAlignment="1">
      <alignment horizontal="center"/>
      <protection/>
    </xf>
    <xf numFmtId="0" fontId="72" fillId="43" borderId="49" xfId="73" applyFont="1" applyFill="1" applyBorder="1" applyAlignment="1">
      <alignment horizontal="center"/>
      <protection/>
    </xf>
    <xf numFmtId="0" fontId="50" fillId="44" borderId="27" xfId="73" applyFont="1" applyFill="1" applyBorder="1" applyAlignment="1">
      <alignment horizontal="center"/>
      <protection/>
    </xf>
    <xf numFmtId="0" fontId="73" fillId="39" borderId="27" xfId="73" applyFont="1" applyFill="1" applyBorder="1" applyAlignment="1">
      <alignment horizontal="center"/>
      <protection/>
    </xf>
    <xf numFmtId="0" fontId="48" fillId="0" borderId="47" xfId="73" applyFont="1" applyFill="1" applyBorder="1" applyAlignment="1">
      <alignment horizontal="center"/>
      <protection/>
    </xf>
    <xf numFmtId="0" fontId="13" fillId="0" borderId="28" xfId="73" applyFont="1" applyFill="1" applyBorder="1" applyAlignment="1" applyProtection="1">
      <alignment horizontal="center"/>
      <protection locked="0"/>
    </xf>
    <xf numFmtId="0" fontId="13" fillId="0" borderId="27" xfId="73" applyFont="1" applyBorder="1" applyAlignment="1" applyProtection="1">
      <alignment horizontal="center"/>
      <protection locked="0"/>
    </xf>
    <xf numFmtId="0" fontId="13" fillId="0" borderId="32" xfId="73" applyFont="1" applyBorder="1" applyAlignment="1" applyProtection="1">
      <alignment horizontal="center"/>
      <protection locked="0"/>
    </xf>
    <xf numFmtId="164" fontId="13" fillId="0" borderId="27" xfId="73" applyNumberFormat="1" applyFont="1" applyBorder="1" applyAlignment="1" applyProtection="1">
      <alignment horizontal="center"/>
      <protection locked="0"/>
    </xf>
    <xf numFmtId="1" fontId="13" fillId="0" borderId="49" xfId="73" applyNumberFormat="1" applyFont="1" applyBorder="1" applyAlignment="1" applyProtection="1">
      <alignment horizontal="center"/>
      <protection locked="0"/>
    </xf>
    <xf numFmtId="174" fontId="63" fillId="37" borderId="28" xfId="73" applyNumberFormat="1" applyFont="1" applyFill="1" applyBorder="1" applyAlignment="1" applyProtection="1">
      <alignment horizontal="center"/>
      <protection/>
    </xf>
    <xf numFmtId="22" fontId="13" fillId="0" borderId="28" xfId="73" applyNumberFormat="1" applyFont="1" applyFill="1" applyBorder="1" applyAlignment="1" applyProtection="1">
      <alignment horizontal="center"/>
      <protection locked="0"/>
    </xf>
    <xf numFmtId="4" fontId="13" fillId="0" borderId="28" xfId="73" applyNumberFormat="1" applyFont="1" applyFill="1" applyBorder="1" applyAlignment="1" applyProtection="1">
      <alignment horizontal="center"/>
      <protection/>
    </xf>
    <xf numFmtId="3" fontId="13" fillId="0" borderId="28" xfId="73" applyNumberFormat="1" applyFont="1" applyFill="1" applyBorder="1" applyAlignment="1" applyProtection="1">
      <alignment horizontal="center"/>
      <protection/>
    </xf>
    <xf numFmtId="168" fontId="13" fillId="0" borderId="28" xfId="73" applyNumberFormat="1" applyFont="1" applyFill="1" applyBorder="1" applyAlignment="1" applyProtection="1">
      <alignment horizontal="center"/>
      <protection locked="0"/>
    </xf>
    <xf numFmtId="173" fontId="13" fillId="0" borderId="29" xfId="73" applyNumberFormat="1" applyFont="1" applyBorder="1" applyAlignment="1" applyProtection="1" quotePrefix="1">
      <alignment horizontal="center"/>
      <protection/>
    </xf>
    <xf numFmtId="168" fontId="13" fillId="0" borderId="28" xfId="73" applyNumberFormat="1" applyFont="1" applyBorder="1" applyAlignment="1" applyProtection="1" quotePrefix="1">
      <alignment horizontal="center"/>
      <protection/>
    </xf>
    <xf numFmtId="168" fontId="13" fillId="0" borderId="28" xfId="73" applyNumberFormat="1" applyFont="1" applyBorder="1" applyAlignment="1" applyProtection="1">
      <alignment horizontal="center"/>
      <protection/>
    </xf>
    <xf numFmtId="164" fontId="29" fillId="42" borderId="28" xfId="73" applyNumberFormat="1" applyFont="1" applyFill="1" applyBorder="1" applyAlignment="1" applyProtection="1">
      <alignment horizontal="center"/>
      <protection/>
    </xf>
    <xf numFmtId="2" fontId="70" fillId="39" borderId="28" xfId="73" applyNumberFormat="1" applyFont="1" applyFill="1" applyBorder="1" applyAlignment="1" applyProtection="1">
      <alignment horizontal="center"/>
      <protection/>
    </xf>
    <xf numFmtId="2" fontId="71" fillId="36" borderId="28" xfId="73" applyNumberFormat="1" applyFont="1" applyFill="1" applyBorder="1" applyAlignment="1" applyProtection="1">
      <alignment horizontal="center"/>
      <protection/>
    </xf>
    <xf numFmtId="168" fontId="52" fillId="37" borderId="48" xfId="73" applyNumberFormat="1" applyFont="1" applyFill="1" applyBorder="1" applyAlignment="1" applyProtection="1" quotePrefix="1">
      <alignment horizontal="center"/>
      <protection/>
    </xf>
    <xf numFmtId="168" fontId="52" fillId="37" borderId="49" xfId="73" applyNumberFormat="1" applyFont="1" applyFill="1" applyBorder="1" applyAlignment="1" applyProtection="1" quotePrefix="1">
      <alignment horizontal="center"/>
      <protection/>
    </xf>
    <xf numFmtId="168" fontId="72" fillId="43" borderId="48" xfId="73" applyNumberFormat="1" applyFont="1" applyFill="1" applyBorder="1" applyAlignment="1" applyProtection="1" quotePrefix="1">
      <alignment horizontal="center"/>
      <protection/>
    </xf>
    <xf numFmtId="168" fontId="72" fillId="43" borderId="49" xfId="73" applyNumberFormat="1" applyFont="1" applyFill="1" applyBorder="1" applyAlignment="1" applyProtection="1" quotePrefix="1">
      <alignment horizontal="center"/>
      <protection/>
    </xf>
    <xf numFmtId="168" fontId="50" fillId="44" borderId="28" xfId="73" applyNumberFormat="1" applyFont="1" applyFill="1" applyBorder="1" applyAlignment="1" applyProtection="1" quotePrefix="1">
      <alignment horizontal="center"/>
      <protection/>
    </xf>
    <xf numFmtId="168" fontId="73" fillId="39" borderId="27" xfId="73" applyNumberFormat="1" applyFont="1" applyFill="1" applyBorder="1" applyAlignment="1" applyProtection="1" quotePrefix="1">
      <alignment horizontal="center"/>
      <protection/>
    </xf>
    <xf numFmtId="168" fontId="13" fillId="0" borderId="29" xfId="73" applyNumberFormat="1" applyFont="1" applyFill="1" applyBorder="1" applyAlignment="1" applyProtection="1">
      <alignment horizontal="center"/>
      <protection/>
    </xf>
    <xf numFmtId="4" fontId="77" fillId="0" borderId="29" xfId="73" applyNumberFormat="1" applyFont="1" applyFill="1" applyBorder="1" applyAlignment="1">
      <alignment horizontal="right"/>
      <protection/>
    </xf>
    <xf numFmtId="1" fontId="13" fillId="0" borderId="49" xfId="73" applyNumberFormat="1" applyFont="1" applyBorder="1" applyAlignment="1" applyProtection="1" quotePrefix="1">
      <alignment horizontal="center"/>
      <protection locked="0"/>
    </xf>
    <xf numFmtId="0" fontId="13" fillId="0" borderId="47" xfId="73" applyFont="1" applyBorder="1" applyAlignment="1" applyProtection="1">
      <alignment horizontal="center"/>
      <protection locked="0"/>
    </xf>
    <xf numFmtId="0" fontId="74" fillId="0" borderId="36" xfId="73" applyFont="1" applyFill="1" applyBorder="1" applyAlignment="1" applyProtection="1">
      <alignment horizontal="center"/>
      <protection locked="0"/>
    </xf>
    <xf numFmtId="164" fontId="49" fillId="0" borderId="34" xfId="73" applyNumberFormat="1" applyFont="1" applyFill="1" applyBorder="1" applyAlignment="1" applyProtection="1">
      <alignment horizontal="center"/>
      <protection locked="0"/>
    </xf>
    <xf numFmtId="168" fontId="63" fillId="37" borderId="36" xfId="73" applyNumberFormat="1" applyFont="1" applyFill="1" applyBorder="1" applyAlignment="1" applyProtection="1">
      <alignment horizontal="center"/>
      <protection/>
    </xf>
    <xf numFmtId="0" fontId="13" fillId="0" borderId="36" xfId="73" applyFont="1" applyFill="1" applyBorder="1" applyAlignment="1" applyProtection="1">
      <alignment horizontal="center"/>
      <protection locked="0"/>
    </xf>
    <xf numFmtId="38" fontId="13" fillId="0" borderId="36" xfId="73" applyNumberFormat="1" applyFont="1" applyFill="1" applyBorder="1" applyAlignment="1" applyProtection="1">
      <alignment horizontal="center"/>
      <protection locked="0"/>
    </xf>
    <xf numFmtId="38" fontId="13" fillId="0" borderId="36" xfId="73" applyNumberFormat="1" applyFont="1" applyFill="1" applyBorder="1" applyAlignment="1" applyProtection="1">
      <alignment horizontal="center"/>
      <protection/>
    </xf>
    <xf numFmtId="164" fontId="13" fillId="0" borderId="36" xfId="73" applyNumberFormat="1" applyFont="1" applyFill="1" applyBorder="1" applyAlignment="1" applyProtection="1" quotePrefix="1">
      <alignment horizontal="center"/>
      <protection/>
    </xf>
    <xf numFmtId="168" fontId="13" fillId="0" borderId="36" xfId="73" applyNumberFormat="1" applyFont="1" applyFill="1" applyBorder="1" applyAlignment="1" applyProtection="1">
      <alignment horizontal="center"/>
      <protection locked="0"/>
    </xf>
    <xf numFmtId="173" fontId="13" fillId="0" borderId="36" xfId="73" applyNumberFormat="1" applyFont="1" applyBorder="1" applyAlignment="1" applyProtection="1" quotePrefix="1">
      <alignment horizontal="center"/>
      <protection locked="0"/>
    </xf>
    <xf numFmtId="168" fontId="13" fillId="0" borderId="50" xfId="73" applyNumberFormat="1" applyFont="1" applyFill="1" applyBorder="1" applyAlignment="1" applyProtection="1">
      <alignment horizontal="center"/>
      <protection locked="0"/>
    </xf>
    <xf numFmtId="164" fontId="29" fillId="42" borderId="36" xfId="73" applyNumberFormat="1" applyFont="1" applyFill="1" applyBorder="1" applyAlignment="1" applyProtection="1">
      <alignment horizontal="center"/>
      <protection locked="0"/>
    </xf>
    <xf numFmtId="2" fontId="70" fillId="39" borderId="36" xfId="73" applyNumberFormat="1" applyFont="1" applyFill="1" applyBorder="1" applyAlignment="1" applyProtection="1">
      <alignment horizontal="center"/>
      <protection locked="0"/>
    </xf>
    <xf numFmtId="2" fontId="71" fillId="36" borderId="36" xfId="73" applyNumberFormat="1" applyFont="1" applyFill="1" applyBorder="1" applyAlignment="1" applyProtection="1">
      <alignment horizontal="center"/>
      <protection locked="0"/>
    </xf>
    <xf numFmtId="168" fontId="52" fillId="37" borderId="51" xfId="73" applyNumberFormat="1" applyFont="1" applyFill="1" applyBorder="1" applyAlignment="1" applyProtection="1" quotePrefix="1">
      <alignment horizontal="center"/>
      <protection locked="0"/>
    </xf>
    <xf numFmtId="168" fontId="52" fillId="37" borderId="52" xfId="73" applyNumberFormat="1" applyFont="1" applyFill="1" applyBorder="1" applyAlignment="1" applyProtection="1" quotePrefix="1">
      <alignment horizontal="center"/>
      <protection locked="0"/>
    </xf>
    <xf numFmtId="168" fontId="72" fillId="43" borderId="37" xfId="73" applyNumberFormat="1" applyFont="1" applyFill="1" applyBorder="1" applyAlignment="1" applyProtection="1" quotePrefix="1">
      <alignment horizontal="center"/>
      <protection locked="0"/>
    </xf>
    <xf numFmtId="168" fontId="72" fillId="43" borderId="39" xfId="73" applyNumberFormat="1" applyFont="1" applyFill="1" applyBorder="1" applyAlignment="1" applyProtection="1" quotePrefix="1">
      <alignment horizontal="center"/>
      <protection locked="0"/>
    </xf>
    <xf numFmtId="168" fontId="50" fillId="44" borderId="36" xfId="73" applyNumberFormat="1" applyFont="1" applyFill="1" applyBorder="1" applyAlignment="1" applyProtection="1" quotePrefix="1">
      <alignment horizontal="center"/>
      <protection locked="0"/>
    </xf>
    <xf numFmtId="168" fontId="73" fillId="39" borderId="36" xfId="73" applyNumberFormat="1" applyFont="1" applyFill="1" applyBorder="1" applyAlignment="1" applyProtection="1" quotePrefix="1">
      <alignment horizontal="center"/>
      <protection locked="0"/>
    </xf>
    <xf numFmtId="168" fontId="75" fillId="0" borderId="50" xfId="73" applyNumberFormat="1" applyFont="1" applyFill="1" applyBorder="1" applyAlignment="1" applyProtection="1">
      <alignment horizontal="center"/>
      <protection locked="0"/>
    </xf>
    <xf numFmtId="168" fontId="65" fillId="0" borderId="53" xfId="73" applyNumberFormat="1" applyFont="1" applyFill="1" applyBorder="1" applyAlignment="1">
      <alignment horizontal="center"/>
      <protection/>
    </xf>
    <xf numFmtId="0" fontId="57" fillId="0" borderId="41" xfId="73" applyFont="1" applyBorder="1" applyAlignment="1">
      <alignment horizontal="center"/>
      <protection/>
    </xf>
    <xf numFmtId="0" fontId="104" fillId="0" borderId="41" xfId="73" applyFont="1" applyBorder="1" applyAlignment="1">
      <alignment horizontal="left"/>
      <protection/>
    </xf>
    <xf numFmtId="0" fontId="58" fillId="0" borderId="0" xfId="73" applyFont="1" applyBorder="1" applyAlignment="1" applyProtection="1">
      <alignment horizontal="left"/>
      <protection/>
    </xf>
    <xf numFmtId="4" fontId="70" fillId="39" borderId="21" xfId="73" applyNumberFormat="1" applyFont="1" applyFill="1" applyBorder="1" applyAlignment="1">
      <alignment horizontal="center"/>
      <protection/>
    </xf>
    <xf numFmtId="4" fontId="71" fillId="36" borderId="21" xfId="73" applyNumberFormat="1" applyFont="1" applyFill="1" applyBorder="1" applyAlignment="1">
      <alignment horizontal="center"/>
      <protection/>
    </xf>
    <xf numFmtId="4" fontId="52" fillId="37" borderId="54" xfId="73" applyNumberFormat="1" applyFont="1" applyFill="1" applyBorder="1" applyAlignment="1">
      <alignment horizontal="center"/>
      <protection/>
    </xf>
    <xf numFmtId="4" fontId="52" fillId="37" borderId="17" xfId="73" applyNumberFormat="1" applyFont="1" applyFill="1" applyBorder="1" applyAlignment="1">
      <alignment horizontal="center"/>
      <protection/>
    </xf>
    <xf numFmtId="4" fontId="72" fillId="43" borderId="54" xfId="73" applyNumberFormat="1" applyFont="1" applyFill="1" applyBorder="1" applyAlignment="1">
      <alignment horizontal="center"/>
      <protection/>
    </xf>
    <xf numFmtId="4" fontId="72" fillId="43" borderId="55" xfId="73" applyNumberFormat="1" applyFont="1" applyFill="1" applyBorder="1" applyAlignment="1">
      <alignment horizontal="center"/>
      <protection/>
    </xf>
    <xf numFmtId="4" fontId="50" fillId="44" borderId="21" xfId="73" applyNumberFormat="1" applyFont="1" applyFill="1" applyBorder="1" applyAlignment="1">
      <alignment horizontal="center"/>
      <protection/>
    </xf>
    <xf numFmtId="4" fontId="73" fillId="39" borderId="21" xfId="73" applyNumberFormat="1" applyFont="1" applyFill="1" applyBorder="1" applyAlignment="1">
      <alignment horizontal="center"/>
      <protection/>
    </xf>
    <xf numFmtId="7" fontId="76" fillId="0" borderId="21" xfId="73" applyNumberFormat="1" applyFont="1" applyFill="1" applyBorder="1" applyAlignment="1">
      <alignment horizontal="right"/>
      <protection/>
    </xf>
    <xf numFmtId="0" fontId="13" fillId="0" borderId="18" xfId="73" applyFont="1" applyFill="1" applyBorder="1">
      <alignment/>
      <protection/>
    </xf>
    <xf numFmtId="0" fontId="13" fillId="0" borderId="19" xfId="73" applyFont="1" applyFill="1" applyBorder="1">
      <alignment/>
      <protection/>
    </xf>
    <xf numFmtId="0" fontId="13" fillId="0" borderId="20" xfId="73" applyFont="1" applyFill="1" applyBorder="1">
      <alignment/>
      <protection/>
    </xf>
    <xf numFmtId="0" fontId="3" fillId="0" borderId="0" xfId="73" applyFill="1">
      <alignment/>
      <protection/>
    </xf>
    <xf numFmtId="0" fontId="0" fillId="0" borderId="0" xfId="73" applyFont="1">
      <alignment/>
      <protection/>
    </xf>
    <xf numFmtId="0" fontId="11" fillId="0" borderId="0" xfId="73" applyFont="1" applyAlignment="1">
      <alignment horizontal="right" vertical="top"/>
      <protection/>
    </xf>
    <xf numFmtId="0" fontId="6" fillId="0" borderId="0" xfId="73" applyFont="1" applyFill="1" applyBorder="1" applyAlignment="1" applyProtection="1">
      <alignment horizontal="centerContinuous"/>
      <protection/>
    </xf>
    <xf numFmtId="0" fontId="14" fillId="0" borderId="0" xfId="73" applyFont="1" applyAlignment="1">
      <alignment horizontal="centerContinuous"/>
      <protection/>
    </xf>
    <xf numFmtId="0" fontId="13" fillId="0" borderId="11" xfId="73" applyFont="1" applyBorder="1">
      <alignment/>
      <protection/>
    </xf>
    <xf numFmtId="0" fontId="13" fillId="0" borderId="12" xfId="73" applyFont="1" applyBorder="1">
      <alignment/>
      <protection/>
    </xf>
    <xf numFmtId="0" fontId="13" fillId="0" borderId="13" xfId="73" applyFont="1" applyBorder="1">
      <alignment/>
      <protection/>
    </xf>
    <xf numFmtId="0" fontId="16" fillId="0" borderId="14" xfId="73" applyFont="1" applyBorder="1">
      <alignment/>
      <protection/>
    </xf>
    <xf numFmtId="0" fontId="16" fillId="0" borderId="0" xfId="73" applyFont="1" applyBorder="1">
      <alignment/>
      <protection/>
    </xf>
    <xf numFmtId="0" fontId="20" fillId="0" borderId="0" xfId="73" applyFont="1" applyFill="1" applyBorder="1">
      <alignment/>
      <protection/>
    </xf>
    <xf numFmtId="0" fontId="16" fillId="0" borderId="15" xfId="73" applyFont="1" applyBorder="1">
      <alignment/>
      <protection/>
    </xf>
    <xf numFmtId="0" fontId="13" fillId="0" borderId="14" xfId="73" applyFont="1" applyBorder="1">
      <alignment/>
      <protection/>
    </xf>
    <xf numFmtId="0" fontId="13" fillId="0" borderId="0" xfId="73" applyFont="1" applyBorder="1">
      <alignment/>
      <protection/>
    </xf>
    <xf numFmtId="0" fontId="13" fillId="0" borderId="15" xfId="73" applyFont="1" applyBorder="1">
      <alignment/>
      <protection/>
    </xf>
    <xf numFmtId="0" fontId="20" fillId="0" borderId="0" xfId="73" applyFont="1" applyFill="1">
      <alignment/>
      <protection/>
    </xf>
    <xf numFmtId="0" fontId="78" fillId="0" borderId="0" xfId="73" applyFont="1" applyFill="1">
      <alignment/>
      <protection/>
    </xf>
    <xf numFmtId="0" fontId="16" fillId="0" borderId="0" xfId="73" applyFont="1" applyFill="1" applyBorder="1" applyProtection="1">
      <alignment/>
      <protection/>
    </xf>
    <xf numFmtId="0" fontId="5" fillId="0" borderId="0" xfId="73" applyFont="1" applyFill="1">
      <alignment/>
      <protection/>
    </xf>
    <xf numFmtId="0" fontId="13" fillId="0" borderId="0" xfId="73" applyFont="1" applyFill="1" applyBorder="1" applyProtection="1">
      <alignment/>
      <protection/>
    </xf>
    <xf numFmtId="0" fontId="25" fillId="0" borderId="0" xfId="73" applyFont="1" applyBorder="1">
      <alignment/>
      <protection/>
    </xf>
    <xf numFmtId="0" fontId="24" fillId="0" borderId="0" xfId="73" applyFont="1" applyBorder="1" applyAlignment="1" applyProtection="1">
      <alignment horizontal="centerContinuous"/>
      <protection/>
    </xf>
    <xf numFmtId="0" fontId="24" fillId="0" borderId="15" xfId="73" applyFont="1" applyBorder="1" applyAlignment="1">
      <alignment horizontal="centerContinuous"/>
      <protection/>
    </xf>
    <xf numFmtId="0" fontId="25" fillId="0" borderId="14" xfId="73" applyFont="1" applyBorder="1" applyAlignment="1">
      <alignment horizontal="centerContinuous"/>
      <protection/>
    </xf>
    <xf numFmtId="0" fontId="25" fillId="0" borderId="0" xfId="73" applyFont="1" applyBorder="1" applyAlignment="1">
      <alignment horizontal="centerContinuous"/>
      <protection/>
    </xf>
    <xf numFmtId="0" fontId="25" fillId="0" borderId="0" xfId="73" applyFont="1" applyBorder="1" applyAlignment="1" applyProtection="1">
      <alignment horizontal="centerContinuous"/>
      <protection/>
    </xf>
    <xf numFmtId="0" fontId="25" fillId="0" borderId="15" xfId="73" applyFont="1" applyBorder="1" applyAlignment="1">
      <alignment horizontal="centerContinuous"/>
      <protection/>
    </xf>
    <xf numFmtId="0" fontId="3" fillId="0" borderId="0" xfId="73" applyFont="1" applyBorder="1">
      <alignment/>
      <protection/>
    </xf>
    <xf numFmtId="0" fontId="3" fillId="0" borderId="21" xfId="73" applyFont="1" applyBorder="1" applyAlignment="1">
      <alignment horizontal="center"/>
      <protection/>
    </xf>
    <xf numFmtId="0" fontId="3" fillId="0" borderId="16" xfId="73" applyFont="1" applyBorder="1" applyAlignment="1" applyProtection="1">
      <alignment horizontal="left" vertical="center"/>
      <protection/>
    </xf>
    <xf numFmtId="174" fontId="3" fillId="0" borderId="17" xfId="73" applyNumberFormat="1" applyFont="1" applyBorder="1" applyAlignment="1" applyProtection="1">
      <alignment horizontal="center" vertical="center"/>
      <protection/>
    </xf>
    <xf numFmtId="0" fontId="3" fillId="0" borderId="21" xfId="73" applyFont="1" applyBorder="1" applyAlignment="1">
      <alignment horizontal="center" vertical="center"/>
      <protection/>
    </xf>
    <xf numFmtId="22" fontId="13" fillId="0" borderId="0" xfId="73" applyNumberFormat="1" applyFont="1" applyBorder="1">
      <alignment/>
      <protection/>
    </xf>
    <xf numFmtId="0" fontId="3" fillId="0" borderId="16" xfId="73" applyFont="1" applyBorder="1" applyAlignment="1">
      <alignment vertical="center"/>
      <protection/>
    </xf>
    <xf numFmtId="174" fontId="3" fillId="0" borderId="17" xfId="73" applyNumberFormat="1" applyFont="1" applyBorder="1" applyAlignment="1">
      <alignment horizontal="center" vertical="center"/>
      <protection/>
    </xf>
    <xf numFmtId="0" fontId="3" fillId="0" borderId="16" xfId="73" applyFont="1" applyBorder="1" applyAlignment="1">
      <alignment horizontal="left" vertical="center"/>
      <protection/>
    </xf>
    <xf numFmtId="0" fontId="3" fillId="0" borderId="0" xfId="73" applyFont="1" applyBorder="1" applyAlignment="1" applyProtection="1">
      <alignment horizontal="center"/>
      <protection/>
    </xf>
    <xf numFmtId="174" fontId="3" fillId="0" borderId="0" xfId="73" applyNumberFormat="1" applyFont="1" applyBorder="1" applyAlignment="1">
      <alignment horizontal="centerContinuous"/>
      <protection/>
    </xf>
    <xf numFmtId="0" fontId="29" fillId="0" borderId="0" xfId="73" applyFont="1" applyBorder="1">
      <alignment/>
      <protection/>
    </xf>
    <xf numFmtId="0" fontId="30" fillId="0" borderId="21" xfId="73" applyFont="1" applyBorder="1" applyAlignment="1" applyProtection="1">
      <alignment horizontal="center" vertical="center" wrapText="1"/>
      <protection/>
    </xf>
    <xf numFmtId="0" fontId="30" fillId="0" borderId="17" xfId="73" applyFont="1" applyBorder="1" applyAlignment="1" applyProtection="1">
      <alignment horizontal="center" vertical="center"/>
      <protection/>
    </xf>
    <xf numFmtId="0" fontId="30" fillId="0" borderId="22" xfId="73" applyFont="1" applyBorder="1" applyAlignment="1">
      <alignment horizontal="center" vertical="center" wrapText="1"/>
      <protection/>
    </xf>
    <xf numFmtId="0" fontId="30" fillId="0" borderId="21" xfId="73" applyFont="1" applyBorder="1" applyAlignment="1" applyProtection="1">
      <alignment horizontal="center" vertical="center"/>
      <protection/>
    </xf>
    <xf numFmtId="0" fontId="30" fillId="0" borderId="17" xfId="73" applyFont="1" applyBorder="1" applyAlignment="1" applyProtection="1">
      <alignment horizontal="center" vertical="center" wrapText="1"/>
      <protection/>
    </xf>
    <xf numFmtId="0" fontId="30" fillId="0" borderId="16" xfId="73" applyFont="1" applyBorder="1" applyAlignment="1" applyProtection="1">
      <alignment horizontal="center" vertical="center"/>
      <protection/>
    </xf>
    <xf numFmtId="0" fontId="62" fillId="34" borderId="21" xfId="73" applyFont="1" applyFill="1" applyBorder="1" applyAlignment="1" applyProtection="1">
      <alignment horizontal="center" vertical="center"/>
      <protection/>
    </xf>
    <xf numFmtId="0" fontId="68" fillId="43" borderId="21" xfId="73" applyFont="1" applyFill="1" applyBorder="1" applyAlignment="1">
      <alignment horizontal="center" vertical="center" wrapText="1"/>
      <protection/>
    </xf>
    <xf numFmtId="0" fontId="35" fillId="36" borderId="16" xfId="73" applyFont="1" applyFill="1" applyBorder="1" applyAlignment="1" applyProtection="1">
      <alignment horizontal="centerContinuous" vertical="center" wrapText="1"/>
      <protection/>
    </xf>
    <xf numFmtId="0" fontId="35" fillId="36" borderId="17" xfId="73" applyFont="1" applyFill="1" applyBorder="1" applyAlignment="1">
      <alignment horizontal="centerContinuous" vertical="center"/>
      <protection/>
    </xf>
    <xf numFmtId="0" fontId="62" fillId="35" borderId="21" xfId="73" applyFont="1" applyFill="1" applyBorder="1" applyAlignment="1">
      <alignment horizontal="center" vertical="center" wrapText="1"/>
      <protection/>
    </xf>
    <xf numFmtId="0" fontId="74" fillId="0" borderId="28" xfId="73" applyFont="1" applyBorder="1" applyAlignment="1" applyProtection="1">
      <alignment horizontal="center"/>
      <protection/>
    </xf>
    <xf numFmtId="0" fontId="63" fillId="37" borderId="28" xfId="73" applyFont="1" applyFill="1" applyBorder="1" applyAlignment="1" applyProtection="1">
      <alignment horizontal="center"/>
      <protection/>
    </xf>
    <xf numFmtId="0" fontId="29" fillId="34" borderId="23" xfId="73" applyFont="1" applyFill="1" applyBorder="1" applyAlignment="1" applyProtection="1">
      <alignment horizontal="center"/>
      <protection/>
    </xf>
    <xf numFmtId="0" fontId="72" fillId="43" borderId="23" xfId="73" applyFont="1" applyFill="1" applyBorder="1" applyAlignment="1" applyProtection="1">
      <alignment horizontal="center"/>
      <protection/>
    </xf>
    <xf numFmtId="168" fontId="51" fillId="36" borderId="24" xfId="73" applyNumberFormat="1" applyFont="1" applyFill="1" applyBorder="1" applyAlignment="1" applyProtection="1" quotePrefix="1">
      <alignment horizontal="center"/>
      <protection/>
    </xf>
    <xf numFmtId="168" fontId="51" fillId="36" borderId="26" xfId="73" applyNumberFormat="1" applyFont="1" applyFill="1" applyBorder="1" applyAlignment="1" applyProtection="1" quotePrefix="1">
      <alignment horizontal="center"/>
      <protection/>
    </xf>
    <xf numFmtId="168" fontId="64" fillId="35" borderId="23" xfId="73" applyNumberFormat="1" applyFont="1" applyFill="1" applyBorder="1" applyAlignment="1" applyProtection="1" quotePrefix="1">
      <alignment horizontal="center"/>
      <protection/>
    </xf>
    <xf numFmtId="7" fontId="79" fillId="0" borderId="28" xfId="73" applyNumberFormat="1" applyFont="1" applyBorder="1" applyAlignment="1" applyProtection="1">
      <alignment/>
      <protection/>
    </xf>
    <xf numFmtId="0" fontId="74" fillId="0" borderId="33" xfId="73" applyFont="1" applyBorder="1" applyAlignment="1" applyProtection="1">
      <alignment horizontal="center"/>
      <protection/>
    </xf>
    <xf numFmtId="0" fontId="63" fillId="37" borderId="33" xfId="73" applyFont="1" applyFill="1" applyBorder="1" applyAlignment="1" applyProtection="1">
      <alignment horizontal="center"/>
      <protection/>
    </xf>
    <xf numFmtId="0" fontId="29" fillId="34" borderId="28" xfId="73" applyFont="1" applyFill="1" applyBorder="1" applyAlignment="1" applyProtection="1">
      <alignment horizontal="center"/>
      <protection/>
    </xf>
    <xf numFmtId="0" fontId="72" fillId="43" borderId="28" xfId="73" applyFont="1" applyFill="1" applyBorder="1" applyAlignment="1" applyProtection="1">
      <alignment horizontal="center"/>
      <protection/>
    </xf>
    <xf numFmtId="168" fontId="51" fillId="36" borderId="30" xfId="73" applyNumberFormat="1" applyFont="1" applyFill="1" applyBorder="1" applyAlignment="1" applyProtection="1" quotePrefix="1">
      <alignment horizontal="center"/>
      <protection/>
    </xf>
    <xf numFmtId="168" fontId="51" fillId="36" borderId="56" xfId="73" applyNumberFormat="1" applyFont="1" applyFill="1" applyBorder="1" applyAlignment="1" applyProtection="1" quotePrefix="1">
      <alignment horizontal="center"/>
      <protection/>
    </xf>
    <xf numFmtId="168" fontId="64" fillId="35" borderId="28" xfId="73" applyNumberFormat="1" applyFont="1" applyFill="1" applyBorder="1" applyAlignment="1" applyProtection="1" quotePrefix="1">
      <alignment horizontal="center"/>
      <protection/>
    </xf>
    <xf numFmtId="168" fontId="77" fillId="0" borderId="28" xfId="73" applyNumberFormat="1" applyFont="1" applyFill="1" applyBorder="1" applyAlignment="1">
      <alignment horizontal="center"/>
      <protection/>
    </xf>
    <xf numFmtId="0" fontId="74" fillId="0" borderId="33" xfId="73" applyFont="1" applyBorder="1" applyAlignment="1" applyProtection="1">
      <alignment horizontal="center"/>
      <protection locked="0"/>
    </xf>
    <xf numFmtId="164" fontId="49" fillId="0" borderId="28" xfId="73" applyNumberFormat="1" applyFont="1" applyBorder="1" applyAlignment="1" applyProtection="1" quotePrefix="1">
      <alignment horizontal="center"/>
      <protection locked="0"/>
    </xf>
    <xf numFmtId="168" fontId="63" fillId="37" borderId="28" xfId="73" applyNumberFormat="1" applyFont="1" applyFill="1" applyBorder="1" applyAlignment="1" applyProtection="1">
      <alignment horizontal="center"/>
      <protection/>
    </xf>
    <xf numFmtId="22" fontId="13" fillId="0" borderId="30" xfId="73" applyNumberFormat="1" applyFont="1" applyBorder="1" applyAlignment="1" applyProtection="1">
      <alignment horizontal="center"/>
      <protection locked="0"/>
    </xf>
    <xf numFmtId="22" fontId="13" fillId="0" borderId="28" xfId="73" applyNumberFormat="1" applyFont="1" applyBorder="1" applyAlignment="1" applyProtection="1">
      <alignment horizontal="center"/>
      <protection locked="0"/>
    </xf>
    <xf numFmtId="2" fontId="13" fillId="0" borderId="28" xfId="73" applyNumberFormat="1" applyFont="1" applyFill="1" applyBorder="1" applyAlignment="1" applyProtection="1" quotePrefix="1">
      <alignment horizontal="center"/>
      <protection/>
    </xf>
    <xf numFmtId="164" fontId="13" fillId="0" borderId="28" xfId="73" applyNumberFormat="1" applyFont="1" applyFill="1" applyBorder="1" applyAlignment="1" applyProtection="1" quotePrefix="1">
      <alignment horizontal="center"/>
      <protection/>
    </xf>
    <xf numFmtId="168" fontId="13" fillId="0" borderId="29" xfId="73" applyNumberFormat="1" applyFont="1" applyBorder="1" applyAlignment="1" applyProtection="1">
      <alignment horizontal="center"/>
      <protection locked="0"/>
    </xf>
    <xf numFmtId="164" fontId="29" fillId="34" borderId="28" xfId="73" applyNumberFormat="1" applyFont="1" applyFill="1" applyBorder="1" applyAlignment="1" applyProtection="1">
      <alignment horizontal="center"/>
      <protection/>
    </xf>
    <xf numFmtId="2" fontId="72" fillId="43" borderId="28" xfId="73" applyNumberFormat="1" applyFont="1" applyFill="1" applyBorder="1" applyAlignment="1" applyProtection="1">
      <alignment horizontal="center"/>
      <protection/>
    </xf>
    <xf numFmtId="4" fontId="77" fillId="0" borderId="28" xfId="73" applyNumberFormat="1" applyFont="1" applyFill="1" applyBorder="1" applyAlignment="1">
      <alignment horizontal="right"/>
      <protection/>
    </xf>
    <xf numFmtId="164" fontId="49" fillId="0" borderId="36" xfId="73" applyNumberFormat="1" applyFont="1" applyBorder="1" applyAlignment="1" applyProtection="1">
      <alignment horizontal="center"/>
      <protection locked="0"/>
    </xf>
    <xf numFmtId="168" fontId="13" fillId="0" borderId="50" xfId="73" applyNumberFormat="1" applyFont="1" applyBorder="1" applyAlignment="1" applyProtection="1">
      <alignment horizontal="center"/>
      <protection locked="0"/>
    </xf>
    <xf numFmtId="168" fontId="13" fillId="0" borderId="50" xfId="73" applyNumberFormat="1" applyFont="1" applyBorder="1" applyAlignment="1" applyProtection="1">
      <alignment horizontal="center"/>
      <protection/>
    </xf>
    <xf numFmtId="168" fontId="13" fillId="0" borderId="36" xfId="73" applyNumberFormat="1" applyFont="1" applyBorder="1" applyAlignment="1" applyProtection="1">
      <alignment horizontal="center"/>
      <protection locked="0"/>
    </xf>
    <xf numFmtId="164" fontId="29" fillId="34" borderId="36" xfId="73" applyNumberFormat="1" applyFont="1" applyFill="1" applyBorder="1" applyAlignment="1" applyProtection="1">
      <alignment horizontal="center"/>
      <protection locked="0"/>
    </xf>
    <xf numFmtId="2" fontId="72" fillId="43" borderId="36" xfId="73" applyNumberFormat="1" applyFont="1" applyFill="1" applyBorder="1" applyAlignment="1" applyProtection="1">
      <alignment horizontal="center"/>
      <protection locked="0"/>
    </xf>
    <xf numFmtId="168" fontId="51" fillId="36" borderId="37" xfId="73" applyNumberFormat="1" applyFont="1" applyFill="1" applyBorder="1" applyAlignment="1" applyProtection="1" quotePrefix="1">
      <alignment horizontal="center"/>
      <protection locked="0"/>
    </xf>
    <xf numFmtId="168" fontId="51" fillId="36" borderId="39" xfId="73" applyNumberFormat="1" applyFont="1" applyFill="1" applyBorder="1" applyAlignment="1" applyProtection="1" quotePrefix="1">
      <alignment horizontal="center"/>
      <protection locked="0"/>
    </xf>
    <xf numFmtId="168" fontId="64" fillId="35" borderId="36" xfId="73" applyNumberFormat="1" applyFont="1" applyFill="1" applyBorder="1" applyAlignment="1" applyProtection="1" quotePrefix="1">
      <alignment horizontal="center"/>
      <protection locked="0"/>
    </xf>
    <xf numFmtId="7" fontId="65" fillId="0" borderId="40" xfId="73" applyNumberFormat="1" applyFont="1" applyFill="1" applyBorder="1" applyAlignment="1">
      <alignment horizontal="right"/>
      <protection/>
    </xf>
    <xf numFmtId="4" fontId="72" fillId="43" borderId="21" xfId="73" applyNumberFormat="1" applyFont="1" applyFill="1" applyBorder="1" applyAlignment="1">
      <alignment horizontal="center"/>
      <protection/>
    </xf>
    <xf numFmtId="4" fontId="51" fillId="36" borderId="54" xfId="73" applyNumberFormat="1" applyFont="1" applyFill="1" applyBorder="1" applyAlignment="1">
      <alignment horizontal="center"/>
      <protection/>
    </xf>
    <xf numFmtId="4" fontId="51" fillId="36" borderId="55" xfId="73" applyNumberFormat="1" applyFont="1" applyFill="1" applyBorder="1" applyAlignment="1">
      <alignment horizontal="center"/>
      <protection/>
    </xf>
    <xf numFmtId="4" fontId="64" fillId="35" borderId="21" xfId="73" applyNumberFormat="1" applyFont="1" applyFill="1" applyBorder="1" applyAlignment="1">
      <alignment horizontal="center"/>
      <protection/>
    </xf>
    <xf numFmtId="4" fontId="19" fillId="0" borderId="0" xfId="73" applyNumberFormat="1" applyFont="1" applyFill="1" applyBorder="1" applyAlignment="1">
      <alignment horizontal="center"/>
      <protection/>
    </xf>
    <xf numFmtId="7" fontId="4" fillId="0" borderId="21" xfId="73" applyNumberFormat="1" applyFont="1" applyFill="1" applyBorder="1" applyAlignment="1">
      <alignment horizontal="right"/>
      <protection/>
    </xf>
    <xf numFmtId="0" fontId="13" fillId="0" borderId="18" xfId="73" applyFont="1" applyBorder="1">
      <alignment/>
      <protection/>
    </xf>
    <xf numFmtId="0" fontId="13" fillId="0" borderId="19" xfId="73" applyFont="1" applyBorder="1">
      <alignment/>
      <protection/>
    </xf>
    <xf numFmtId="0" fontId="13" fillId="0" borderId="20" xfId="73" applyFont="1" applyBorder="1">
      <alignment/>
      <protection/>
    </xf>
    <xf numFmtId="0" fontId="3" fillId="0" borderId="12" xfId="66" applyBorder="1">
      <alignment/>
      <protection/>
    </xf>
    <xf numFmtId="0" fontId="23" fillId="0" borderId="0" xfId="66" applyFont="1" applyAlignment="1">
      <alignment/>
      <protection/>
    </xf>
    <xf numFmtId="7" fontId="21" fillId="0" borderId="0" xfId="66" applyNumberFormat="1" applyFont="1" applyBorder="1" applyAlignment="1">
      <alignment horizontal="center"/>
      <protection/>
    </xf>
    <xf numFmtId="0" fontId="21" fillId="0" borderId="0" xfId="66" applyFont="1" applyBorder="1" applyAlignment="1" applyProtection="1">
      <alignment horizontal="left"/>
      <protection/>
    </xf>
    <xf numFmtId="168" fontId="4" fillId="0" borderId="16" xfId="66" applyNumberFormat="1" applyFont="1" applyBorder="1" applyAlignment="1" applyProtection="1">
      <alignment horizontal="center"/>
      <protection/>
    </xf>
    <xf numFmtId="183" fontId="21" fillId="0" borderId="17" xfId="66" applyNumberFormat="1" applyFont="1" applyBorder="1" applyAlignment="1" applyProtection="1">
      <alignment horizontal="centerContinuous"/>
      <protection/>
    </xf>
    <xf numFmtId="0" fontId="30" fillId="0" borderId="21" xfId="63" applyFont="1" applyBorder="1" applyAlignment="1">
      <alignment horizontal="center" vertical="center"/>
      <protection/>
    </xf>
    <xf numFmtId="164" fontId="30" fillId="0" borderId="17" xfId="66" applyNumberFormat="1" applyFont="1" applyBorder="1" applyAlignment="1" applyProtection="1">
      <alignment horizontal="center" vertical="center" wrapText="1"/>
      <protection/>
    </xf>
    <xf numFmtId="0" fontId="30" fillId="0" borderId="22" xfId="66" applyFont="1" applyBorder="1" applyAlignment="1" applyProtection="1">
      <alignment horizontal="center" vertical="center" wrapText="1"/>
      <protection/>
    </xf>
    <xf numFmtId="168" fontId="30" fillId="0" borderId="21" xfId="66" applyNumberFormat="1" applyFont="1" applyBorder="1" applyAlignment="1" applyProtection="1">
      <alignment horizontal="center" vertical="center"/>
      <protection/>
    </xf>
    <xf numFmtId="168" fontId="60" fillId="37" borderId="21" xfId="66" applyNumberFormat="1" applyFont="1" applyFill="1" applyBorder="1" applyAlignment="1" applyProtection="1">
      <alignment horizontal="center" vertical="center"/>
      <protection/>
    </xf>
    <xf numFmtId="0" fontId="62" fillId="42" borderId="21" xfId="66" applyFont="1" applyFill="1" applyBorder="1" applyAlignment="1">
      <alignment horizontal="center" vertical="center" wrapText="1"/>
      <protection/>
    </xf>
    <xf numFmtId="0" fontId="61" fillId="51" borderId="21" xfId="66" applyFont="1" applyFill="1" applyBorder="1" applyAlignment="1">
      <alignment horizontal="center" vertical="center" wrapText="1"/>
      <protection/>
    </xf>
    <xf numFmtId="0" fontId="84" fillId="35" borderId="16" xfId="66" applyFont="1" applyFill="1" applyBorder="1" applyAlignment="1" applyProtection="1">
      <alignment horizontal="centerContinuous" vertical="center" wrapText="1"/>
      <protection/>
    </xf>
    <xf numFmtId="0" fontId="85" fillId="35" borderId="22" xfId="66" applyFont="1" applyFill="1" applyBorder="1" applyAlignment="1">
      <alignment horizontal="centerContinuous"/>
      <protection/>
    </xf>
    <xf numFmtId="0" fontId="84" fillId="35" borderId="17" xfId="66" applyFont="1" applyFill="1" applyBorder="1" applyAlignment="1">
      <alignment horizontal="centerContinuous" vertical="center"/>
      <protection/>
    </xf>
    <xf numFmtId="0" fontId="62" fillId="52" borderId="16" xfId="66" applyFont="1" applyFill="1" applyBorder="1" applyAlignment="1">
      <alignment horizontal="centerContinuous" vertical="center" wrapText="1"/>
      <protection/>
    </xf>
    <xf numFmtId="0" fontId="86" fillId="52" borderId="22" xfId="66" applyFont="1" applyFill="1" applyBorder="1" applyAlignment="1">
      <alignment horizontal="centerContinuous"/>
      <protection/>
    </xf>
    <xf numFmtId="0" fontId="62" fillId="52" borderId="17" xfId="66" applyFont="1" applyFill="1" applyBorder="1" applyAlignment="1">
      <alignment horizontal="centerContinuous" vertical="center"/>
      <protection/>
    </xf>
    <xf numFmtId="0" fontId="62" fillId="39" borderId="21" xfId="66" applyFont="1" applyFill="1" applyBorder="1" applyAlignment="1">
      <alignment horizontal="centerContinuous" vertical="center" wrapText="1"/>
      <protection/>
    </xf>
    <xf numFmtId="0" fontId="62" fillId="53" borderId="21" xfId="66" applyFont="1" applyFill="1" applyBorder="1" applyAlignment="1">
      <alignment horizontal="centerContinuous" vertical="center" wrapText="1"/>
      <protection/>
    </xf>
    <xf numFmtId="0" fontId="30" fillId="0" borderId="17" xfId="66" applyFont="1" applyBorder="1" applyAlignment="1">
      <alignment horizontal="center" vertical="center" wrapText="1"/>
      <protection/>
    </xf>
    <xf numFmtId="0" fontId="13" fillId="0" borderId="15" xfId="66" applyFont="1" applyFill="1" applyBorder="1" applyAlignment="1">
      <alignment horizontal="center"/>
      <protection/>
    </xf>
    <xf numFmtId="0" fontId="21" fillId="0" borderId="28" xfId="66" applyFont="1" applyBorder="1">
      <alignment/>
      <protection/>
    </xf>
    <xf numFmtId="164" fontId="21" fillId="0" borderId="29" xfId="66" applyNumberFormat="1" applyFont="1" applyBorder="1" applyProtection="1">
      <alignment/>
      <protection/>
    </xf>
    <xf numFmtId="164" fontId="21" fillId="0" borderId="28" xfId="66" applyNumberFormat="1" applyFont="1" applyBorder="1" applyAlignment="1" applyProtection="1">
      <alignment horizontal="center"/>
      <protection/>
    </xf>
    <xf numFmtId="164" fontId="21" fillId="0" borderId="23" xfId="66" applyNumberFormat="1" applyFont="1" applyBorder="1" applyAlignment="1" applyProtection="1">
      <alignment horizontal="center"/>
      <protection/>
    </xf>
    <xf numFmtId="164" fontId="114" fillId="37" borderId="23" xfId="66" applyNumberFormat="1" applyFont="1" applyFill="1" applyBorder="1" applyAlignment="1" applyProtection="1">
      <alignment horizontal="center"/>
      <protection/>
    </xf>
    <xf numFmtId="174" fontId="108" fillId="34" borderId="23" xfId="66" applyNumberFormat="1" applyFont="1" applyFill="1" applyBorder="1" applyAlignment="1">
      <alignment horizontal="center"/>
      <protection/>
    </xf>
    <xf numFmtId="0" fontId="21" fillId="0" borderId="23" xfId="66" applyFont="1" applyBorder="1" applyAlignment="1">
      <alignment horizontal="center"/>
      <protection/>
    </xf>
    <xf numFmtId="0" fontId="21" fillId="0" borderId="86" xfId="66" applyFont="1" applyBorder="1" applyAlignment="1">
      <alignment horizontal="center"/>
      <protection/>
    </xf>
    <xf numFmtId="0" fontId="13" fillId="0" borderId="29" xfId="66" applyFont="1" applyBorder="1" applyAlignment="1">
      <alignment horizontal="center"/>
      <protection/>
    </xf>
    <xf numFmtId="0" fontId="13" fillId="0" borderId="23" xfId="66" applyFont="1" applyBorder="1" applyAlignment="1">
      <alignment horizontal="center"/>
      <protection/>
    </xf>
    <xf numFmtId="0" fontId="64" fillId="42" borderId="23" xfId="66" applyFont="1" applyFill="1" applyBorder="1" applyAlignment="1">
      <alignment horizontal="center"/>
      <protection/>
    </xf>
    <xf numFmtId="0" fontId="80" fillId="51" borderId="23" xfId="66" applyFont="1" applyFill="1" applyBorder="1" applyAlignment="1">
      <alignment horizontal="center"/>
      <protection/>
    </xf>
    <xf numFmtId="168" fontId="87" fillId="35" borderId="24" xfId="66" applyNumberFormat="1" applyFont="1" applyFill="1" applyBorder="1" applyAlignment="1" applyProtection="1" quotePrefix="1">
      <alignment horizontal="center"/>
      <protection/>
    </xf>
    <xf numFmtId="168" fontId="87" fillId="35" borderId="87" xfId="66" applyNumberFormat="1" applyFont="1" applyFill="1" applyBorder="1" applyAlignment="1" applyProtection="1" quotePrefix="1">
      <alignment horizontal="center"/>
      <protection/>
    </xf>
    <xf numFmtId="4" fontId="87" fillId="35" borderId="67" xfId="66" applyNumberFormat="1" applyFont="1" applyFill="1" applyBorder="1" applyAlignment="1" applyProtection="1">
      <alignment horizontal="center"/>
      <protection/>
    </xf>
    <xf numFmtId="168" fontId="64" fillId="52" borderId="24" xfId="66" applyNumberFormat="1" applyFont="1" applyFill="1" applyBorder="1" applyAlignment="1" applyProtection="1" quotePrefix="1">
      <alignment horizontal="center"/>
      <protection/>
    </xf>
    <xf numFmtId="168" fontId="64" fillId="52" borderId="87" xfId="66" applyNumberFormat="1" applyFont="1" applyFill="1" applyBorder="1" applyAlignment="1" applyProtection="1" quotePrefix="1">
      <alignment horizontal="center"/>
      <protection/>
    </xf>
    <xf numFmtId="4" fontId="64" fillId="52" borderId="67" xfId="66" applyNumberFormat="1" applyFont="1" applyFill="1" applyBorder="1" applyAlignment="1" applyProtection="1">
      <alignment horizontal="center"/>
      <protection/>
    </xf>
    <xf numFmtId="4" fontId="64" fillId="39" borderId="23" xfId="66" applyNumberFormat="1" applyFont="1" applyFill="1" applyBorder="1" applyAlignment="1" applyProtection="1">
      <alignment horizontal="center"/>
      <protection/>
    </xf>
    <xf numFmtId="4" fontId="64" fillId="53" borderId="23" xfId="66" applyNumberFormat="1" applyFont="1" applyFill="1" applyBorder="1" applyAlignment="1" applyProtection="1">
      <alignment horizontal="center"/>
      <protection/>
    </xf>
    <xf numFmtId="0" fontId="13" fillId="0" borderId="67" xfId="66" applyFont="1" applyBorder="1" applyAlignment="1">
      <alignment horizontal="left"/>
      <protection/>
    </xf>
    <xf numFmtId="0" fontId="48" fillId="0" borderId="67" xfId="66" applyFont="1" applyBorder="1" applyAlignment="1">
      <alignment horizontal="center"/>
      <protection/>
    </xf>
    <xf numFmtId="164" fontId="13" fillId="0" borderId="29" xfId="66" applyNumberFormat="1" applyFont="1" applyBorder="1" applyAlignment="1" applyProtection="1">
      <alignment horizontal="center"/>
      <protection/>
    </xf>
    <xf numFmtId="165" fontId="13" fillId="0" borderId="28" xfId="66" applyNumberFormat="1" applyFont="1" applyBorder="1" applyAlignment="1" applyProtection="1">
      <alignment horizontal="center"/>
      <protection/>
    </xf>
    <xf numFmtId="164" fontId="13" fillId="0" borderId="28" xfId="66" applyNumberFormat="1" applyFont="1" applyBorder="1" applyAlignment="1" applyProtection="1">
      <alignment horizontal="center"/>
      <protection/>
    </xf>
    <xf numFmtId="0" fontId="114" fillId="37" borderId="28" xfId="66" applyFont="1" applyFill="1" applyBorder="1" applyAlignment="1" applyProtection="1">
      <alignment horizontal="center"/>
      <protection/>
    </xf>
    <xf numFmtId="174" fontId="108" fillId="34" borderId="28" xfId="66" applyNumberFormat="1" applyFont="1" applyFill="1" applyBorder="1" applyAlignment="1" applyProtection="1">
      <alignment horizontal="center"/>
      <protection/>
    </xf>
    <xf numFmtId="22" fontId="13" fillId="0" borderId="28" xfId="66" applyNumberFormat="1" applyFont="1" applyBorder="1" applyAlignment="1">
      <alignment horizontal="center"/>
      <protection/>
    </xf>
    <xf numFmtId="22" fontId="13" fillId="0" borderId="32" xfId="66" applyNumberFormat="1" applyFont="1" applyBorder="1" applyAlignment="1">
      <alignment horizontal="center"/>
      <protection/>
    </xf>
    <xf numFmtId="4" fontId="13" fillId="0" borderId="28" xfId="66" applyNumberFormat="1" applyFont="1" applyFill="1" applyBorder="1" applyAlignment="1" applyProtection="1" quotePrefix="1">
      <alignment horizontal="center"/>
      <protection/>
    </xf>
    <xf numFmtId="173" fontId="13" fillId="0" borderId="29" xfId="66" applyNumberFormat="1" applyFont="1" applyBorder="1" applyAlignment="1" applyProtection="1" quotePrefix="1">
      <alignment horizontal="center"/>
      <protection/>
    </xf>
    <xf numFmtId="168" fontId="13" fillId="0" borderId="28" xfId="66" applyNumberFormat="1" applyFont="1" applyBorder="1" applyAlignment="1" applyProtection="1">
      <alignment horizontal="center"/>
      <protection/>
    </xf>
    <xf numFmtId="2" fontId="64" fillId="42" borderId="28" xfId="66" applyNumberFormat="1" applyFont="1" applyFill="1" applyBorder="1" applyAlignment="1" applyProtection="1">
      <alignment horizontal="center"/>
      <protection/>
    </xf>
    <xf numFmtId="2" fontId="80" fillId="51" borderId="28" xfId="66" applyNumberFormat="1" applyFont="1" applyFill="1" applyBorder="1" applyAlignment="1" applyProtection="1">
      <alignment horizontal="center"/>
      <protection/>
    </xf>
    <xf numFmtId="168" fontId="87" fillId="35" borderId="30" xfId="66" applyNumberFormat="1" applyFont="1" applyFill="1" applyBorder="1" applyAlignment="1" applyProtection="1" quotePrefix="1">
      <alignment horizontal="center"/>
      <protection/>
    </xf>
    <xf numFmtId="168" fontId="87" fillId="35" borderId="31" xfId="66" applyNumberFormat="1" applyFont="1" applyFill="1" applyBorder="1" applyAlignment="1" applyProtection="1" quotePrefix="1">
      <alignment horizontal="center"/>
      <protection/>
    </xf>
    <xf numFmtId="4" fontId="87" fillId="35" borderId="29" xfId="66" applyNumberFormat="1" applyFont="1" applyFill="1" applyBorder="1" applyAlignment="1" applyProtection="1">
      <alignment horizontal="center"/>
      <protection/>
    </xf>
    <xf numFmtId="168" fontId="64" fillId="52" borderId="30" xfId="66" applyNumberFormat="1" applyFont="1" applyFill="1" applyBorder="1" applyAlignment="1" applyProtection="1" quotePrefix="1">
      <alignment horizontal="center"/>
      <protection/>
    </xf>
    <xf numFmtId="168" fontId="64" fillId="52" borderId="31" xfId="66" applyNumberFormat="1" applyFont="1" applyFill="1" applyBorder="1" applyAlignment="1" applyProtection="1" quotePrefix="1">
      <alignment horizontal="center"/>
      <protection/>
    </xf>
    <xf numFmtId="4" fontId="64" fillId="52" borderId="29" xfId="66" applyNumberFormat="1" applyFont="1" applyFill="1" applyBorder="1" applyAlignment="1" applyProtection="1">
      <alignment horizontal="center"/>
      <protection/>
    </xf>
    <xf numFmtId="4" fontId="64" fillId="39" borderId="28" xfId="66" applyNumberFormat="1" applyFont="1" applyFill="1" applyBorder="1" applyAlignment="1" applyProtection="1">
      <alignment horizontal="center"/>
      <protection/>
    </xf>
    <xf numFmtId="4" fontId="64" fillId="53" borderId="28" xfId="66" applyNumberFormat="1" applyFont="1" applyFill="1" applyBorder="1" applyAlignment="1" applyProtection="1">
      <alignment horizontal="center"/>
      <protection/>
    </xf>
    <xf numFmtId="4" fontId="13" fillId="0" borderId="29" xfId="66" applyNumberFormat="1" applyFont="1" applyBorder="1" applyAlignment="1" applyProtection="1">
      <alignment horizontal="center"/>
      <protection/>
    </xf>
    <xf numFmtId="4" fontId="48" fillId="0" borderId="29" xfId="66" applyNumberFormat="1" applyFont="1" applyFill="1" applyBorder="1" applyAlignment="1">
      <alignment horizontal="right"/>
      <protection/>
    </xf>
    <xf numFmtId="0" fontId="13" fillId="0" borderId="28" xfId="66" applyFont="1" applyBorder="1" applyAlignment="1" applyProtection="1">
      <alignment horizontal="center"/>
      <protection/>
    </xf>
    <xf numFmtId="0" fontId="21" fillId="0" borderId="36" xfId="66" applyFont="1" applyBorder="1" applyAlignment="1">
      <alignment horizontal="center"/>
      <protection/>
    </xf>
    <xf numFmtId="164" fontId="88" fillId="0" borderId="36" xfId="66" applyNumberFormat="1" applyFont="1" applyBorder="1" applyAlignment="1" applyProtection="1">
      <alignment horizontal="center"/>
      <protection/>
    </xf>
    <xf numFmtId="0" fontId="21" fillId="0" borderId="36" xfId="66" applyFont="1" applyBorder="1" applyAlignment="1" applyProtection="1">
      <alignment horizontal="center"/>
      <protection/>
    </xf>
    <xf numFmtId="165" fontId="21" fillId="0" borderId="36" xfId="66" applyNumberFormat="1" applyFont="1" applyBorder="1" applyAlignment="1" applyProtection="1">
      <alignment horizontal="center"/>
      <protection/>
    </xf>
    <xf numFmtId="165" fontId="114" fillId="37" borderId="36" xfId="66" applyNumberFormat="1" applyFont="1" applyFill="1" applyBorder="1" applyAlignment="1" applyProtection="1">
      <alignment horizontal="center"/>
      <protection/>
    </xf>
    <xf numFmtId="174" fontId="108" fillId="34" borderId="36" xfId="66" applyNumberFormat="1" applyFont="1" applyFill="1" applyBorder="1" applyAlignment="1" applyProtection="1">
      <alignment horizontal="center"/>
      <protection/>
    </xf>
    <xf numFmtId="168" fontId="21" fillId="0" borderId="36" xfId="66" applyNumberFormat="1" applyFont="1" applyBorder="1" applyAlignment="1" applyProtection="1">
      <alignment horizontal="center"/>
      <protection/>
    </xf>
    <xf numFmtId="173" fontId="13" fillId="0" borderId="36" xfId="66" applyNumberFormat="1" applyFont="1" applyBorder="1" applyAlignment="1" applyProtection="1" quotePrefix="1">
      <alignment horizontal="center"/>
      <protection/>
    </xf>
    <xf numFmtId="2" fontId="64" fillId="42" borderId="36" xfId="66" applyNumberFormat="1" applyFont="1" applyFill="1" applyBorder="1" applyAlignment="1" applyProtection="1">
      <alignment horizontal="center"/>
      <protection/>
    </xf>
    <xf numFmtId="2" fontId="80" fillId="51" borderId="36" xfId="66" applyNumberFormat="1" applyFont="1" applyFill="1" applyBorder="1" applyAlignment="1" applyProtection="1">
      <alignment horizontal="center"/>
      <protection/>
    </xf>
    <xf numFmtId="168" fontId="87" fillId="35" borderId="37" xfId="66" applyNumberFormat="1" applyFont="1" applyFill="1" applyBorder="1" applyAlignment="1" applyProtection="1" quotePrefix="1">
      <alignment horizontal="center"/>
      <protection/>
    </xf>
    <xf numFmtId="168" fontId="87" fillId="35" borderId="88" xfId="66" applyNumberFormat="1" applyFont="1" applyFill="1" applyBorder="1" applyAlignment="1" applyProtection="1" quotePrefix="1">
      <alignment horizontal="center"/>
      <protection/>
    </xf>
    <xf numFmtId="4" fontId="87" fillId="35" borderId="50" xfId="66" applyNumberFormat="1" applyFont="1" applyFill="1" applyBorder="1" applyAlignment="1" applyProtection="1">
      <alignment horizontal="center"/>
      <protection/>
    </xf>
    <xf numFmtId="168" fontId="64" fillId="52" borderId="37" xfId="66" applyNumberFormat="1" applyFont="1" applyFill="1" applyBorder="1" applyAlignment="1" applyProtection="1" quotePrefix="1">
      <alignment horizontal="center"/>
      <protection/>
    </xf>
    <xf numFmtId="168" fontId="64" fillId="52" borderId="88" xfId="66" applyNumberFormat="1" applyFont="1" applyFill="1" applyBorder="1" applyAlignment="1" applyProtection="1" quotePrefix="1">
      <alignment horizontal="center"/>
      <protection/>
    </xf>
    <xf numFmtId="4" fontId="64" fillId="52" borderId="50" xfId="66" applyNumberFormat="1" applyFont="1" applyFill="1" applyBorder="1" applyAlignment="1" applyProtection="1">
      <alignment horizontal="center"/>
      <protection/>
    </xf>
    <xf numFmtId="4" fontId="64" fillId="39" borderId="36" xfId="66" applyNumberFormat="1" applyFont="1" applyFill="1" applyBorder="1" applyAlignment="1" applyProtection="1">
      <alignment horizontal="center"/>
      <protection/>
    </xf>
    <xf numFmtId="4" fontId="64" fillId="53" borderId="36" xfId="66" applyNumberFormat="1" applyFont="1" applyFill="1" applyBorder="1" applyAlignment="1" applyProtection="1">
      <alignment horizontal="center"/>
      <protection/>
    </xf>
    <xf numFmtId="4" fontId="49" fillId="0" borderId="36" xfId="66" applyNumberFormat="1" applyFont="1" applyBorder="1" applyAlignment="1" applyProtection="1">
      <alignment horizontal="center"/>
      <protection/>
    </xf>
    <xf numFmtId="168" fontId="65" fillId="0" borderId="36" xfId="66" applyNumberFormat="1" applyFont="1" applyFill="1" applyBorder="1" applyAlignment="1">
      <alignment horizontal="center"/>
      <protection/>
    </xf>
    <xf numFmtId="2" fontId="108" fillId="42" borderId="21" xfId="66" applyNumberFormat="1" applyFont="1" applyFill="1" applyBorder="1" applyAlignment="1" applyProtection="1">
      <alignment horizontal="center"/>
      <protection/>
    </xf>
    <xf numFmtId="2" fontId="76" fillId="51" borderId="21" xfId="66" applyNumberFormat="1" applyFont="1" applyFill="1" applyBorder="1" applyAlignment="1" applyProtection="1">
      <alignment horizontal="center"/>
      <protection/>
    </xf>
    <xf numFmtId="2" fontId="109" fillId="35" borderId="21" xfId="66" applyNumberFormat="1" applyFont="1" applyFill="1" applyBorder="1" applyAlignment="1" applyProtection="1">
      <alignment horizontal="center"/>
      <protection/>
    </xf>
    <xf numFmtId="2" fontId="108" fillId="52" borderId="21" xfId="66" applyNumberFormat="1" applyFont="1" applyFill="1" applyBorder="1" applyAlignment="1" applyProtection="1">
      <alignment horizontal="center"/>
      <protection/>
    </xf>
    <xf numFmtId="2" fontId="108" fillId="39" borderId="21" xfId="66" applyNumberFormat="1" applyFont="1" applyFill="1" applyBorder="1" applyAlignment="1" applyProtection="1">
      <alignment horizontal="center"/>
      <protection/>
    </xf>
    <xf numFmtId="2" fontId="108" fillId="53" borderId="21" xfId="66" applyNumberFormat="1" applyFont="1" applyFill="1" applyBorder="1" applyAlignment="1" applyProtection="1">
      <alignment horizontal="center"/>
      <protection/>
    </xf>
    <xf numFmtId="2" fontId="21" fillId="0" borderId="44" xfId="66" applyNumberFormat="1" applyFont="1" applyBorder="1" applyAlignment="1" applyProtection="1">
      <alignment horizontal="center"/>
      <protection/>
    </xf>
    <xf numFmtId="7" fontId="48" fillId="0" borderId="21" xfId="66" applyNumberFormat="1" applyFont="1" applyBorder="1" applyAlignment="1" applyProtection="1">
      <alignment horizontal="right"/>
      <protection/>
    </xf>
    <xf numFmtId="2" fontId="108" fillId="0" borderId="22" xfId="66" applyNumberFormat="1" applyFont="1" applyFill="1" applyBorder="1" applyAlignment="1" applyProtection="1">
      <alignment horizontal="center"/>
      <protection/>
    </xf>
    <xf numFmtId="2" fontId="76" fillId="0" borderId="22" xfId="66" applyNumberFormat="1" applyFont="1" applyFill="1" applyBorder="1" applyAlignment="1" applyProtection="1">
      <alignment horizontal="center"/>
      <protection/>
    </xf>
    <xf numFmtId="2" fontId="109" fillId="0" borderId="22" xfId="66" applyNumberFormat="1" applyFont="1" applyFill="1" applyBorder="1" applyAlignment="1" applyProtection="1">
      <alignment horizontal="center"/>
      <protection/>
    </xf>
    <xf numFmtId="0" fontId="60" fillId="48" borderId="21" xfId="66" applyFont="1" applyFill="1" applyBorder="1" applyAlignment="1" applyProtection="1">
      <alignment horizontal="center" vertical="center"/>
      <protection/>
    </xf>
    <xf numFmtId="0" fontId="30" fillId="0" borderId="22" xfId="66" applyFont="1" applyFill="1" applyBorder="1" applyAlignment="1" applyProtection="1">
      <alignment horizontal="centerContinuous" vertical="center"/>
      <protection/>
    </xf>
    <xf numFmtId="0" fontId="62" fillId="48" borderId="66" xfId="66" applyFont="1" applyFill="1" applyBorder="1" applyAlignment="1">
      <alignment vertical="center" wrapText="1"/>
      <protection/>
    </xf>
    <xf numFmtId="0" fontId="62" fillId="48" borderId="41" xfId="66" applyFont="1" applyFill="1" applyBorder="1" applyAlignment="1">
      <alignment vertical="center" wrapText="1"/>
      <protection/>
    </xf>
    <xf numFmtId="0" fontId="62" fillId="48" borderId="44" xfId="66" applyFont="1" applyFill="1" applyBorder="1" applyAlignment="1">
      <alignment vertical="center" wrapText="1"/>
      <protection/>
    </xf>
    <xf numFmtId="0" fontId="110" fillId="48" borderId="28" xfId="66" applyFont="1" applyFill="1" applyBorder="1" applyAlignment="1">
      <alignment horizontal="center"/>
      <protection/>
    </xf>
    <xf numFmtId="0" fontId="29" fillId="48" borderId="58" xfId="66" applyFont="1" applyFill="1" applyBorder="1" applyAlignment="1">
      <alignment horizontal="left"/>
      <protection/>
    </xf>
    <xf numFmtId="0" fontId="29" fillId="48" borderId="0" xfId="66" applyFont="1" applyFill="1" applyBorder="1" applyAlignment="1">
      <alignment horizontal="left"/>
      <protection/>
    </xf>
    <xf numFmtId="0" fontId="29" fillId="48" borderId="57" xfId="66" applyFont="1" applyFill="1" applyBorder="1" applyAlignment="1">
      <alignment horizontal="left"/>
      <protection/>
    </xf>
    <xf numFmtId="0" fontId="13" fillId="0" borderId="32" xfId="66" applyFont="1" applyBorder="1" applyAlignment="1" applyProtection="1">
      <alignment horizontal="center"/>
      <protection/>
    </xf>
    <xf numFmtId="164" fontId="13" fillId="0" borderId="27" xfId="66" applyNumberFormat="1" applyFont="1" applyBorder="1" applyAlignment="1" applyProtection="1">
      <alignment horizontal="center"/>
      <protection/>
    </xf>
    <xf numFmtId="1" fontId="13" fillId="0" borderId="49" xfId="66" applyNumberFormat="1" applyFont="1" applyBorder="1" applyAlignment="1" applyProtection="1">
      <alignment horizontal="center"/>
      <protection/>
    </xf>
    <xf numFmtId="168" fontId="110" fillId="48" borderId="28" xfId="66" applyNumberFormat="1" applyFont="1" applyFill="1" applyBorder="1" applyAlignment="1" applyProtection="1">
      <alignment horizontal="center"/>
      <protection/>
    </xf>
    <xf numFmtId="168" fontId="13" fillId="0" borderId="28" xfId="66" applyNumberFormat="1" applyFont="1" applyFill="1" applyBorder="1" applyAlignment="1" applyProtection="1">
      <alignment horizontal="center"/>
      <protection/>
    </xf>
    <xf numFmtId="168" fontId="64" fillId="48" borderId="58" xfId="66" applyNumberFormat="1" applyFont="1" applyFill="1" applyBorder="1" applyAlignment="1" applyProtection="1" quotePrefix="1">
      <alignment horizontal="center"/>
      <protection/>
    </xf>
    <xf numFmtId="168" fontId="64" fillId="48" borderId="0" xfId="66" applyNumberFormat="1" applyFont="1" applyFill="1" applyBorder="1" applyAlignment="1" applyProtection="1" quotePrefix="1">
      <alignment horizontal="center"/>
      <protection/>
    </xf>
    <xf numFmtId="168" fontId="64" fillId="48" borderId="57" xfId="66" applyNumberFormat="1" applyFont="1" applyFill="1" applyBorder="1" applyAlignment="1" applyProtection="1" quotePrefix="1">
      <alignment horizontal="center"/>
      <protection/>
    </xf>
    <xf numFmtId="168" fontId="110" fillId="48" borderId="36" xfId="66" applyNumberFormat="1" applyFont="1" applyFill="1" applyBorder="1" applyAlignment="1" applyProtection="1">
      <alignment horizontal="center"/>
      <protection/>
    </xf>
    <xf numFmtId="168" fontId="29" fillId="48" borderId="69" xfId="66" applyNumberFormat="1" applyFont="1" applyFill="1" applyBorder="1" applyAlignment="1" applyProtection="1" quotePrefix="1">
      <alignment horizontal="center"/>
      <protection/>
    </xf>
    <xf numFmtId="168" fontId="29" fillId="48" borderId="62" xfId="66" applyNumberFormat="1" applyFont="1" applyFill="1" applyBorder="1" applyAlignment="1" applyProtection="1" quotePrefix="1">
      <alignment horizontal="center"/>
      <protection/>
    </xf>
    <xf numFmtId="168" fontId="29" fillId="48" borderId="50" xfId="66" applyNumberFormat="1" applyFont="1" applyFill="1" applyBorder="1" applyAlignment="1" applyProtection="1" quotePrefix="1">
      <alignment horizontal="center"/>
      <protection/>
    </xf>
    <xf numFmtId="164" fontId="13" fillId="0" borderId="41" xfId="66" applyNumberFormat="1" applyFont="1" applyFill="1" applyBorder="1" applyAlignment="1" applyProtection="1">
      <alignment horizontal="center"/>
      <protection/>
    </xf>
    <xf numFmtId="2" fontId="59" fillId="0" borderId="41" xfId="66" applyNumberFormat="1" applyFont="1" applyFill="1" applyBorder="1" applyAlignment="1">
      <alignment horizontal="center"/>
      <protection/>
    </xf>
    <xf numFmtId="168" fontId="49" fillId="0" borderId="41" xfId="66" applyNumberFormat="1" applyFont="1" applyFill="1" applyBorder="1" applyAlignment="1" applyProtection="1" quotePrefix="1">
      <alignment horizontal="center"/>
      <protection/>
    </xf>
    <xf numFmtId="168" fontId="13" fillId="0" borderId="41" xfId="66" applyNumberFormat="1" applyFont="1" applyFill="1" applyBorder="1" applyAlignment="1">
      <alignment horizontal="center"/>
      <protection/>
    </xf>
    <xf numFmtId="8" fontId="77" fillId="0" borderId="21" xfId="54" applyNumberFormat="1" applyFont="1" applyFill="1" applyBorder="1" applyAlignment="1">
      <alignment horizontal="right"/>
    </xf>
    <xf numFmtId="0" fontId="72" fillId="43" borderId="23" xfId="66" applyFont="1" applyFill="1" applyBorder="1" applyAlignment="1" applyProtection="1">
      <alignment horizontal="center"/>
      <protection/>
    </xf>
    <xf numFmtId="168" fontId="51" fillId="36" borderId="24" xfId="66" applyNumberFormat="1" applyFont="1" applyFill="1" applyBorder="1" applyAlignment="1" applyProtection="1" quotePrefix="1">
      <alignment horizontal="center"/>
      <protection/>
    </xf>
    <xf numFmtId="168" fontId="51" fillId="36" borderId="26" xfId="66" applyNumberFormat="1" applyFont="1" applyFill="1" applyBorder="1" applyAlignment="1" applyProtection="1" quotePrefix="1">
      <alignment horizontal="center"/>
      <protection/>
    </xf>
    <xf numFmtId="168" fontId="64" fillId="35" borderId="23" xfId="66" applyNumberFormat="1" applyFont="1" applyFill="1" applyBorder="1" applyAlignment="1" applyProtection="1" quotePrefix="1">
      <alignment horizontal="center"/>
      <protection/>
    </xf>
    <xf numFmtId="0" fontId="74" fillId="0" borderId="33" xfId="74" applyFont="1" applyBorder="1" applyAlignment="1" applyProtection="1">
      <alignment horizontal="center"/>
      <protection locked="0"/>
    </xf>
    <xf numFmtId="168" fontId="110" fillId="48" borderId="35" xfId="66" applyNumberFormat="1" applyFont="1" applyFill="1" applyBorder="1" applyAlignment="1" applyProtection="1">
      <alignment horizontal="center"/>
      <protection/>
    </xf>
    <xf numFmtId="22" fontId="13" fillId="0" borderId="30" xfId="74" applyNumberFormat="1" applyFont="1" applyBorder="1" applyAlignment="1" applyProtection="1">
      <alignment horizontal="center"/>
      <protection locked="0"/>
    </xf>
    <xf numFmtId="22" fontId="13" fillId="0" borderId="28" xfId="74" applyNumberFormat="1" applyFont="1" applyBorder="1" applyAlignment="1" applyProtection="1">
      <alignment horizontal="center"/>
      <protection locked="0"/>
    </xf>
    <xf numFmtId="168" fontId="13" fillId="0" borderId="29" xfId="74" applyNumberFormat="1" applyFont="1" applyBorder="1" applyAlignment="1" applyProtection="1">
      <alignment horizontal="center"/>
      <protection locked="0"/>
    </xf>
    <xf numFmtId="2" fontId="72" fillId="43" borderId="28" xfId="66" applyNumberFormat="1" applyFont="1" applyFill="1" applyBorder="1" applyAlignment="1" applyProtection="1">
      <alignment horizontal="center"/>
      <protection/>
    </xf>
    <xf numFmtId="22" fontId="13" fillId="0" borderId="27" xfId="66" applyNumberFormat="1" applyFont="1" applyFill="1" applyBorder="1" applyAlignment="1" applyProtection="1">
      <alignment horizontal="center"/>
      <protection/>
    </xf>
    <xf numFmtId="4" fontId="13" fillId="0" borderId="27" xfId="66" applyNumberFormat="1" applyFont="1" applyFill="1" applyBorder="1" applyAlignment="1" applyProtection="1">
      <alignment horizontal="center"/>
      <protection/>
    </xf>
    <xf numFmtId="3" fontId="13" fillId="0" borderId="27" xfId="66" applyNumberFormat="1" applyFont="1" applyFill="1" applyBorder="1" applyAlignment="1" applyProtection="1">
      <alignment horizontal="center"/>
      <protection/>
    </xf>
    <xf numFmtId="168" fontId="13" fillId="0" borderId="27" xfId="66" applyNumberFormat="1" applyFont="1" applyFill="1" applyBorder="1" applyAlignment="1" applyProtection="1">
      <alignment horizontal="center"/>
      <protection/>
    </xf>
    <xf numFmtId="168" fontId="13" fillId="0" borderId="27" xfId="66" applyNumberFormat="1" applyFont="1" applyFill="1" applyBorder="1" applyAlignment="1">
      <alignment horizontal="center"/>
      <protection/>
    </xf>
    <xf numFmtId="0" fontId="13" fillId="0" borderId="34" xfId="59" applyFont="1" applyBorder="1" applyAlignment="1" applyProtection="1">
      <alignment horizontal="center"/>
      <protection locked="0"/>
    </xf>
    <xf numFmtId="8" fontId="77" fillId="0" borderId="22" xfId="54" applyNumberFormat="1" applyFont="1" applyFill="1" applyBorder="1" applyAlignment="1">
      <alignment horizontal="right"/>
    </xf>
    <xf numFmtId="0" fontId="13" fillId="0" borderId="33" xfId="66" applyFont="1" applyBorder="1" applyAlignment="1" applyProtection="1">
      <alignment horizontal="center"/>
      <protection locked="0"/>
    </xf>
    <xf numFmtId="22" fontId="13" fillId="0" borderId="48" xfId="66" applyNumberFormat="1" applyFont="1" applyBorder="1" applyAlignment="1" applyProtection="1">
      <alignment horizontal="center"/>
      <protection locked="0"/>
    </xf>
    <xf numFmtId="22" fontId="13" fillId="0" borderId="27" xfId="66" applyNumberFormat="1" applyFont="1" applyBorder="1" applyAlignment="1" applyProtection="1">
      <alignment horizontal="center"/>
      <protection locked="0"/>
    </xf>
    <xf numFmtId="168" fontId="13" fillId="0" borderId="47" xfId="66" applyNumberFormat="1" applyFont="1" applyBorder="1" applyAlignment="1" applyProtection="1">
      <alignment horizontal="center"/>
      <protection locked="0"/>
    </xf>
    <xf numFmtId="0" fontId="13" fillId="0" borderId="60" xfId="66" applyFont="1" applyBorder="1" applyAlignment="1" applyProtection="1">
      <alignment horizontal="center"/>
      <protection/>
    </xf>
    <xf numFmtId="22" fontId="13" fillId="0" borderId="30" xfId="66" applyNumberFormat="1" applyFont="1" applyBorder="1" applyAlignment="1" applyProtection="1">
      <alignment horizontal="center"/>
      <protection locked="0"/>
    </xf>
    <xf numFmtId="22" fontId="13" fillId="0" borderId="33" xfId="66" applyNumberFormat="1" applyFont="1" applyBorder="1" applyAlignment="1" applyProtection="1">
      <alignment horizontal="center"/>
      <protection locked="0"/>
    </xf>
    <xf numFmtId="168" fontId="13" fillId="0" borderId="29" xfId="66" applyNumberFormat="1" applyFont="1" applyBorder="1" applyAlignment="1" applyProtection="1">
      <alignment horizontal="center"/>
      <protection locked="0"/>
    </xf>
    <xf numFmtId="0" fontId="13" fillId="0" borderId="60" xfId="66" applyFont="1" applyBorder="1" applyAlignment="1" applyProtection="1">
      <alignment horizontal="center"/>
      <protection locked="0"/>
    </xf>
    <xf numFmtId="8" fontId="77" fillId="0" borderId="0" xfId="54" applyNumberFormat="1" applyFont="1" applyFill="1" applyBorder="1" applyAlignment="1">
      <alignment horizontal="right"/>
    </xf>
    <xf numFmtId="4" fontId="77" fillId="0" borderId="0" xfId="66" applyNumberFormat="1" applyFont="1" applyFill="1" applyBorder="1" applyAlignment="1">
      <alignment horizontal="right"/>
      <protection/>
    </xf>
    <xf numFmtId="7" fontId="4" fillId="0" borderId="0" xfId="66" applyNumberFormat="1" applyFont="1" applyBorder="1" applyAlignment="1">
      <alignment horizontal="centerContinuous"/>
      <protection/>
    </xf>
    <xf numFmtId="168" fontId="89" fillId="0" borderId="0" xfId="74" applyNumberFormat="1" applyFont="1" applyBorder="1" applyAlignment="1" applyProtection="1" quotePrefix="1">
      <alignment horizontal="left"/>
      <protection/>
    </xf>
    <xf numFmtId="168" fontId="21" fillId="0" borderId="0" xfId="66" applyNumberFormat="1" applyFont="1" applyBorder="1">
      <alignment/>
      <protection/>
    </xf>
    <xf numFmtId="7" fontId="21" fillId="0" borderId="0" xfId="66" applyNumberFormat="1" applyFont="1" applyBorder="1" applyAlignment="1">
      <alignment horizontal="centerContinuous"/>
      <protection/>
    </xf>
    <xf numFmtId="7" fontId="89" fillId="0" borderId="0" xfId="66" applyNumberFormat="1" applyFont="1" applyFill="1" applyBorder="1" applyAlignment="1">
      <alignment horizontal="center"/>
      <protection/>
    </xf>
    <xf numFmtId="0" fontId="115" fillId="0" borderId="16" xfId="66" applyFont="1" applyBorder="1" applyAlignment="1">
      <alignment horizontal="center"/>
      <protection/>
    </xf>
    <xf numFmtId="7" fontId="4" fillId="0" borderId="17" xfId="66" applyNumberFormat="1" applyFont="1" applyBorder="1" applyAlignment="1">
      <alignment horizontal="center"/>
      <protection/>
    </xf>
    <xf numFmtId="0" fontId="81" fillId="0" borderId="0" xfId="73" applyFont="1" applyFill="1">
      <alignment/>
      <protection/>
    </xf>
    <xf numFmtId="0" fontId="82" fillId="0" borderId="0" xfId="73" applyFont="1" applyAlignment="1">
      <alignment horizontal="centerContinuous"/>
      <protection/>
    </xf>
    <xf numFmtId="0" fontId="81" fillId="0" borderId="0" xfId="73" applyFont="1" applyAlignment="1">
      <alignment horizontal="centerContinuous"/>
      <protection/>
    </xf>
    <xf numFmtId="0" fontId="81" fillId="0" borderId="0" xfId="73" applyFont="1">
      <alignment/>
      <protection/>
    </xf>
    <xf numFmtId="0" fontId="6" fillId="0" borderId="0" xfId="73" applyFont="1" applyFill="1" applyBorder="1" applyAlignment="1" applyProtection="1">
      <alignment horizontal="center"/>
      <protection/>
    </xf>
    <xf numFmtId="0" fontId="6" fillId="0" borderId="0" xfId="73" applyFont="1" applyFill="1" applyBorder="1" applyAlignment="1" applyProtection="1">
      <alignment horizontal="left"/>
      <protection/>
    </xf>
    <xf numFmtId="0" fontId="13" fillId="0" borderId="12" xfId="73" applyFont="1" applyBorder="1" applyAlignment="1" applyProtection="1">
      <alignment horizontal="left"/>
      <protection/>
    </xf>
    <xf numFmtId="0" fontId="3" fillId="0" borderId="12" xfId="73" applyBorder="1">
      <alignment/>
      <protection/>
    </xf>
    <xf numFmtId="0" fontId="20" fillId="0" borderId="0" xfId="73" applyFont="1" applyBorder="1" applyAlignment="1">
      <alignment horizontal="left"/>
      <protection/>
    </xf>
    <xf numFmtId="0" fontId="19" fillId="0" borderId="0" xfId="73" applyFont="1" applyBorder="1">
      <alignment/>
      <protection/>
    </xf>
    <xf numFmtId="0" fontId="23" fillId="0" borderId="14" xfId="73" applyFont="1" applyBorder="1">
      <alignment/>
      <protection/>
    </xf>
    <xf numFmtId="0" fontId="23" fillId="0" borderId="0" xfId="73" applyFont="1" applyBorder="1">
      <alignment/>
      <protection/>
    </xf>
    <xf numFmtId="0" fontId="17" fillId="0" borderId="0" xfId="73" applyFont="1" applyBorder="1">
      <alignment/>
      <protection/>
    </xf>
    <xf numFmtId="0" fontId="23" fillId="0" borderId="15" xfId="73" applyFont="1" applyFill="1" applyBorder="1">
      <alignment/>
      <protection/>
    </xf>
    <xf numFmtId="0" fontId="13" fillId="0" borderId="0" xfId="73" applyFont="1" applyBorder="1" applyProtection="1">
      <alignment/>
      <protection/>
    </xf>
    <xf numFmtId="0" fontId="3" fillId="0" borderId="0" xfId="73" applyNumberFormat="1" applyAlignment="1">
      <alignment horizontal="centerContinuous"/>
      <protection/>
    </xf>
    <xf numFmtId="0" fontId="23" fillId="0" borderId="0" xfId="73" applyFont="1" applyBorder="1" applyAlignment="1">
      <alignment horizontal="centerContinuous"/>
      <protection/>
    </xf>
    <xf numFmtId="0" fontId="3" fillId="0" borderId="0" xfId="73" applyAlignment="1">
      <alignment horizontal="centerContinuous"/>
      <protection/>
    </xf>
    <xf numFmtId="0" fontId="23" fillId="0" borderId="0" xfId="73" applyFont="1" applyAlignment="1">
      <alignment horizontal="centerContinuous"/>
      <protection/>
    </xf>
    <xf numFmtId="0" fontId="23" fillId="0" borderId="0" xfId="73" applyFont="1" applyAlignment="1">
      <alignment/>
      <protection/>
    </xf>
    <xf numFmtId="0" fontId="23" fillId="0" borderId="15" xfId="73" applyFont="1" applyBorder="1" applyAlignment="1">
      <alignment horizontal="centerContinuous"/>
      <protection/>
    </xf>
    <xf numFmtId="0" fontId="13" fillId="0" borderId="0" xfId="73" applyFont="1" applyBorder="1" applyAlignment="1">
      <alignment horizontal="center"/>
      <protection/>
    </xf>
    <xf numFmtId="0" fontId="107" fillId="0" borderId="0" xfId="73" applyFont="1" applyBorder="1" applyAlignment="1" quotePrefix="1">
      <alignment horizontal="left"/>
      <protection/>
    </xf>
    <xf numFmtId="168" fontId="48" fillId="0" borderId="0" xfId="73" applyNumberFormat="1" applyFont="1" applyBorder="1" applyAlignment="1" applyProtection="1">
      <alignment horizontal="left"/>
      <protection/>
    </xf>
    <xf numFmtId="0" fontId="3" fillId="0" borderId="0" xfId="73" applyBorder="1">
      <alignment/>
      <protection/>
    </xf>
    <xf numFmtId="0" fontId="10" fillId="0" borderId="0" xfId="73" applyFont="1" applyBorder="1" applyAlignment="1">
      <alignment horizontal="center"/>
      <protection/>
    </xf>
    <xf numFmtId="0" fontId="10" fillId="0" borderId="0" xfId="73" applyFont="1" applyBorder="1">
      <alignment/>
      <protection/>
    </xf>
    <xf numFmtId="0" fontId="21" fillId="0" borderId="0" xfId="73" applyFont="1">
      <alignment/>
      <protection/>
    </xf>
    <xf numFmtId="0" fontId="21" fillId="0" borderId="14" xfId="73" applyFont="1" applyBorder="1">
      <alignment/>
      <protection/>
    </xf>
    <xf numFmtId="0" fontId="21" fillId="0" borderId="0" xfId="73" applyFont="1" applyBorder="1">
      <alignment/>
      <protection/>
    </xf>
    <xf numFmtId="0" fontId="21" fillId="0" borderId="0" xfId="73" applyFont="1" applyBorder="1" applyAlignment="1">
      <alignment horizontal="right"/>
      <protection/>
    </xf>
    <xf numFmtId="7" fontId="21" fillId="0" borderId="0" xfId="73" applyNumberFormat="1" applyFont="1" applyBorder="1" applyAlignment="1">
      <alignment horizontal="center"/>
      <protection/>
    </xf>
    <xf numFmtId="0" fontId="21" fillId="0" borderId="0" xfId="73" applyFont="1" applyBorder="1" applyAlignment="1">
      <alignment horizontal="center"/>
      <protection/>
    </xf>
    <xf numFmtId="0" fontId="83" fillId="0" borderId="0" xfId="73" applyFont="1" applyBorder="1" applyAlignment="1" quotePrefix="1">
      <alignment horizontal="left"/>
      <protection/>
    </xf>
    <xf numFmtId="0" fontId="21" fillId="0" borderId="15" xfId="73" applyFont="1" applyFill="1" applyBorder="1">
      <alignment/>
      <protection/>
    </xf>
    <xf numFmtId="0" fontId="21" fillId="0" borderId="0" xfId="73" applyFont="1" applyBorder="1" applyAlignment="1" applyProtection="1">
      <alignment horizontal="left"/>
      <protection/>
    </xf>
    <xf numFmtId="174" fontId="21" fillId="0" borderId="0" xfId="73" applyNumberFormat="1" applyFont="1" applyBorder="1" applyAlignment="1">
      <alignment horizontal="center"/>
      <protection/>
    </xf>
    <xf numFmtId="168" fontId="21" fillId="0" borderId="0" xfId="73" applyNumberFormat="1" applyFont="1" applyBorder="1" applyAlignment="1" applyProtection="1">
      <alignment horizontal="left"/>
      <protection/>
    </xf>
    <xf numFmtId="0" fontId="21" fillId="0" borderId="0" xfId="73" applyFont="1" applyAlignment="1">
      <alignment horizontal="right"/>
      <protection/>
    </xf>
    <xf numFmtId="10" fontId="21" fillId="0" borderId="0" xfId="73" applyNumberFormat="1" applyFont="1" applyBorder="1" applyAlignment="1" applyProtection="1">
      <alignment horizontal="right"/>
      <protection/>
    </xf>
    <xf numFmtId="183" fontId="21" fillId="0" borderId="0" xfId="73" applyNumberFormat="1" applyFont="1" applyBorder="1">
      <alignment/>
      <protection/>
    </xf>
    <xf numFmtId="0" fontId="21" fillId="0" borderId="0" xfId="73" applyFont="1" applyBorder="1" applyAlignment="1" applyProtection="1">
      <alignment horizontal="center"/>
      <protection/>
    </xf>
    <xf numFmtId="0" fontId="22" fillId="0" borderId="0" xfId="73" applyFont="1" applyBorder="1">
      <alignment/>
      <protection/>
    </xf>
    <xf numFmtId="168" fontId="4" fillId="0" borderId="16" xfId="73" applyNumberFormat="1" applyFont="1" applyBorder="1" applyAlignment="1" applyProtection="1">
      <alignment horizontal="center"/>
      <protection/>
    </xf>
    <xf numFmtId="183" fontId="21" fillId="0" borderId="17" xfId="73" applyNumberFormat="1" applyFont="1" applyBorder="1" applyAlignment="1" applyProtection="1">
      <alignment horizontal="centerContinuous"/>
      <protection/>
    </xf>
    <xf numFmtId="0" fontId="13" fillId="0" borderId="0" xfId="73" applyFont="1" applyBorder="1" applyAlignment="1" applyProtection="1">
      <alignment horizontal="center"/>
      <protection/>
    </xf>
    <xf numFmtId="164" fontId="30" fillId="0" borderId="17" xfId="73" applyNumberFormat="1" applyFont="1" applyBorder="1" applyAlignment="1" applyProtection="1">
      <alignment horizontal="center" vertical="center" wrapText="1"/>
      <protection/>
    </xf>
    <xf numFmtId="0" fontId="30" fillId="0" borderId="22" xfId="73" applyFont="1" applyBorder="1" applyAlignment="1" applyProtection="1">
      <alignment horizontal="center" vertical="center" wrapText="1"/>
      <protection/>
    </xf>
    <xf numFmtId="168" fontId="30" fillId="0" borderId="21" xfId="73" applyNumberFormat="1" applyFont="1" applyBorder="1" applyAlignment="1" applyProtection="1">
      <alignment horizontal="center" vertical="center"/>
      <protection/>
    </xf>
    <xf numFmtId="168" fontId="60" fillId="37" borderId="21" xfId="73" applyNumberFormat="1" applyFont="1" applyFill="1" applyBorder="1" applyAlignment="1" applyProtection="1">
      <alignment horizontal="center" vertical="center"/>
      <protection/>
    </xf>
    <xf numFmtId="0" fontId="62" fillId="42" borderId="21" xfId="73" applyFont="1" applyFill="1" applyBorder="1" applyAlignment="1">
      <alignment horizontal="center" vertical="center" wrapText="1"/>
      <protection/>
    </xf>
    <xf numFmtId="0" fontId="61" fillId="51" borderId="21" xfId="73" applyFont="1" applyFill="1" applyBorder="1" applyAlignment="1">
      <alignment horizontal="center" vertical="center" wrapText="1"/>
      <protection/>
    </xf>
    <xf numFmtId="0" fontId="84" fillId="35" borderId="16" xfId="73" applyFont="1" applyFill="1" applyBorder="1" applyAlignment="1" applyProtection="1">
      <alignment horizontal="centerContinuous" vertical="center" wrapText="1"/>
      <protection/>
    </xf>
    <xf numFmtId="0" fontId="85" fillId="35" borderId="22" xfId="73" applyFont="1" applyFill="1" applyBorder="1" applyAlignment="1">
      <alignment horizontal="centerContinuous"/>
      <protection/>
    </xf>
    <xf numFmtId="0" fontId="84" fillId="35" borderId="17" xfId="73" applyFont="1" applyFill="1" applyBorder="1" applyAlignment="1">
      <alignment horizontal="centerContinuous" vertical="center"/>
      <protection/>
    </xf>
    <xf numFmtId="0" fontId="62" fillId="52" borderId="16" xfId="73" applyFont="1" applyFill="1" applyBorder="1" applyAlignment="1">
      <alignment horizontal="centerContinuous" vertical="center" wrapText="1"/>
      <protection/>
    </xf>
    <xf numFmtId="0" fontId="86" fillId="52" borderId="22" xfId="73" applyFont="1" applyFill="1" applyBorder="1" applyAlignment="1">
      <alignment horizontal="centerContinuous"/>
      <protection/>
    </xf>
    <xf numFmtId="0" fontId="62" fillId="52" borderId="17" xfId="73" applyFont="1" applyFill="1" applyBorder="1" applyAlignment="1">
      <alignment horizontal="centerContinuous" vertical="center"/>
      <protection/>
    </xf>
    <xf numFmtId="0" fontId="62" fillId="39" borderId="21" xfId="73" applyFont="1" applyFill="1" applyBorder="1" applyAlignment="1">
      <alignment horizontal="centerContinuous" vertical="center" wrapText="1"/>
      <protection/>
    </xf>
    <xf numFmtId="0" fontId="62" fillId="53" borderId="21" xfId="73" applyFont="1" applyFill="1" applyBorder="1" applyAlignment="1">
      <alignment horizontal="centerContinuous" vertical="center" wrapText="1"/>
      <protection/>
    </xf>
    <xf numFmtId="0" fontId="30" fillId="0" borderId="17" xfId="73" applyFont="1" applyBorder="1" applyAlignment="1">
      <alignment horizontal="center" vertical="center" wrapText="1"/>
      <protection/>
    </xf>
    <xf numFmtId="0" fontId="13" fillId="0" borderId="15" xfId="73" applyFont="1" applyFill="1" applyBorder="1" applyAlignment="1">
      <alignment horizontal="center"/>
      <protection/>
    </xf>
    <xf numFmtId="0" fontId="13" fillId="0" borderId="28" xfId="73" applyFont="1" applyBorder="1" applyAlignment="1">
      <alignment horizontal="center"/>
      <protection/>
    </xf>
    <xf numFmtId="0" fontId="21" fillId="0" borderId="28" xfId="73" applyFont="1" applyBorder="1">
      <alignment/>
      <protection/>
    </xf>
    <xf numFmtId="164" fontId="21" fillId="0" borderId="29" xfId="73" applyNumberFormat="1" applyFont="1" applyBorder="1" applyProtection="1">
      <alignment/>
      <protection/>
    </xf>
    <xf numFmtId="164" fontId="21" fillId="0" borderId="28" xfId="73" applyNumberFormat="1" applyFont="1" applyBorder="1" applyAlignment="1" applyProtection="1">
      <alignment horizontal="center"/>
      <protection/>
    </xf>
    <xf numFmtId="164" fontId="21" fillId="0" borderId="23" xfId="73" applyNumberFormat="1" applyFont="1" applyBorder="1" applyAlignment="1" applyProtection="1">
      <alignment horizontal="center"/>
      <protection/>
    </xf>
    <xf numFmtId="164" fontId="114" fillId="37" borderId="23" xfId="73" applyNumberFormat="1" applyFont="1" applyFill="1" applyBorder="1" applyAlignment="1" applyProtection="1">
      <alignment horizontal="center"/>
      <protection/>
    </xf>
    <xf numFmtId="0" fontId="108" fillId="34" borderId="23" xfId="73" applyFont="1" applyFill="1" applyBorder="1" applyAlignment="1">
      <alignment horizontal="center"/>
      <protection/>
    </xf>
    <xf numFmtId="0" fontId="21" fillId="0" borderId="23" xfId="73" applyFont="1" applyBorder="1" applyAlignment="1">
      <alignment horizontal="center"/>
      <protection/>
    </xf>
    <xf numFmtId="0" fontId="21" fillId="0" borderId="86" xfId="73" applyFont="1" applyBorder="1" applyAlignment="1">
      <alignment horizontal="center"/>
      <protection/>
    </xf>
    <xf numFmtId="0" fontId="13" fillId="0" borderId="29" xfId="73" applyFont="1" applyBorder="1" applyAlignment="1">
      <alignment horizontal="center"/>
      <protection/>
    </xf>
    <xf numFmtId="0" fontId="13" fillId="0" borderId="23" xfId="73" applyFont="1" applyBorder="1" applyAlignment="1">
      <alignment horizontal="center"/>
      <protection/>
    </xf>
    <xf numFmtId="0" fontId="64" fillId="42" borderId="23" xfId="73" applyFont="1" applyFill="1" applyBorder="1" applyAlignment="1">
      <alignment horizontal="center"/>
      <protection/>
    </xf>
    <xf numFmtId="0" fontId="80" fillId="51" borderId="23" xfId="73" applyFont="1" applyFill="1" applyBorder="1" applyAlignment="1">
      <alignment horizontal="center"/>
      <protection/>
    </xf>
    <xf numFmtId="168" fontId="87" fillId="35" borderId="24" xfId="73" applyNumberFormat="1" applyFont="1" applyFill="1" applyBorder="1" applyAlignment="1" applyProtection="1" quotePrefix="1">
      <alignment horizontal="center"/>
      <protection/>
    </xf>
    <xf numFmtId="168" fontId="87" fillId="35" borderId="87" xfId="73" applyNumberFormat="1" applyFont="1" applyFill="1" applyBorder="1" applyAlignment="1" applyProtection="1" quotePrefix="1">
      <alignment horizontal="center"/>
      <protection/>
    </xf>
    <xf numFmtId="4" fontId="87" fillId="35" borderId="67" xfId="73" applyNumberFormat="1" applyFont="1" applyFill="1" applyBorder="1" applyAlignment="1" applyProtection="1">
      <alignment horizontal="center"/>
      <protection/>
    </xf>
    <xf numFmtId="168" fontId="64" fillId="52" borderId="24" xfId="73" applyNumberFormat="1" applyFont="1" applyFill="1" applyBorder="1" applyAlignment="1" applyProtection="1" quotePrefix="1">
      <alignment horizontal="center"/>
      <protection/>
    </xf>
    <xf numFmtId="168" fontId="64" fillId="52" borderId="87" xfId="73" applyNumberFormat="1" applyFont="1" applyFill="1" applyBorder="1" applyAlignment="1" applyProtection="1" quotePrefix="1">
      <alignment horizontal="center"/>
      <protection/>
    </xf>
    <xf numFmtId="4" fontId="64" fillId="52" borderId="67" xfId="73" applyNumberFormat="1" applyFont="1" applyFill="1" applyBorder="1" applyAlignment="1" applyProtection="1">
      <alignment horizontal="center"/>
      <protection/>
    </xf>
    <xf numFmtId="4" fontId="64" fillId="39" borderId="23" xfId="73" applyNumberFormat="1" applyFont="1" applyFill="1" applyBorder="1" applyAlignment="1" applyProtection="1">
      <alignment horizontal="center"/>
      <protection/>
    </xf>
    <xf numFmtId="4" fontId="64" fillId="53" borderId="23" xfId="73" applyNumberFormat="1" applyFont="1" applyFill="1" applyBorder="1" applyAlignment="1" applyProtection="1">
      <alignment horizontal="center"/>
      <protection/>
    </xf>
    <xf numFmtId="0" fontId="13" fillId="0" borderId="67" xfId="73" applyFont="1" applyBorder="1" applyAlignment="1">
      <alignment horizontal="left"/>
      <protection/>
    </xf>
    <xf numFmtId="0" fontId="48" fillId="0" borderId="67" xfId="73" applyFont="1" applyBorder="1" applyAlignment="1">
      <alignment horizontal="center"/>
      <protection/>
    </xf>
    <xf numFmtId="0" fontId="13" fillId="0" borderId="28" xfId="70" applyFont="1" applyFill="1" applyBorder="1" applyAlignment="1" applyProtection="1">
      <alignment horizontal="center"/>
      <protection locked="0"/>
    </xf>
    <xf numFmtId="164" fontId="13" fillId="0" borderId="28" xfId="70" applyNumberFormat="1" applyFont="1" applyFill="1" applyBorder="1" applyAlignment="1" applyProtection="1">
      <alignment horizontal="center"/>
      <protection locked="0"/>
    </xf>
    <xf numFmtId="170" fontId="13" fillId="0" borderId="28" xfId="70" applyNumberFormat="1" applyFont="1" applyFill="1" applyBorder="1" applyAlignment="1" applyProtection="1">
      <alignment horizontal="center"/>
      <protection locked="0"/>
    </xf>
    <xf numFmtId="164" fontId="13" fillId="0" borderId="28" xfId="73" applyNumberFormat="1" applyFont="1" applyBorder="1" applyAlignment="1" applyProtection="1">
      <alignment horizontal="center"/>
      <protection/>
    </xf>
    <xf numFmtId="0" fontId="114" fillId="37" borderId="28" xfId="73" applyFont="1" applyFill="1" applyBorder="1" applyAlignment="1" applyProtection="1">
      <alignment horizontal="center"/>
      <protection/>
    </xf>
    <xf numFmtId="174" fontId="108" fillId="34" borderId="28" xfId="73" applyNumberFormat="1" applyFont="1" applyFill="1" applyBorder="1" applyAlignment="1" applyProtection="1">
      <alignment horizontal="center"/>
      <protection/>
    </xf>
    <xf numFmtId="22" fontId="13" fillId="0" borderId="28" xfId="73" applyNumberFormat="1" applyFont="1" applyBorder="1" applyAlignment="1">
      <alignment horizontal="center"/>
      <protection/>
    </xf>
    <xf numFmtId="22" fontId="13" fillId="0" borderId="32" xfId="73" applyNumberFormat="1" applyFont="1" applyBorder="1" applyAlignment="1">
      <alignment horizontal="center"/>
      <protection/>
    </xf>
    <xf numFmtId="4" fontId="13" fillId="0" borderId="28" xfId="73" applyNumberFormat="1" applyFont="1" applyFill="1" applyBorder="1" applyAlignment="1" applyProtection="1" quotePrefix="1">
      <alignment horizontal="center"/>
      <protection/>
    </xf>
    <xf numFmtId="168" fontId="13" fillId="0" borderId="29" xfId="73" applyNumberFormat="1" applyFont="1" applyBorder="1" applyAlignment="1" applyProtection="1">
      <alignment horizontal="center"/>
      <protection/>
    </xf>
    <xf numFmtId="2" fontId="64" fillId="42" borderId="28" xfId="73" applyNumberFormat="1" applyFont="1" applyFill="1" applyBorder="1" applyAlignment="1" applyProtection="1">
      <alignment horizontal="center"/>
      <protection/>
    </xf>
    <xf numFmtId="2" fontId="80" fillId="51" borderId="28" xfId="73" applyNumberFormat="1" applyFont="1" applyFill="1" applyBorder="1" applyAlignment="1" applyProtection="1">
      <alignment horizontal="center"/>
      <protection/>
    </xf>
    <xf numFmtId="168" fontId="87" fillId="35" borderId="30" xfId="73" applyNumberFormat="1" applyFont="1" applyFill="1" applyBorder="1" applyAlignment="1" applyProtection="1" quotePrefix="1">
      <alignment horizontal="center"/>
      <protection/>
    </xf>
    <xf numFmtId="168" fontId="87" fillId="35" borderId="31" xfId="73" applyNumberFormat="1" applyFont="1" applyFill="1" applyBorder="1" applyAlignment="1" applyProtection="1" quotePrefix="1">
      <alignment horizontal="center"/>
      <protection/>
    </xf>
    <xf numFmtId="4" fontId="87" fillId="35" borderId="29" xfId="73" applyNumberFormat="1" applyFont="1" applyFill="1" applyBorder="1" applyAlignment="1" applyProtection="1">
      <alignment horizontal="center"/>
      <protection/>
    </xf>
    <xf numFmtId="168" fontId="64" fillId="52" borderId="30" xfId="73" applyNumberFormat="1" applyFont="1" applyFill="1" applyBorder="1" applyAlignment="1" applyProtection="1" quotePrefix="1">
      <alignment horizontal="center"/>
      <protection/>
    </xf>
    <xf numFmtId="168" fontId="64" fillId="52" borderId="31" xfId="73" applyNumberFormat="1" applyFont="1" applyFill="1" applyBorder="1" applyAlignment="1" applyProtection="1" quotePrefix="1">
      <alignment horizontal="center"/>
      <protection/>
    </xf>
    <xf numFmtId="4" fontId="64" fillId="52" borderId="29" xfId="73" applyNumberFormat="1" applyFont="1" applyFill="1" applyBorder="1" applyAlignment="1" applyProtection="1">
      <alignment horizontal="center"/>
      <protection/>
    </xf>
    <xf numFmtId="4" fontId="64" fillId="39" borderId="28" xfId="73" applyNumberFormat="1" applyFont="1" applyFill="1" applyBorder="1" applyAlignment="1" applyProtection="1">
      <alignment horizontal="center"/>
      <protection/>
    </xf>
    <xf numFmtId="4" fontId="64" fillId="53" borderId="28" xfId="73" applyNumberFormat="1" applyFont="1" applyFill="1" applyBorder="1" applyAlignment="1" applyProtection="1">
      <alignment horizontal="center"/>
      <protection/>
    </xf>
    <xf numFmtId="4" fontId="13" fillId="0" borderId="29" xfId="73" applyNumberFormat="1" applyFont="1" applyBorder="1" applyAlignment="1" applyProtection="1">
      <alignment horizontal="center"/>
      <protection/>
    </xf>
    <xf numFmtId="4" fontId="48" fillId="0" borderId="29" xfId="73" applyNumberFormat="1" applyFont="1" applyFill="1" applyBorder="1" applyAlignment="1">
      <alignment horizontal="right"/>
      <protection/>
    </xf>
    <xf numFmtId="0" fontId="13" fillId="0" borderId="36" xfId="73" applyFont="1" applyFill="1" applyBorder="1" applyAlignment="1">
      <alignment horizontal="center"/>
      <protection/>
    </xf>
    <xf numFmtId="0" fontId="21" fillId="0" borderId="36" xfId="73" applyFont="1" applyBorder="1" applyAlignment="1">
      <alignment horizontal="center"/>
      <protection/>
    </xf>
    <xf numFmtId="164" fontId="88" fillId="0" borderId="36" xfId="73" applyNumberFormat="1" applyFont="1" applyBorder="1" applyAlignment="1" applyProtection="1">
      <alignment horizontal="center"/>
      <protection/>
    </xf>
    <xf numFmtId="0" fontId="21" fillId="0" borderId="36" xfId="73" applyFont="1" applyBorder="1" applyAlignment="1" applyProtection="1">
      <alignment horizontal="center"/>
      <protection/>
    </xf>
    <xf numFmtId="165" fontId="21" fillId="0" borderId="36" xfId="73" applyNumberFormat="1" applyFont="1" applyBorder="1" applyAlignment="1" applyProtection="1">
      <alignment horizontal="center"/>
      <protection/>
    </xf>
    <xf numFmtId="165" fontId="114" fillId="37" borderId="36" xfId="73" applyNumberFormat="1" applyFont="1" applyFill="1" applyBorder="1" applyAlignment="1" applyProtection="1">
      <alignment horizontal="center"/>
      <protection/>
    </xf>
    <xf numFmtId="168" fontId="108" fillId="34" borderId="36" xfId="73" applyNumberFormat="1" applyFont="1" applyFill="1" applyBorder="1" applyAlignment="1" applyProtection="1">
      <alignment horizontal="center"/>
      <protection/>
    </xf>
    <xf numFmtId="168" fontId="21" fillId="0" borderId="36" xfId="73" applyNumberFormat="1" applyFont="1" applyBorder="1" applyAlignment="1" applyProtection="1">
      <alignment horizontal="center"/>
      <protection/>
    </xf>
    <xf numFmtId="168" fontId="13" fillId="0" borderId="36" xfId="73" applyNumberFormat="1" applyFont="1" applyBorder="1" applyAlignment="1" applyProtection="1">
      <alignment horizontal="center"/>
      <protection/>
    </xf>
    <xf numFmtId="173" fontId="13" fillId="0" borderId="36" xfId="73" applyNumberFormat="1" applyFont="1" applyBorder="1" applyAlignment="1" applyProtection="1" quotePrefix="1">
      <alignment horizontal="center"/>
      <protection/>
    </xf>
    <xf numFmtId="2" fontId="64" fillId="42" borderId="36" xfId="73" applyNumberFormat="1" applyFont="1" applyFill="1" applyBorder="1" applyAlignment="1" applyProtection="1">
      <alignment horizontal="center"/>
      <protection/>
    </xf>
    <xf numFmtId="2" fontId="80" fillId="51" borderId="36" xfId="73" applyNumberFormat="1" applyFont="1" applyFill="1" applyBorder="1" applyAlignment="1" applyProtection="1">
      <alignment horizontal="center"/>
      <protection/>
    </xf>
    <xf numFmtId="168" fontId="87" fillId="35" borderId="37" xfId="73" applyNumberFormat="1" applyFont="1" applyFill="1" applyBorder="1" applyAlignment="1" applyProtection="1" quotePrefix="1">
      <alignment horizontal="center"/>
      <protection/>
    </xf>
    <xf numFmtId="168" fontId="87" fillId="35" borderId="88" xfId="73" applyNumberFormat="1" applyFont="1" applyFill="1" applyBorder="1" applyAlignment="1" applyProtection="1" quotePrefix="1">
      <alignment horizontal="center"/>
      <protection/>
    </xf>
    <xf numFmtId="4" fontId="87" fillId="35" borderId="50" xfId="73" applyNumberFormat="1" applyFont="1" applyFill="1" applyBorder="1" applyAlignment="1" applyProtection="1">
      <alignment horizontal="center"/>
      <protection/>
    </xf>
    <xf numFmtId="168" fontId="64" fillId="52" borderId="37" xfId="73" applyNumberFormat="1" applyFont="1" applyFill="1" applyBorder="1" applyAlignment="1" applyProtection="1" quotePrefix="1">
      <alignment horizontal="center"/>
      <protection/>
    </xf>
    <xf numFmtId="168" fontId="64" fillId="52" borderId="88" xfId="73" applyNumberFormat="1" applyFont="1" applyFill="1" applyBorder="1" applyAlignment="1" applyProtection="1" quotePrefix="1">
      <alignment horizontal="center"/>
      <protection/>
    </xf>
    <xf numFmtId="4" fontId="64" fillId="52" borderId="50" xfId="73" applyNumberFormat="1" applyFont="1" applyFill="1" applyBorder="1" applyAlignment="1" applyProtection="1">
      <alignment horizontal="center"/>
      <protection/>
    </xf>
    <xf numFmtId="4" fontId="64" fillId="39" borderId="36" xfId="73" applyNumberFormat="1" applyFont="1" applyFill="1" applyBorder="1" applyAlignment="1" applyProtection="1">
      <alignment horizontal="center"/>
      <protection/>
    </xf>
    <xf numFmtId="4" fontId="64" fillId="53" borderId="36" xfId="73" applyNumberFormat="1" applyFont="1" applyFill="1" applyBorder="1" applyAlignment="1" applyProtection="1">
      <alignment horizontal="center"/>
      <protection/>
    </xf>
    <xf numFmtId="4" fontId="49" fillId="0" borderId="36" xfId="73" applyNumberFormat="1" applyFont="1" applyBorder="1" applyAlignment="1" applyProtection="1">
      <alignment horizontal="center"/>
      <protection/>
    </xf>
    <xf numFmtId="168" fontId="65" fillId="0" borderId="36" xfId="73" applyNumberFormat="1" applyFont="1" applyFill="1" applyBorder="1" applyAlignment="1">
      <alignment horizontal="center"/>
      <protection/>
    </xf>
    <xf numFmtId="4" fontId="13" fillId="0" borderId="15" xfId="73" applyNumberFormat="1" applyFont="1" applyFill="1" applyBorder="1" applyAlignment="1">
      <alignment horizontal="center"/>
      <protection/>
    </xf>
    <xf numFmtId="164" fontId="88" fillId="0" borderId="0" xfId="73" applyNumberFormat="1" applyFont="1" applyBorder="1" applyAlignment="1" applyProtection="1">
      <alignment horizontal="center"/>
      <protection/>
    </xf>
    <xf numFmtId="165" fontId="21" fillId="0" borderId="0" xfId="73" applyNumberFormat="1" applyFont="1" applyBorder="1" applyAlignment="1" applyProtection="1">
      <alignment horizontal="center"/>
      <protection/>
    </xf>
    <xf numFmtId="168" fontId="21" fillId="0" borderId="0" xfId="73" applyNumberFormat="1" applyFont="1" applyBorder="1" applyAlignment="1" applyProtection="1">
      <alignment horizontal="center"/>
      <protection/>
    </xf>
    <xf numFmtId="173" fontId="21" fillId="0" borderId="0" xfId="73" applyNumberFormat="1" applyFont="1" applyBorder="1" applyAlignment="1" applyProtection="1" quotePrefix="1">
      <alignment horizontal="center"/>
      <protection/>
    </xf>
    <xf numFmtId="2" fontId="21" fillId="0" borderId="44" xfId="73" applyNumberFormat="1" applyFont="1" applyBorder="1" applyAlignment="1" applyProtection="1">
      <alignment horizontal="center"/>
      <protection/>
    </xf>
    <xf numFmtId="7" fontId="48" fillId="0" borderId="21" xfId="73" applyNumberFormat="1" applyFont="1" applyBorder="1" applyAlignment="1" applyProtection="1">
      <alignment horizontal="right"/>
      <protection/>
    </xf>
    <xf numFmtId="2" fontId="21" fillId="0" borderId="0" xfId="73" applyNumberFormat="1" applyFont="1" applyBorder="1" applyAlignment="1" applyProtection="1">
      <alignment horizontal="center"/>
      <protection/>
    </xf>
    <xf numFmtId="7" fontId="21" fillId="0" borderId="0" xfId="73" applyNumberFormat="1" applyFont="1" applyBorder="1" applyAlignment="1" applyProtection="1">
      <alignment horizontal="center"/>
      <protection/>
    </xf>
    <xf numFmtId="0" fontId="60" fillId="48" borderId="21" xfId="73" applyFont="1" applyFill="1" applyBorder="1" applyAlignment="1" applyProtection="1">
      <alignment horizontal="center" vertical="center"/>
      <protection/>
    </xf>
    <xf numFmtId="0" fontId="30" fillId="0" borderId="16" xfId="73" applyFont="1" applyFill="1" applyBorder="1" applyAlignment="1" applyProtection="1">
      <alignment horizontal="centerContinuous" vertical="center"/>
      <protection/>
    </xf>
    <xf numFmtId="0" fontId="30" fillId="0" borderId="22" xfId="73" applyFont="1" applyFill="1" applyBorder="1" applyAlignment="1" applyProtection="1">
      <alignment horizontal="centerContinuous" vertical="center"/>
      <protection/>
    </xf>
    <xf numFmtId="0" fontId="62" fillId="49" borderId="21" xfId="73" applyFont="1" applyFill="1" applyBorder="1" applyAlignment="1">
      <alignment horizontal="center" vertical="center" wrapText="1"/>
      <protection/>
    </xf>
    <xf numFmtId="0" fontId="62" fillId="50" borderId="16" xfId="73" applyFont="1" applyFill="1" applyBorder="1" applyAlignment="1" applyProtection="1">
      <alignment horizontal="centerContinuous" vertical="center" wrapText="1"/>
      <protection/>
    </xf>
    <xf numFmtId="0" fontId="62" fillId="50" borderId="17" xfId="73" applyFont="1" applyFill="1" applyBorder="1" applyAlignment="1">
      <alignment horizontal="centerContinuous" vertical="center"/>
      <protection/>
    </xf>
    <xf numFmtId="0" fontId="62" fillId="35" borderId="21" xfId="73" applyFont="1" applyFill="1" applyBorder="1" applyAlignment="1">
      <alignment horizontal="centerContinuous" vertical="center" wrapText="1"/>
      <protection/>
    </xf>
    <xf numFmtId="0" fontId="62" fillId="48" borderId="66" xfId="73" applyFont="1" applyFill="1" applyBorder="1" applyAlignment="1">
      <alignment vertical="center" wrapText="1"/>
      <protection/>
    </xf>
    <xf numFmtId="0" fontId="62" fillId="48" borderId="41" xfId="73" applyFont="1" applyFill="1" applyBorder="1" applyAlignment="1">
      <alignment vertical="center" wrapText="1"/>
      <protection/>
    </xf>
    <xf numFmtId="0" fontId="62" fillId="48" borderId="44" xfId="73" applyFont="1" applyFill="1" applyBorder="1" applyAlignment="1">
      <alignment vertical="center" wrapText="1"/>
      <protection/>
    </xf>
    <xf numFmtId="0" fontId="13" fillId="0" borderId="28" xfId="73" applyFont="1" applyFill="1" applyBorder="1" applyAlignment="1">
      <alignment horizontal="center"/>
      <protection/>
    </xf>
    <xf numFmtId="164" fontId="13" fillId="0" borderId="28" xfId="73" applyNumberFormat="1" applyFont="1" applyFill="1" applyBorder="1" applyAlignment="1" applyProtection="1">
      <alignment horizontal="center"/>
      <protection/>
    </xf>
    <xf numFmtId="0" fontId="110" fillId="37" borderId="28" xfId="73" applyFont="1" applyFill="1" applyBorder="1" applyAlignment="1">
      <alignment horizontal="center"/>
      <protection/>
    </xf>
    <xf numFmtId="0" fontId="110" fillId="48" borderId="28" xfId="73" applyFont="1" applyFill="1" applyBorder="1" applyAlignment="1">
      <alignment horizontal="center"/>
      <protection/>
    </xf>
    <xf numFmtId="0" fontId="13" fillId="0" borderId="29" xfId="73" applyFont="1" applyFill="1" applyBorder="1" applyAlignment="1">
      <alignment horizontal="center"/>
      <protection/>
    </xf>
    <xf numFmtId="0" fontId="63" fillId="37" borderId="23" xfId="73" applyFont="1" applyFill="1" applyBorder="1" applyAlignment="1">
      <alignment horizontal="center"/>
      <protection/>
    </xf>
    <xf numFmtId="0" fontId="29" fillId="49" borderId="23" xfId="73" applyFont="1" applyFill="1" applyBorder="1" applyAlignment="1">
      <alignment horizontal="center"/>
      <protection/>
    </xf>
    <xf numFmtId="0" fontId="29" fillId="50" borderId="24" xfId="73" applyFont="1" applyFill="1" applyBorder="1" applyAlignment="1">
      <alignment horizontal="center"/>
      <protection/>
    </xf>
    <xf numFmtId="0" fontId="29" fillId="50" borderId="26" xfId="73" applyFont="1" applyFill="1" applyBorder="1" applyAlignment="1">
      <alignment horizontal="left"/>
      <protection/>
    </xf>
    <xf numFmtId="0" fontId="29" fillId="35" borderId="23" xfId="73" applyFont="1" applyFill="1" applyBorder="1" applyAlignment="1">
      <alignment horizontal="left"/>
      <protection/>
    </xf>
    <xf numFmtId="0" fontId="29" fillId="48" borderId="58" xfId="73" applyFont="1" applyFill="1" applyBorder="1" applyAlignment="1">
      <alignment horizontal="left"/>
      <protection/>
    </xf>
    <xf numFmtId="0" fontId="29" fillId="48" borderId="0" xfId="73" applyFont="1" applyFill="1" applyBorder="1" applyAlignment="1">
      <alignment horizontal="left"/>
      <protection/>
    </xf>
    <xf numFmtId="0" fontId="29" fillId="48" borderId="57" xfId="73" applyFont="1" applyFill="1" applyBorder="1" applyAlignment="1">
      <alignment horizontal="left"/>
      <protection/>
    </xf>
    <xf numFmtId="0" fontId="48" fillId="0" borderId="29" xfId="73" applyFont="1" applyFill="1" applyBorder="1" applyAlignment="1">
      <alignment horizontal="center"/>
      <protection/>
    </xf>
    <xf numFmtId="0" fontId="13" fillId="0" borderId="33" xfId="73" applyFont="1" applyBorder="1" applyAlignment="1" applyProtection="1">
      <alignment horizontal="center"/>
      <protection locked="0"/>
    </xf>
    <xf numFmtId="168" fontId="110" fillId="37" borderId="28" xfId="73" applyNumberFormat="1" applyFont="1" applyFill="1" applyBorder="1" applyAlignment="1" applyProtection="1">
      <alignment horizontal="center"/>
      <protection/>
    </xf>
    <xf numFmtId="168" fontId="110" fillId="48" borderId="28" xfId="73" applyNumberFormat="1" applyFont="1" applyFill="1" applyBorder="1" applyAlignment="1" applyProtection="1">
      <alignment horizontal="center"/>
      <protection/>
    </xf>
    <xf numFmtId="168" fontId="13" fillId="0" borderId="28" xfId="73" applyNumberFormat="1" applyFont="1" applyFill="1" applyBorder="1" applyAlignment="1" applyProtection="1">
      <alignment horizontal="center"/>
      <protection/>
    </xf>
    <xf numFmtId="168" fontId="13" fillId="0" borderId="47" xfId="73" applyNumberFormat="1" applyFont="1" applyBorder="1" applyAlignment="1" applyProtection="1">
      <alignment horizontal="center"/>
      <protection/>
    </xf>
    <xf numFmtId="164" fontId="63" fillId="37" borderId="28" xfId="73" applyNumberFormat="1" applyFont="1" applyFill="1" applyBorder="1" applyAlignment="1" applyProtection="1">
      <alignment horizontal="center"/>
      <protection/>
    </xf>
    <xf numFmtId="2" fontId="64" fillId="49" borderId="28" xfId="73" applyNumberFormat="1" applyFont="1" applyFill="1" applyBorder="1" applyAlignment="1">
      <alignment horizontal="center"/>
      <protection/>
    </xf>
    <xf numFmtId="168" fontId="64" fillId="50" borderId="48" xfId="73" applyNumberFormat="1" applyFont="1" applyFill="1" applyBorder="1" applyAlignment="1" applyProtection="1" quotePrefix="1">
      <alignment horizontal="center"/>
      <protection/>
    </xf>
    <xf numFmtId="168" fontId="64" fillId="50" borderId="49" xfId="73" applyNumberFormat="1" applyFont="1" applyFill="1" applyBorder="1" applyAlignment="1" applyProtection="1" quotePrefix="1">
      <alignment horizontal="center"/>
      <protection/>
    </xf>
    <xf numFmtId="168" fontId="64" fillId="48" borderId="58" xfId="73" applyNumberFormat="1" applyFont="1" applyFill="1" applyBorder="1" applyAlignment="1" applyProtection="1" quotePrefix="1">
      <alignment horizontal="center"/>
      <protection/>
    </xf>
    <xf numFmtId="168" fontId="64" fillId="48" borderId="0" xfId="73" applyNumberFormat="1" applyFont="1" applyFill="1" applyBorder="1" applyAlignment="1" applyProtection="1" quotePrefix="1">
      <alignment horizontal="center"/>
      <protection/>
    </xf>
    <xf numFmtId="168" fontId="64" fillId="48" borderId="57" xfId="73" applyNumberFormat="1" applyFont="1" applyFill="1" applyBorder="1" applyAlignment="1" applyProtection="1" quotePrefix="1">
      <alignment horizontal="center"/>
      <protection/>
    </xf>
    <xf numFmtId="168" fontId="13" fillId="0" borderId="29" xfId="73" applyNumberFormat="1" applyFont="1" applyFill="1" applyBorder="1" applyAlignment="1">
      <alignment horizontal="center"/>
      <protection/>
    </xf>
    <xf numFmtId="0" fontId="13" fillId="0" borderId="34" xfId="73" applyFont="1" applyBorder="1" applyAlignment="1" applyProtection="1">
      <alignment horizontal="center"/>
      <protection/>
    </xf>
    <xf numFmtId="0" fontId="13" fillId="0" borderId="68" xfId="73" applyFont="1" applyBorder="1" applyAlignment="1" applyProtection="1">
      <alignment horizontal="center"/>
      <protection/>
    </xf>
    <xf numFmtId="164" fontId="13" fillId="0" borderId="34" xfId="73" applyNumberFormat="1" applyFont="1" applyBorder="1" applyAlignment="1" applyProtection="1">
      <alignment horizontal="center"/>
      <protection/>
    </xf>
    <xf numFmtId="1" fontId="13" fillId="0" borderId="52" xfId="73" applyNumberFormat="1" applyFont="1" applyBorder="1" applyAlignment="1" applyProtection="1" quotePrefix="1">
      <alignment horizontal="center"/>
      <protection/>
    </xf>
    <xf numFmtId="168" fontId="110" fillId="37" borderId="36" xfId="73" applyNumberFormat="1" applyFont="1" applyFill="1" applyBorder="1" applyAlignment="1" applyProtection="1">
      <alignment horizontal="center"/>
      <protection/>
    </xf>
    <xf numFmtId="168" fontId="110" fillId="48" borderId="36" xfId="73" applyNumberFormat="1" applyFont="1" applyFill="1" applyBorder="1" applyAlignment="1" applyProtection="1">
      <alignment horizontal="center"/>
      <protection/>
    </xf>
    <xf numFmtId="22" fontId="13" fillId="0" borderId="36" xfId="73" applyNumberFormat="1" applyFont="1" applyFill="1" applyBorder="1" applyAlignment="1">
      <alignment horizontal="center"/>
      <protection/>
    </xf>
    <xf numFmtId="22" fontId="13" fillId="0" borderId="36" xfId="73" applyNumberFormat="1" applyFont="1" applyFill="1" applyBorder="1" applyAlignment="1" applyProtection="1">
      <alignment horizontal="center"/>
      <protection/>
    </xf>
    <xf numFmtId="4" fontId="13" fillId="0" borderId="36" xfId="73" applyNumberFormat="1" applyFont="1" applyFill="1" applyBorder="1" applyAlignment="1" applyProtection="1">
      <alignment horizontal="center"/>
      <protection/>
    </xf>
    <xf numFmtId="3" fontId="13" fillId="0" borderId="36" xfId="73" applyNumberFormat="1" applyFont="1" applyFill="1" applyBorder="1" applyAlignment="1" applyProtection="1">
      <alignment horizontal="center"/>
      <protection/>
    </xf>
    <xf numFmtId="168" fontId="13" fillId="0" borderId="36" xfId="73" applyNumberFormat="1" applyFont="1" applyFill="1" applyBorder="1" applyAlignment="1" applyProtection="1">
      <alignment horizontal="center"/>
      <protection/>
    </xf>
    <xf numFmtId="164" fontId="63" fillId="37" borderId="36" xfId="73" applyNumberFormat="1" applyFont="1" applyFill="1" applyBorder="1" applyAlignment="1" applyProtection="1">
      <alignment horizontal="center"/>
      <protection/>
    </xf>
    <xf numFmtId="2" fontId="29" fillId="49" borderId="36" xfId="73" applyNumberFormat="1" applyFont="1" applyFill="1" applyBorder="1" applyAlignment="1">
      <alignment horizontal="center"/>
      <protection/>
    </xf>
    <xf numFmtId="168" fontId="29" fillId="50" borderId="51" xfId="73" applyNumberFormat="1" applyFont="1" applyFill="1" applyBorder="1" applyAlignment="1" applyProtection="1" quotePrefix="1">
      <alignment horizontal="center"/>
      <protection/>
    </xf>
    <xf numFmtId="168" fontId="29" fillId="50" borderId="52" xfId="73" applyNumberFormat="1" applyFont="1" applyFill="1" applyBorder="1" applyAlignment="1" applyProtection="1" quotePrefix="1">
      <alignment horizontal="center"/>
      <protection/>
    </xf>
    <xf numFmtId="168" fontId="29" fillId="35" borderId="36" xfId="73" applyNumberFormat="1" applyFont="1" applyFill="1" applyBorder="1" applyAlignment="1" applyProtection="1" quotePrefix="1">
      <alignment horizontal="center"/>
      <protection/>
    </xf>
    <xf numFmtId="168" fontId="29" fillId="48" borderId="69" xfId="73" applyNumberFormat="1" applyFont="1" applyFill="1" applyBorder="1" applyAlignment="1" applyProtection="1" quotePrefix="1">
      <alignment horizontal="center"/>
      <protection/>
    </xf>
    <xf numFmtId="168" fontId="29" fillId="48" borderId="62" xfId="73" applyNumberFormat="1" applyFont="1" applyFill="1" applyBorder="1" applyAlignment="1" applyProtection="1" quotePrefix="1">
      <alignment horizontal="center"/>
      <protection/>
    </xf>
    <xf numFmtId="168" fontId="29" fillId="48" borderId="50" xfId="73" applyNumberFormat="1" applyFont="1" applyFill="1" applyBorder="1" applyAlignment="1" applyProtection="1" quotePrefix="1">
      <alignment horizontal="center"/>
      <protection/>
    </xf>
    <xf numFmtId="168" fontId="13" fillId="0" borderId="50" xfId="73" applyNumberFormat="1" applyFont="1" applyFill="1" applyBorder="1" applyAlignment="1">
      <alignment horizontal="center"/>
      <protection/>
    </xf>
    <xf numFmtId="4" fontId="77" fillId="0" borderId="50" xfId="73" applyNumberFormat="1" applyFont="1" applyFill="1" applyBorder="1" applyAlignment="1">
      <alignment horizontal="right"/>
      <protection/>
    </xf>
    <xf numFmtId="164" fontId="13" fillId="0" borderId="0" xfId="73" applyNumberFormat="1" applyFont="1" applyBorder="1" applyAlignment="1" applyProtection="1">
      <alignment horizontal="center"/>
      <protection/>
    </xf>
    <xf numFmtId="1" fontId="13" fillId="0" borderId="0" xfId="73" applyNumberFormat="1" applyFont="1" applyBorder="1" applyAlignment="1" applyProtection="1" quotePrefix="1">
      <alignment horizontal="center"/>
      <protection/>
    </xf>
    <xf numFmtId="22" fontId="13" fillId="0" borderId="0" xfId="73" applyNumberFormat="1" applyFont="1" applyFill="1" applyBorder="1" applyAlignment="1">
      <alignment horizontal="center"/>
      <protection/>
    </xf>
    <xf numFmtId="22" fontId="13" fillId="0" borderId="0" xfId="73" applyNumberFormat="1" applyFont="1" applyFill="1" applyBorder="1" applyAlignment="1" applyProtection="1">
      <alignment horizontal="center"/>
      <protection/>
    </xf>
    <xf numFmtId="4" fontId="13" fillId="0" borderId="0" xfId="73" applyNumberFormat="1" applyFont="1" applyFill="1" applyBorder="1" applyAlignment="1" applyProtection="1">
      <alignment horizontal="center"/>
      <protection/>
    </xf>
    <xf numFmtId="3" fontId="13" fillId="0" borderId="0" xfId="73" applyNumberFormat="1" applyFont="1" applyFill="1" applyBorder="1" applyAlignment="1" applyProtection="1">
      <alignment horizontal="center"/>
      <protection/>
    </xf>
    <xf numFmtId="168" fontId="13" fillId="0" borderId="0" xfId="73" applyNumberFormat="1" applyFont="1" applyFill="1" applyBorder="1" applyAlignment="1" applyProtection="1">
      <alignment horizontal="center"/>
      <protection/>
    </xf>
    <xf numFmtId="168" fontId="13" fillId="0" borderId="0" xfId="73" applyNumberFormat="1" applyFont="1" applyBorder="1" applyAlignment="1" applyProtection="1">
      <alignment horizontal="center"/>
      <protection/>
    </xf>
    <xf numFmtId="168" fontId="13" fillId="0" borderId="0" xfId="73" applyNumberFormat="1" applyFont="1" applyBorder="1" applyAlignment="1" applyProtection="1">
      <alignment horizontal="centerContinuous"/>
      <protection/>
    </xf>
    <xf numFmtId="168" fontId="13" fillId="0" borderId="0" xfId="73" applyNumberFormat="1" applyFont="1" applyFill="1" applyBorder="1" applyAlignment="1">
      <alignment horizontal="center"/>
      <protection/>
    </xf>
    <xf numFmtId="8" fontId="77" fillId="0" borderId="21" xfId="55" applyNumberFormat="1" applyFont="1" applyFill="1" applyBorder="1" applyAlignment="1">
      <alignment horizontal="right"/>
    </xf>
    <xf numFmtId="22" fontId="13" fillId="0" borderId="33" xfId="73" applyNumberFormat="1" applyFont="1" applyBorder="1" applyAlignment="1" applyProtection="1">
      <alignment horizontal="center"/>
      <protection locked="0"/>
    </xf>
    <xf numFmtId="0" fontId="29" fillId="0" borderId="0" xfId="73" applyFont="1" applyFill="1" applyBorder="1" applyAlignment="1">
      <alignment horizontal="center"/>
      <protection/>
    </xf>
    <xf numFmtId="0" fontId="29" fillId="0" borderId="0" xfId="73" applyFont="1" applyBorder="1" applyAlignment="1" applyProtection="1">
      <alignment horizontal="center"/>
      <protection/>
    </xf>
    <xf numFmtId="168" fontId="29" fillId="48" borderId="0" xfId="73" applyNumberFormat="1" applyFont="1" applyFill="1" applyBorder="1" applyAlignment="1" applyProtection="1" quotePrefix="1">
      <alignment horizontal="center"/>
      <protection/>
    </xf>
    <xf numFmtId="0" fontId="60" fillId="37" borderId="17" xfId="73" applyFont="1" applyFill="1" applyBorder="1" applyAlignment="1" applyProtection="1">
      <alignment horizontal="center" vertical="center"/>
      <protection/>
    </xf>
    <xf numFmtId="0" fontId="61" fillId="39" borderId="21" xfId="73" applyFont="1" applyFill="1" applyBorder="1" applyAlignment="1">
      <alignment horizontal="center" vertical="center" wrapText="1"/>
      <protection/>
    </xf>
    <xf numFmtId="0" fontId="34" fillId="45" borderId="16" xfId="73" applyFont="1" applyFill="1" applyBorder="1" applyAlignment="1" applyProtection="1">
      <alignment horizontal="centerContinuous" vertical="center" wrapText="1"/>
      <protection/>
    </xf>
    <xf numFmtId="0" fontId="34" fillId="45" borderId="17" xfId="73" applyFont="1" applyFill="1" applyBorder="1" applyAlignment="1">
      <alignment horizontal="centerContinuous" vertical="center"/>
      <protection/>
    </xf>
    <xf numFmtId="0" fontId="37" fillId="36" borderId="21" xfId="73" applyFont="1" applyFill="1" applyBorder="1" applyAlignment="1">
      <alignment horizontal="center" vertical="center" wrapText="1"/>
      <protection/>
    </xf>
    <xf numFmtId="0" fontId="61" fillId="0" borderId="21" xfId="73" applyFont="1" applyFill="1" applyBorder="1" applyAlignment="1">
      <alignment horizontal="center" vertical="center" wrapText="1"/>
      <protection/>
    </xf>
    <xf numFmtId="4" fontId="21" fillId="0" borderId="15" xfId="73" applyNumberFormat="1" applyFont="1" applyFill="1" applyBorder="1" applyAlignment="1">
      <alignment horizontal="center"/>
      <protection/>
    </xf>
    <xf numFmtId="0" fontId="13" fillId="0" borderId="57" xfId="73" applyFont="1" applyBorder="1" applyAlignment="1">
      <alignment horizontal="center"/>
      <protection/>
    </xf>
    <xf numFmtId="0" fontId="63" fillId="37" borderId="35" xfId="73" applyFont="1" applyFill="1" applyBorder="1" applyAlignment="1">
      <alignment horizontal="center"/>
      <protection/>
    </xf>
    <xf numFmtId="0" fontId="13" fillId="0" borderId="58" xfId="73" applyFont="1" applyBorder="1" applyAlignment="1">
      <alignment horizontal="center"/>
      <protection/>
    </xf>
    <xf numFmtId="0" fontId="13" fillId="0" borderId="35" xfId="73" applyFont="1" applyBorder="1" applyAlignment="1">
      <alignment horizontal="center"/>
      <protection/>
    </xf>
    <xf numFmtId="0" fontId="13" fillId="0" borderId="28" xfId="73" applyFont="1" applyBorder="1">
      <alignment/>
      <protection/>
    </xf>
    <xf numFmtId="0" fontId="63" fillId="37" borderId="0" xfId="73" applyFont="1" applyFill="1" applyBorder="1" applyAlignment="1">
      <alignment horizontal="center"/>
      <protection/>
    </xf>
    <xf numFmtId="0" fontId="80" fillId="39" borderId="43" xfId="73" applyFont="1" applyFill="1" applyBorder="1" applyAlignment="1">
      <alignment horizontal="center"/>
      <protection/>
    </xf>
    <xf numFmtId="0" fontId="50" fillId="45" borderId="24" xfId="73" applyFont="1" applyFill="1" applyBorder="1" applyAlignment="1">
      <alignment horizontal="center"/>
      <protection/>
    </xf>
    <xf numFmtId="0" fontId="50" fillId="45" borderId="26" xfId="73" applyFont="1" applyFill="1" applyBorder="1" applyAlignment="1">
      <alignment horizontal="center"/>
      <protection/>
    </xf>
    <xf numFmtId="0" fontId="53" fillId="36" borderId="43" xfId="73" applyFont="1" applyFill="1" applyBorder="1" applyAlignment="1">
      <alignment horizontal="center"/>
      <protection/>
    </xf>
    <xf numFmtId="0" fontId="13" fillId="0" borderId="43" xfId="73" applyFont="1" applyBorder="1" applyAlignment="1">
      <alignment horizontal="center"/>
      <protection/>
    </xf>
    <xf numFmtId="7" fontId="77" fillId="0" borderId="43" xfId="73" applyNumberFormat="1" applyFont="1" applyFill="1" applyBorder="1" applyAlignment="1">
      <alignment horizontal="center"/>
      <protection/>
    </xf>
    <xf numFmtId="0" fontId="74" fillId="0" borderId="32" xfId="73" applyFont="1" applyBorder="1" applyAlignment="1" applyProtection="1">
      <alignment horizontal="center"/>
      <protection/>
    </xf>
    <xf numFmtId="0" fontId="74" fillId="0" borderId="59" xfId="73" applyFont="1" applyBorder="1" applyAlignment="1" applyProtection="1">
      <alignment horizontal="center"/>
      <protection/>
    </xf>
    <xf numFmtId="168" fontId="63" fillId="37" borderId="27" xfId="73" applyNumberFormat="1" applyFont="1" applyFill="1" applyBorder="1" applyAlignment="1" applyProtection="1">
      <alignment horizontal="center"/>
      <protection/>
    </xf>
    <xf numFmtId="22" fontId="13" fillId="0" borderId="48" xfId="73" applyNumberFormat="1" applyFont="1" applyBorder="1" applyAlignment="1">
      <alignment horizontal="center"/>
      <protection/>
    </xf>
    <xf numFmtId="22" fontId="13" fillId="0" borderId="59" xfId="73" applyNumberFormat="1" applyFont="1" applyBorder="1" applyAlignment="1" applyProtection="1">
      <alignment horizontal="center"/>
      <protection/>
    </xf>
    <xf numFmtId="2" fontId="13" fillId="0" borderId="27" xfId="73" applyNumberFormat="1" applyFont="1" applyFill="1" applyBorder="1" applyAlignment="1" applyProtection="1" quotePrefix="1">
      <alignment horizontal="center"/>
      <protection/>
    </xf>
    <xf numFmtId="164" fontId="13" fillId="0" borderId="27" xfId="73" applyNumberFormat="1" applyFont="1" applyFill="1" applyBorder="1" applyAlignment="1" applyProtection="1" quotePrefix="1">
      <alignment horizontal="center"/>
      <protection/>
    </xf>
    <xf numFmtId="164" fontId="63" fillId="37" borderId="32" xfId="73" applyNumberFormat="1" applyFont="1" applyFill="1" applyBorder="1" applyAlignment="1" applyProtection="1">
      <alignment horizontal="center"/>
      <protection/>
    </xf>
    <xf numFmtId="2" fontId="80" fillId="39" borderId="27" xfId="73" applyNumberFormat="1" applyFont="1" applyFill="1" applyBorder="1" applyAlignment="1">
      <alignment horizontal="center"/>
      <protection/>
    </xf>
    <xf numFmtId="168" fontId="50" fillId="45" borderId="48" xfId="73" applyNumberFormat="1" applyFont="1" applyFill="1" applyBorder="1" applyAlignment="1" applyProtection="1" quotePrefix="1">
      <alignment horizontal="center"/>
      <protection/>
    </xf>
    <xf numFmtId="168" fontId="50" fillId="45" borderId="49" xfId="73" applyNumberFormat="1" applyFont="1" applyFill="1" applyBorder="1" applyAlignment="1" applyProtection="1" quotePrefix="1">
      <alignment horizontal="center"/>
      <protection/>
    </xf>
    <xf numFmtId="168" fontId="53" fillId="36" borderId="27" xfId="73" applyNumberFormat="1" applyFont="1" applyFill="1" applyBorder="1" applyAlignment="1" applyProtection="1" quotePrefix="1">
      <alignment horizontal="center"/>
      <protection/>
    </xf>
    <xf numFmtId="168" fontId="13" fillId="0" borderId="27" xfId="73" applyNumberFormat="1" applyFont="1" applyBorder="1" applyAlignment="1" applyProtection="1">
      <alignment horizontal="center"/>
      <protection/>
    </xf>
    <xf numFmtId="168" fontId="77" fillId="0" borderId="27" xfId="73" applyNumberFormat="1" applyFont="1" applyFill="1" applyBorder="1" applyAlignment="1">
      <alignment horizontal="center"/>
      <protection/>
    </xf>
    <xf numFmtId="0" fontId="74" fillId="0" borderId="60" xfId="73" applyFont="1" applyBorder="1" applyAlignment="1" applyProtection="1">
      <alignment horizontal="center"/>
      <protection locked="0"/>
    </xf>
    <xf numFmtId="164" fontId="63" fillId="37" borderId="60" xfId="73" applyNumberFormat="1" applyFont="1" applyFill="1" applyBorder="1" applyAlignment="1" applyProtection="1">
      <alignment horizontal="center"/>
      <protection/>
    </xf>
    <xf numFmtId="2" fontId="80" fillId="39" borderId="28" xfId="73" applyNumberFormat="1" applyFont="1" applyFill="1" applyBorder="1" applyAlignment="1" applyProtection="1">
      <alignment horizontal="center"/>
      <protection/>
    </xf>
    <xf numFmtId="0" fontId="13" fillId="0" borderId="34" xfId="73" applyFont="1" applyFill="1" applyBorder="1" applyAlignment="1">
      <alignment horizontal="center"/>
      <protection/>
    </xf>
    <xf numFmtId="0" fontId="74" fillId="0" borderId="62" xfId="73" applyFont="1" applyBorder="1" applyAlignment="1" applyProtection="1">
      <alignment horizontal="center"/>
      <protection locked="0"/>
    </xf>
    <xf numFmtId="0" fontId="74" fillId="0" borderId="69" xfId="73" applyFont="1" applyBorder="1" applyAlignment="1" applyProtection="1">
      <alignment horizontal="center"/>
      <protection locked="0"/>
    </xf>
    <xf numFmtId="22" fontId="13" fillId="0" borderId="37" xfId="73" applyNumberFormat="1" applyFont="1" applyBorder="1" applyAlignment="1" applyProtection="1">
      <alignment horizontal="center"/>
      <protection locked="0"/>
    </xf>
    <xf numFmtId="22" fontId="13" fillId="0" borderId="69" xfId="73" applyNumberFormat="1" applyFont="1" applyBorder="1" applyAlignment="1" applyProtection="1">
      <alignment horizontal="center"/>
      <protection locked="0"/>
    </xf>
    <xf numFmtId="2" fontId="13" fillId="0" borderId="36" xfId="73" applyNumberFormat="1" applyFont="1" applyFill="1" applyBorder="1" applyAlignment="1" applyProtection="1" quotePrefix="1">
      <alignment horizontal="center"/>
      <protection/>
    </xf>
    <xf numFmtId="173" fontId="13" fillId="0" borderId="50" xfId="73" applyNumberFormat="1" applyFont="1" applyBorder="1" applyAlignment="1" applyProtection="1" quotePrefix="1">
      <alignment horizontal="center"/>
      <protection/>
    </xf>
    <xf numFmtId="164" fontId="63" fillId="37" borderId="62" xfId="73" applyNumberFormat="1" applyFont="1" applyFill="1" applyBorder="1" applyAlignment="1" applyProtection="1">
      <alignment horizontal="center"/>
      <protection/>
    </xf>
    <xf numFmtId="2" fontId="80" fillId="39" borderId="36" xfId="73" applyNumberFormat="1" applyFont="1" applyFill="1" applyBorder="1" applyAlignment="1" applyProtection="1">
      <alignment horizontal="center"/>
      <protection/>
    </xf>
    <xf numFmtId="168" fontId="50" fillId="45" borderId="51" xfId="73" applyNumberFormat="1" applyFont="1" applyFill="1" applyBorder="1" applyAlignment="1" applyProtection="1" quotePrefix="1">
      <alignment horizontal="center"/>
      <protection/>
    </xf>
    <xf numFmtId="168" fontId="50" fillId="45" borderId="52" xfId="73" applyNumberFormat="1" applyFont="1" applyFill="1" applyBorder="1" applyAlignment="1" applyProtection="1" quotePrefix="1">
      <alignment horizontal="center"/>
      <protection/>
    </xf>
    <xf numFmtId="168" fontId="72" fillId="43" borderId="51" xfId="73" applyNumberFormat="1" applyFont="1" applyFill="1" applyBorder="1" applyAlignment="1" applyProtection="1" quotePrefix="1">
      <alignment horizontal="center"/>
      <protection/>
    </xf>
    <xf numFmtId="168" fontId="72" fillId="43" borderId="52" xfId="73" applyNumberFormat="1" applyFont="1" applyFill="1" applyBorder="1" applyAlignment="1" applyProtection="1" quotePrefix="1">
      <alignment horizontal="center"/>
      <protection/>
    </xf>
    <xf numFmtId="168" fontId="53" fillId="36" borderId="34" xfId="73" applyNumberFormat="1" applyFont="1" applyFill="1" applyBorder="1" applyAlignment="1" applyProtection="1" quotePrefix="1">
      <alignment horizontal="center"/>
      <protection/>
    </xf>
    <xf numFmtId="2" fontId="71" fillId="36" borderId="36" xfId="73" applyNumberFormat="1" applyFont="1" applyFill="1" applyBorder="1" applyAlignment="1" applyProtection="1">
      <alignment horizontal="center"/>
      <protection/>
    </xf>
    <xf numFmtId="4" fontId="77" fillId="0" borderId="36" xfId="73" applyNumberFormat="1" applyFont="1" applyFill="1" applyBorder="1" applyAlignment="1">
      <alignment horizontal="right"/>
      <protection/>
    </xf>
    <xf numFmtId="168" fontId="13" fillId="0" borderId="0" xfId="73" applyNumberFormat="1" applyFont="1" applyBorder="1" applyAlignment="1" applyProtection="1" quotePrefix="1">
      <alignment horizontal="center"/>
      <protection/>
    </xf>
    <xf numFmtId="164" fontId="13" fillId="0" borderId="0" xfId="73" applyNumberFormat="1" applyFont="1" applyFill="1" applyBorder="1" applyAlignment="1" applyProtection="1">
      <alignment horizontal="center"/>
      <protection/>
    </xf>
    <xf numFmtId="2" fontId="59" fillId="0" borderId="0" xfId="73" applyNumberFormat="1" applyFont="1" applyFill="1" applyBorder="1" applyAlignment="1">
      <alignment horizontal="center"/>
      <protection/>
    </xf>
    <xf numFmtId="168" fontId="49" fillId="0" borderId="0" xfId="73" applyNumberFormat="1" applyFont="1" applyFill="1" applyBorder="1" applyAlignment="1" applyProtection="1" quotePrefix="1">
      <alignment horizontal="center"/>
      <protection/>
    </xf>
    <xf numFmtId="8" fontId="77" fillId="0" borderId="0" xfId="55" applyNumberFormat="1" applyFont="1" applyFill="1" applyBorder="1" applyAlignment="1">
      <alignment horizontal="right"/>
    </xf>
    <xf numFmtId="168" fontId="13" fillId="0" borderId="0" xfId="73" applyNumberFormat="1" applyFont="1" applyBorder="1" applyAlignment="1" applyProtection="1" quotePrefix="1">
      <alignment horizontal="centerContinuous"/>
      <protection/>
    </xf>
    <xf numFmtId="4" fontId="77" fillId="0" borderId="0" xfId="73" applyNumberFormat="1" applyFont="1" applyFill="1" applyBorder="1" applyAlignment="1">
      <alignment horizontal="right"/>
      <protection/>
    </xf>
    <xf numFmtId="2" fontId="89" fillId="0" borderId="0" xfId="73" applyNumberFormat="1" applyFont="1" applyBorder="1" applyAlignment="1" applyProtection="1">
      <alignment horizontal="left"/>
      <protection/>
    </xf>
    <xf numFmtId="168" fontId="89" fillId="0" borderId="0" xfId="73" applyNumberFormat="1" applyFont="1" applyBorder="1" applyAlignment="1" applyProtection="1">
      <alignment horizontal="center"/>
      <protection/>
    </xf>
    <xf numFmtId="0" fontId="89" fillId="0" borderId="0" xfId="73" applyFont="1" applyBorder="1" applyAlignment="1" applyProtection="1">
      <alignment horizontal="center"/>
      <protection/>
    </xf>
    <xf numFmtId="165" fontId="89" fillId="0" borderId="0" xfId="73" applyNumberFormat="1" applyFont="1" applyBorder="1" applyAlignment="1" applyProtection="1">
      <alignment horizontal="center"/>
      <protection/>
    </xf>
    <xf numFmtId="0" fontId="111" fillId="0" borderId="0" xfId="73" applyFont="1">
      <alignment/>
      <protection/>
    </xf>
    <xf numFmtId="173" fontId="89" fillId="0" borderId="0" xfId="73" applyNumberFormat="1" applyFont="1" applyBorder="1" applyAlignment="1" applyProtection="1" quotePrefix="1">
      <alignment horizontal="center"/>
      <protection/>
    </xf>
    <xf numFmtId="0" fontId="89" fillId="0" borderId="0" xfId="73" applyFont="1">
      <alignment/>
      <protection/>
    </xf>
    <xf numFmtId="2" fontId="89" fillId="0" borderId="0" xfId="73" applyNumberFormat="1" applyFont="1" applyBorder="1" applyAlignment="1" applyProtection="1">
      <alignment horizontal="center"/>
      <protection/>
    </xf>
    <xf numFmtId="168" fontId="89" fillId="0" borderId="0" xfId="73" applyNumberFormat="1" applyFont="1" applyBorder="1" applyAlignment="1" applyProtection="1" quotePrefix="1">
      <alignment horizontal="center"/>
      <protection/>
    </xf>
    <xf numFmtId="0" fontId="4" fillId="0" borderId="0" xfId="73" applyFont="1" applyBorder="1" applyAlignment="1">
      <alignment horizontal="center"/>
      <protection/>
    </xf>
    <xf numFmtId="2" fontId="90" fillId="0" borderId="0" xfId="73" applyNumberFormat="1" applyFont="1" applyBorder="1" applyAlignment="1" applyProtection="1">
      <alignment horizontal="left"/>
      <protection/>
    </xf>
    <xf numFmtId="0" fontId="21" fillId="0" borderId="0" xfId="73" applyFont="1" applyAlignment="1">
      <alignment horizontal="center"/>
      <protection/>
    </xf>
    <xf numFmtId="173" fontId="4" fillId="0" borderId="0" xfId="73" applyNumberFormat="1" applyFont="1" applyBorder="1" applyAlignment="1" applyProtection="1">
      <alignment horizontal="left"/>
      <protection/>
    </xf>
    <xf numFmtId="168" fontId="4" fillId="0" borderId="0" xfId="73" applyNumberFormat="1" applyFont="1" applyBorder="1" applyAlignment="1" applyProtection="1">
      <alignment horizontal="left"/>
      <protection/>
    </xf>
    <xf numFmtId="4" fontId="88" fillId="0" borderId="0" xfId="73" applyNumberFormat="1" applyFont="1" applyBorder="1" applyAlignment="1" applyProtection="1">
      <alignment horizontal="center"/>
      <protection/>
    </xf>
    <xf numFmtId="7" fontId="4" fillId="0" borderId="0" xfId="73" applyNumberFormat="1" applyFont="1" applyBorder="1" applyAlignment="1">
      <alignment horizontal="centerContinuous"/>
      <protection/>
    </xf>
    <xf numFmtId="1" fontId="21" fillId="0" borderId="0" xfId="73" applyNumberFormat="1" applyFont="1" applyBorder="1" applyAlignment="1" applyProtection="1">
      <alignment horizontal="center"/>
      <protection/>
    </xf>
    <xf numFmtId="183" fontId="89" fillId="0" borderId="0" xfId="73" applyNumberFormat="1" applyFont="1" applyBorder="1" applyAlignment="1" applyProtection="1">
      <alignment horizontal="centerContinuous"/>
      <protection/>
    </xf>
    <xf numFmtId="168" fontId="21" fillId="0" borderId="0" xfId="73" applyNumberFormat="1" applyFont="1" applyBorder="1">
      <alignment/>
      <protection/>
    </xf>
    <xf numFmtId="7" fontId="21" fillId="0" borderId="0" xfId="73" applyNumberFormat="1" applyFont="1" applyBorder="1" applyAlignment="1">
      <alignment horizontal="centerContinuous"/>
      <protection/>
    </xf>
    <xf numFmtId="0" fontId="21" fillId="0" borderId="0" xfId="73" applyFont="1" applyAlignment="1">
      <alignment horizontal="centerContinuous"/>
      <protection/>
    </xf>
    <xf numFmtId="168" fontId="89" fillId="0" borderId="0" xfId="73" applyNumberFormat="1" applyFont="1" applyBorder="1" applyAlignment="1" applyProtection="1" quotePrefix="1">
      <alignment horizontal="right"/>
      <protection/>
    </xf>
    <xf numFmtId="0" fontId="112" fillId="0" borderId="0" xfId="73" applyFont="1" applyAlignment="1">
      <alignment vertical="center"/>
      <protection/>
    </xf>
    <xf numFmtId="168" fontId="88" fillId="0" borderId="0" xfId="73" applyNumberFormat="1" applyFont="1" applyBorder="1" applyAlignment="1" applyProtection="1" quotePrefix="1">
      <alignment horizontal="center"/>
      <protection/>
    </xf>
    <xf numFmtId="2" fontId="91" fillId="0" borderId="0" xfId="73" applyNumberFormat="1" applyFont="1" applyBorder="1" applyAlignment="1" applyProtection="1">
      <alignment horizontal="center"/>
      <protection/>
    </xf>
    <xf numFmtId="183" fontId="21" fillId="0" borderId="0" xfId="73" applyNumberFormat="1" applyFont="1" applyBorder="1" applyAlignment="1" applyProtection="1">
      <alignment horizontal="centerContinuous"/>
      <protection/>
    </xf>
    <xf numFmtId="4" fontId="89" fillId="0" borderId="0" xfId="73" applyNumberFormat="1" applyFont="1" applyBorder="1" applyAlignment="1" applyProtection="1">
      <alignment horizontal="center"/>
      <protection/>
    </xf>
    <xf numFmtId="7" fontId="89" fillId="0" borderId="0" xfId="73" applyNumberFormat="1" applyFont="1" applyFill="1" applyBorder="1" applyAlignment="1">
      <alignment horizontal="center"/>
      <protection/>
    </xf>
    <xf numFmtId="168" fontId="21" fillId="0" borderId="0" xfId="73" applyNumberFormat="1" applyFont="1" applyBorder="1" applyAlignment="1" applyProtection="1">
      <alignment horizontal="centerContinuous"/>
      <protection/>
    </xf>
    <xf numFmtId="1" fontId="21" fillId="0" borderId="0" xfId="73" applyNumberFormat="1" applyFont="1" applyBorder="1" applyAlignment="1" applyProtection="1">
      <alignment horizontal="left"/>
      <protection/>
    </xf>
    <xf numFmtId="1" fontId="21" fillId="0" borderId="0" xfId="73" applyNumberFormat="1" applyFont="1" applyBorder="1" applyAlignment="1" applyProtection="1">
      <alignment horizontal="centerContinuous"/>
      <protection/>
    </xf>
    <xf numFmtId="7" fontId="89" fillId="0" borderId="60" xfId="73" applyNumberFormat="1" applyFont="1" applyFill="1" applyBorder="1" applyAlignment="1">
      <alignment horizontal="center"/>
      <protection/>
    </xf>
    <xf numFmtId="7" fontId="21" fillId="0" borderId="0" xfId="73" applyNumberFormat="1" applyFont="1" applyBorder="1" applyAlignment="1">
      <alignment horizontal="right"/>
      <protection/>
    </xf>
    <xf numFmtId="0" fontId="116" fillId="0" borderId="16" xfId="73" applyFont="1" applyBorder="1" applyAlignment="1">
      <alignment horizontal="center"/>
      <protection/>
    </xf>
    <xf numFmtId="7" fontId="10" fillId="0" borderId="17" xfId="73" applyNumberFormat="1" applyFont="1" applyBorder="1" applyAlignment="1">
      <alignment horizontal="center"/>
      <protection/>
    </xf>
    <xf numFmtId="168" fontId="22" fillId="0" borderId="0" xfId="73" applyNumberFormat="1" applyFont="1" applyBorder="1" applyAlignment="1" applyProtection="1">
      <alignment horizontal="left"/>
      <protection/>
    </xf>
    <xf numFmtId="10" fontId="21" fillId="0" borderId="0" xfId="73" applyNumberFormat="1" applyFont="1" applyBorder="1" applyAlignment="1" applyProtection="1">
      <alignment horizontal="center"/>
      <protection/>
    </xf>
    <xf numFmtId="7" fontId="21" fillId="0" borderId="0" xfId="73" applyNumberFormat="1" applyFont="1" applyAlignment="1">
      <alignment horizontal="right"/>
      <protection/>
    </xf>
    <xf numFmtId="0" fontId="21" fillId="0" borderId="0" xfId="73" applyFont="1" quotePrefix="1">
      <alignment/>
      <protection/>
    </xf>
    <xf numFmtId="168" fontId="21" fillId="0" borderId="0" xfId="73" applyNumberFormat="1" applyFont="1" applyBorder="1" applyAlignment="1" applyProtection="1" quotePrefix="1">
      <alignment horizontal="center"/>
      <protection/>
    </xf>
    <xf numFmtId="7" fontId="21" fillId="0" borderId="0" xfId="73" applyNumberFormat="1" applyFont="1" applyBorder="1" applyAlignment="1" applyProtection="1">
      <alignment horizontal="left"/>
      <protection/>
    </xf>
    <xf numFmtId="0" fontId="111" fillId="0" borderId="0" xfId="73" applyFont="1" quotePrefix="1">
      <alignment/>
      <protection/>
    </xf>
    <xf numFmtId="0" fontId="23" fillId="0" borderId="14" xfId="73" applyFont="1" applyBorder="1" applyAlignment="1">
      <alignment vertical="center"/>
      <protection/>
    </xf>
    <xf numFmtId="0" fontId="94" fillId="0" borderId="0" xfId="73" applyFont="1" applyBorder="1">
      <alignment/>
      <protection/>
    </xf>
    <xf numFmtId="168" fontId="95" fillId="0" borderId="0" xfId="73" applyNumberFormat="1" applyFont="1" applyBorder="1" applyAlignment="1" applyProtection="1">
      <alignment horizontal="left" vertical="center"/>
      <protection/>
    </xf>
    <xf numFmtId="165" fontId="23" fillId="0" borderId="0" xfId="73" applyNumberFormat="1" applyFont="1" applyBorder="1" applyAlignment="1" applyProtection="1">
      <alignment horizontal="center" vertical="center"/>
      <protection/>
    </xf>
    <xf numFmtId="4" fontId="10" fillId="0" borderId="16" xfId="73" applyNumberFormat="1" applyFont="1" applyBorder="1" applyAlignment="1" applyProtection="1">
      <alignment horizontal="center" vertical="center"/>
      <protection/>
    </xf>
    <xf numFmtId="7" fontId="113" fillId="0" borderId="17" xfId="73" applyNumberFormat="1" applyFont="1" applyFill="1" applyBorder="1" applyAlignment="1">
      <alignment horizontal="center" vertical="center"/>
      <protection/>
    </xf>
    <xf numFmtId="168" fontId="10" fillId="0" borderId="0" xfId="73" applyNumberFormat="1" applyFont="1" applyBorder="1" applyAlignment="1" applyProtection="1">
      <alignment horizontal="left" vertical="center"/>
      <protection/>
    </xf>
    <xf numFmtId="168" fontId="23" fillId="0" borderId="0" xfId="73" applyNumberFormat="1" applyFont="1" applyBorder="1" applyAlignment="1" applyProtection="1">
      <alignment horizontal="center" vertical="center"/>
      <protection/>
    </xf>
    <xf numFmtId="2" fontId="92" fillId="0" borderId="0" xfId="73" applyNumberFormat="1" applyFont="1" applyBorder="1" applyAlignment="1" applyProtection="1">
      <alignment horizontal="center" vertical="center"/>
      <protection/>
    </xf>
    <xf numFmtId="168" fontId="93" fillId="0" borderId="0" xfId="73" applyNumberFormat="1" applyFont="1" applyBorder="1" applyAlignment="1" applyProtection="1" quotePrefix="1">
      <alignment horizontal="center" vertical="center"/>
      <protection/>
    </xf>
    <xf numFmtId="4" fontId="23" fillId="0" borderId="15" xfId="73" applyNumberFormat="1" applyFont="1" applyFill="1" applyBorder="1" applyAlignment="1">
      <alignment horizontal="center" vertical="center"/>
      <protection/>
    </xf>
    <xf numFmtId="0" fontId="21" fillId="0" borderId="18" xfId="73" applyFont="1" applyBorder="1">
      <alignment/>
      <protection/>
    </xf>
    <xf numFmtId="0" fontId="21" fillId="0" borderId="19" xfId="73" applyFont="1" applyBorder="1">
      <alignment/>
      <protection/>
    </xf>
    <xf numFmtId="0" fontId="3" fillId="0" borderId="19" xfId="73" applyBorder="1">
      <alignment/>
      <protection/>
    </xf>
    <xf numFmtId="0" fontId="21" fillId="0" borderId="20" xfId="73" applyFont="1" applyFill="1" applyBorder="1">
      <alignment/>
      <protection/>
    </xf>
    <xf numFmtId="0" fontId="13" fillId="0" borderId="0" xfId="73" applyFont="1" applyBorder="1" applyAlignment="1">
      <alignment horizontal="left"/>
      <protection/>
    </xf>
    <xf numFmtId="0" fontId="8" fillId="0" borderId="0" xfId="65" applyFont="1" applyFill="1">
      <alignment/>
      <protection/>
    </xf>
    <xf numFmtId="0" fontId="8" fillId="0" borderId="0" xfId="65" applyFont="1">
      <alignment/>
      <protection/>
    </xf>
    <xf numFmtId="0" fontId="11" fillId="0" borderId="0" xfId="65" applyFont="1" applyAlignment="1">
      <alignment horizontal="right" vertical="top"/>
      <protection/>
    </xf>
    <xf numFmtId="0" fontId="9" fillId="0" borderId="0" xfId="65" applyFont="1" applyAlignment="1">
      <alignment horizontal="centerContinuous"/>
      <protection/>
    </xf>
    <xf numFmtId="0" fontId="13" fillId="0" borderId="0" xfId="65" applyFont="1" applyFill="1">
      <alignment/>
      <protection/>
    </xf>
    <xf numFmtId="0" fontId="13" fillId="0" borderId="0" xfId="65" applyFont="1">
      <alignment/>
      <protection/>
    </xf>
    <xf numFmtId="0" fontId="6" fillId="0" borderId="0" xfId="65" applyFont="1" applyFill="1" applyBorder="1" applyAlignment="1" applyProtection="1">
      <alignment horizontal="centerContinuous"/>
      <protection/>
    </xf>
    <xf numFmtId="0" fontId="14" fillId="0" borderId="0" xfId="65" applyFont="1" applyAlignment="1">
      <alignment horizontal="centerContinuous"/>
      <protection/>
    </xf>
    <xf numFmtId="0" fontId="14" fillId="0" borderId="0" xfId="65" applyFont="1">
      <alignment/>
      <protection/>
    </xf>
    <xf numFmtId="0" fontId="13" fillId="0" borderId="11" xfId="65" applyFont="1" applyBorder="1">
      <alignment/>
      <protection/>
    </xf>
    <xf numFmtId="0" fontId="13" fillId="0" borderId="12" xfId="65" applyFont="1" applyBorder="1">
      <alignment/>
      <protection/>
    </xf>
    <xf numFmtId="0" fontId="13" fillId="0" borderId="13" xfId="65" applyFont="1" applyBorder="1">
      <alignment/>
      <protection/>
    </xf>
    <xf numFmtId="0" fontId="16" fillId="0" borderId="0" xfId="65" applyFont="1">
      <alignment/>
      <protection/>
    </xf>
    <xf numFmtId="0" fontId="16" fillId="0" borderId="14" xfId="65" applyFont="1" applyBorder="1">
      <alignment/>
      <protection/>
    </xf>
    <xf numFmtId="0" fontId="16" fillId="0" borderId="0" xfId="65" applyFont="1" applyBorder="1">
      <alignment/>
      <protection/>
    </xf>
    <xf numFmtId="0" fontId="20" fillId="0" borderId="0" xfId="65" applyFont="1" applyFill="1" applyBorder="1">
      <alignment/>
      <protection/>
    </xf>
    <xf numFmtId="0" fontId="16" fillId="0" borderId="0" xfId="65" applyFont="1" applyFill="1">
      <alignment/>
      <protection/>
    </xf>
    <xf numFmtId="0" fontId="16" fillId="0" borderId="0" xfId="65" applyFont="1" applyFill="1" applyBorder="1">
      <alignment/>
      <protection/>
    </xf>
    <xf numFmtId="0" fontId="16" fillId="0" borderId="15" xfId="65" applyFont="1" applyBorder="1">
      <alignment/>
      <protection/>
    </xf>
    <xf numFmtId="0" fontId="13" fillId="0" borderId="14" xfId="65" applyFont="1" applyBorder="1">
      <alignment/>
      <protection/>
    </xf>
    <xf numFmtId="0" fontId="13" fillId="0" borderId="0" xfId="65" applyFont="1" applyBorder="1">
      <alignment/>
      <protection/>
    </xf>
    <xf numFmtId="0" fontId="13" fillId="0" borderId="0" xfId="65" applyFont="1" applyFill="1" applyBorder="1">
      <alignment/>
      <protection/>
    </xf>
    <xf numFmtId="0" fontId="13" fillId="0" borderId="15" xfId="65" applyFont="1" applyBorder="1">
      <alignment/>
      <protection/>
    </xf>
    <xf numFmtId="0" fontId="20" fillId="0" borderId="0" xfId="65" applyFont="1" applyFill="1">
      <alignment/>
      <protection/>
    </xf>
    <xf numFmtId="0" fontId="78" fillId="0" borderId="0" xfId="65" applyFont="1" applyFill="1">
      <alignment/>
      <protection/>
    </xf>
    <xf numFmtId="0" fontId="16" fillId="0" borderId="0" xfId="65" applyFont="1" applyFill="1" applyBorder="1" applyProtection="1">
      <alignment/>
      <protection/>
    </xf>
    <xf numFmtId="0" fontId="5" fillId="0" borderId="0" xfId="65" applyFont="1" applyFill="1">
      <alignment/>
      <protection/>
    </xf>
    <xf numFmtId="0" fontId="13" fillId="0" borderId="0" xfId="65" applyFont="1" applyFill="1" applyBorder="1" applyProtection="1">
      <alignment/>
      <protection/>
    </xf>
    <xf numFmtId="0" fontId="25" fillId="0" borderId="0" xfId="65" applyFont="1" applyBorder="1">
      <alignment/>
      <protection/>
    </xf>
    <xf numFmtId="0" fontId="24" fillId="0" borderId="14" xfId="65" applyFont="1" applyBorder="1" applyAlignment="1">
      <alignment horizontal="centerContinuous"/>
      <protection/>
    </xf>
    <xf numFmtId="0" fontId="24" fillId="0" borderId="0" xfId="65" applyFont="1" applyBorder="1" applyAlignment="1">
      <alignment horizontal="centerContinuous"/>
      <protection/>
    </xf>
    <xf numFmtId="0" fontId="24" fillId="0" borderId="0" xfId="65" applyFont="1" applyBorder="1" applyAlignment="1" applyProtection="1">
      <alignment horizontal="centerContinuous"/>
      <protection/>
    </xf>
    <xf numFmtId="0" fontId="24" fillId="0" borderId="15" xfId="65" applyFont="1" applyBorder="1" applyAlignment="1">
      <alignment horizontal="centerContinuous"/>
      <protection/>
    </xf>
    <xf numFmtId="0" fontId="25" fillId="0" borderId="14" xfId="65" applyFont="1" applyBorder="1" applyAlignment="1">
      <alignment horizontal="centerContinuous"/>
      <protection/>
    </xf>
    <xf numFmtId="0" fontId="25" fillId="0" borderId="0" xfId="65" applyFont="1" applyBorder="1" applyAlignment="1">
      <alignment horizontal="centerContinuous"/>
      <protection/>
    </xf>
    <xf numFmtId="0" fontId="25" fillId="0" borderId="0" xfId="65" applyFont="1" applyBorder="1" applyAlignment="1" applyProtection="1">
      <alignment horizontal="centerContinuous"/>
      <protection/>
    </xf>
    <xf numFmtId="0" fontId="25" fillId="0" borderId="15" xfId="65" applyFont="1" applyBorder="1" applyAlignment="1">
      <alignment horizontal="centerContinuous"/>
      <protection/>
    </xf>
    <xf numFmtId="0" fontId="3" fillId="0" borderId="0" xfId="65" applyFont="1" applyBorder="1">
      <alignment/>
      <protection/>
    </xf>
    <xf numFmtId="0" fontId="3" fillId="0" borderId="21" xfId="65" applyFont="1" applyBorder="1" applyAlignment="1">
      <alignment horizontal="center"/>
      <protection/>
    </xf>
    <xf numFmtId="0" fontId="3" fillId="0" borderId="16" xfId="65" applyFont="1" applyBorder="1" applyAlignment="1" applyProtection="1">
      <alignment horizontal="left" vertical="center"/>
      <protection/>
    </xf>
    <xf numFmtId="174" fontId="3" fillId="0" borderId="17" xfId="65" applyNumberFormat="1" applyFont="1" applyBorder="1" applyAlignment="1" applyProtection="1">
      <alignment horizontal="center" vertical="center"/>
      <protection/>
    </xf>
    <xf numFmtId="0" fontId="3" fillId="0" borderId="21" xfId="65" applyFont="1" applyBorder="1" applyAlignment="1">
      <alignment horizontal="center" vertical="center"/>
      <protection/>
    </xf>
    <xf numFmtId="22" fontId="13" fillId="0" borderId="0" xfId="65" applyNumberFormat="1" applyFont="1" applyBorder="1">
      <alignment/>
      <protection/>
    </xf>
    <xf numFmtId="0" fontId="3" fillId="0" borderId="16" xfId="65" applyFont="1" applyBorder="1" applyAlignment="1">
      <alignment vertical="center"/>
      <protection/>
    </xf>
    <xf numFmtId="174" fontId="3" fillId="0" borderId="17" xfId="65" applyNumberFormat="1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left" vertical="center"/>
      <protection/>
    </xf>
    <xf numFmtId="0" fontId="3" fillId="0" borderId="0" xfId="65" applyFont="1" applyBorder="1" applyAlignment="1" applyProtection="1">
      <alignment horizontal="center"/>
      <protection/>
    </xf>
    <xf numFmtId="174" fontId="3" fillId="0" borderId="0" xfId="65" applyNumberFormat="1" applyFont="1" applyBorder="1" applyAlignment="1">
      <alignment horizontal="centerContinuous"/>
      <protection/>
    </xf>
    <xf numFmtId="0" fontId="29" fillId="0" borderId="0" xfId="65" applyFont="1" applyBorder="1">
      <alignment/>
      <protection/>
    </xf>
    <xf numFmtId="0" fontId="30" fillId="0" borderId="21" xfId="65" applyFont="1" applyFill="1" applyBorder="1" applyAlignment="1">
      <alignment horizontal="center" vertical="center"/>
      <protection/>
    </xf>
    <xf numFmtId="0" fontId="30" fillId="0" borderId="21" xfId="65" applyFont="1" applyBorder="1" applyAlignment="1">
      <alignment horizontal="center" vertical="center"/>
      <protection/>
    </xf>
    <xf numFmtId="0" fontId="30" fillId="0" borderId="21" xfId="65" applyFont="1" applyBorder="1" applyAlignment="1" applyProtection="1">
      <alignment horizontal="center" vertical="center" wrapText="1"/>
      <protection/>
    </xf>
    <xf numFmtId="0" fontId="30" fillId="0" borderId="17" xfId="65" applyFont="1" applyBorder="1" applyAlignment="1" applyProtection="1">
      <alignment horizontal="center" vertical="center"/>
      <protection/>
    </xf>
    <xf numFmtId="0" fontId="30" fillId="0" borderId="22" xfId="65" applyFont="1" applyBorder="1" applyAlignment="1">
      <alignment horizontal="center" vertical="center" wrapText="1"/>
      <protection/>
    </xf>
    <xf numFmtId="0" fontId="60" fillId="37" borderId="21" xfId="65" applyFont="1" applyFill="1" applyBorder="1" applyAlignment="1" applyProtection="1">
      <alignment horizontal="center" vertical="center"/>
      <protection/>
    </xf>
    <xf numFmtId="0" fontId="30" fillId="0" borderId="21" xfId="65" applyFont="1" applyBorder="1" applyAlignment="1" applyProtection="1">
      <alignment horizontal="center" vertical="center"/>
      <protection/>
    </xf>
    <xf numFmtId="0" fontId="30" fillId="0" borderId="17" xfId="65" applyFont="1" applyBorder="1" applyAlignment="1" applyProtection="1">
      <alignment horizontal="center" vertical="center" wrapText="1"/>
      <protection/>
    </xf>
    <xf numFmtId="0" fontId="30" fillId="0" borderId="16" xfId="65" applyFont="1" applyBorder="1" applyAlignment="1" applyProtection="1">
      <alignment horizontal="center" vertical="center" wrapText="1"/>
      <protection/>
    </xf>
    <xf numFmtId="0" fontId="30" fillId="0" borderId="16" xfId="65" applyFont="1" applyBorder="1" applyAlignment="1" applyProtection="1">
      <alignment horizontal="center" vertical="center"/>
      <protection/>
    </xf>
    <xf numFmtId="0" fontId="62" fillId="34" borderId="21" xfId="65" applyFont="1" applyFill="1" applyBorder="1" applyAlignment="1" applyProtection="1">
      <alignment horizontal="center" vertical="center"/>
      <protection/>
    </xf>
    <xf numFmtId="0" fontId="68" fillId="43" borderId="21" xfId="65" applyFont="1" applyFill="1" applyBorder="1" applyAlignment="1">
      <alignment horizontal="center" vertical="center" wrapText="1"/>
      <protection/>
    </xf>
    <xf numFmtId="0" fontId="35" fillId="36" borderId="16" xfId="65" applyFont="1" applyFill="1" applyBorder="1" applyAlignment="1" applyProtection="1">
      <alignment horizontal="centerContinuous" vertical="center" wrapText="1"/>
      <protection/>
    </xf>
    <xf numFmtId="0" fontId="35" fillId="36" borderId="17" xfId="65" applyFont="1" applyFill="1" applyBorder="1" applyAlignment="1">
      <alignment horizontal="centerContinuous" vertical="center"/>
      <protection/>
    </xf>
    <xf numFmtId="0" fontId="62" fillId="35" borderId="21" xfId="65" applyFont="1" applyFill="1" applyBorder="1" applyAlignment="1">
      <alignment horizontal="center" vertical="center" wrapText="1"/>
      <protection/>
    </xf>
    <xf numFmtId="0" fontId="30" fillId="0" borderId="21" xfId="65" applyFont="1" applyBorder="1" applyAlignment="1">
      <alignment horizontal="center" vertical="center" wrapText="1"/>
      <protection/>
    </xf>
    <xf numFmtId="0" fontId="30" fillId="0" borderId="21" xfId="65" applyFont="1" applyFill="1" applyBorder="1" applyAlignment="1">
      <alignment horizontal="center" vertical="center" wrapText="1"/>
      <protection/>
    </xf>
    <xf numFmtId="0" fontId="13" fillId="0" borderId="43" xfId="65" applyFont="1" applyFill="1" applyBorder="1" applyAlignment="1">
      <alignment horizontal="center"/>
      <protection/>
    </xf>
    <xf numFmtId="0" fontId="74" fillId="0" borderId="28" xfId="65" applyFont="1" applyBorder="1" applyAlignment="1" applyProtection="1">
      <alignment horizontal="center"/>
      <protection/>
    </xf>
    <xf numFmtId="0" fontId="63" fillId="37" borderId="28" xfId="65" applyFont="1" applyFill="1" applyBorder="1" applyAlignment="1" applyProtection="1">
      <alignment horizontal="center"/>
      <protection/>
    </xf>
    <xf numFmtId="0" fontId="29" fillId="34" borderId="23" xfId="65" applyFont="1" applyFill="1" applyBorder="1" applyAlignment="1" applyProtection="1">
      <alignment horizontal="center"/>
      <protection/>
    </xf>
    <xf numFmtId="0" fontId="72" fillId="43" borderId="23" xfId="65" applyFont="1" applyFill="1" applyBorder="1" applyAlignment="1" applyProtection="1">
      <alignment horizontal="center"/>
      <protection/>
    </xf>
    <xf numFmtId="168" fontId="51" fillId="36" borderId="24" xfId="65" applyNumberFormat="1" applyFont="1" applyFill="1" applyBorder="1" applyAlignment="1" applyProtection="1" quotePrefix="1">
      <alignment horizontal="center"/>
      <protection/>
    </xf>
    <xf numFmtId="168" fontId="51" fillId="36" borderId="26" xfId="65" applyNumberFormat="1" applyFont="1" applyFill="1" applyBorder="1" applyAlignment="1" applyProtection="1" quotePrefix="1">
      <alignment horizontal="center"/>
      <protection/>
    </xf>
    <xf numFmtId="168" fontId="64" fillId="35" borderId="23" xfId="65" applyNumberFormat="1" applyFont="1" applyFill="1" applyBorder="1" applyAlignment="1" applyProtection="1" quotePrefix="1">
      <alignment horizontal="center"/>
      <protection/>
    </xf>
    <xf numFmtId="7" fontId="79" fillId="0" borderId="28" xfId="65" applyNumberFormat="1" applyFont="1" applyBorder="1" applyAlignment="1" applyProtection="1">
      <alignment/>
      <protection/>
    </xf>
    <xf numFmtId="0" fontId="13" fillId="0" borderId="27" xfId="65" applyFont="1" applyFill="1" applyBorder="1" applyAlignment="1">
      <alignment horizontal="center"/>
      <protection/>
    </xf>
    <xf numFmtId="0" fontId="74" fillId="0" borderId="33" xfId="65" applyFont="1" applyBorder="1" applyAlignment="1" applyProtection="1">
      <alignment horizontal="center"/>
      <protection/>
    </xf>
    <xf numFmtId="0" fontId="63" fillId="37" borderId="33" xfId="65" applyFont="1" applyFill="1" applyBorder="1" applyAlignment="1" applyProtection="1">
      <alignment horizontal="center"/>
      <protection/>
    </xf>
    <xf numFmtId="0" fontId="29" fillId="34" borderId="28" xfId="65" applyFont="1" applyFill="1" applyBorder="1" applyAlignment="1" applyProtection="1">
      <alignment horizontal="center"/>
      <protection/>
    </xf>
    <xf numFmtId="0" fontId="72" fillId="43" borderId="28" xfId="65" applyFont="1" applyFill="1" applyBorder="1" applyAlignment="1" applyProtection="1">
      <alignment horizontal="center"/>
      <protection/>
    </xf>
    <xf numFmtId="168" fontId="51" fillId="36" borderId="30" xfId="65" applyNumberFormat="1" applyFont="1" applyFill="1" applyBorder="1" applyAlignment="1" applyProtection="1" quotePrefix="1">
      <alignment horizontal="center"/>
      <protection/>
    </xf>
    <xf numFmtId="168" fontId="51" fillId="36" borderId="56" xfId="65" applyNumberFormat="1" applyFont="1" applyFill="1" applyBorder="1" applyAlignment="1" applyProtection="1" quotePrefix="1">
      <alignment horizontal="center"/>
      <protection/>
    </xf>
    <xf numFmtId="168" fontId="64" fillId="35" borderId="28" xfId="65" applyNumberFormat="1" applyFont="1" applyFill="1" applyBorder="1" applyAlignment="1" applyProtection="1" quotePrefix="1">
      <alignment horizontal="center"/>
      <protection/>
    </xf>
    <xf numFmtId="168" fontId="77" fillId="0" borderId="28" xfId="65" applyNumberFormat="1" applyFont="1" applyFill="1" applyBorder="1" applyAlignment="1">
      <alignment horizontal="center"/>
      <protection/>
    </xf>
    <xf numFmtId="0" fontId="13" fillId="41" borderId="27" xfId="65" applyFont="1" applyFill="1" applyBorder="1" applyAlignment="1">
      <alignment horizontal="center"/>
      <protection/>
    </xf>
    <xf numFmtId="168" fontId="63" fillId="37" borderId="28" xfId="65" applyNumberFormat="1" applyFont="1" applyFill="1" applyBorder="1" applyAlignment="1" applyProtection="1">
      <alignment horizontal="center"/>
      <protection/>
    </xf>
    <xf numFmtId="22" fontId="13" fillId="0" borderId="30" xfId="65" applyNumberFormat="1" applyFont="1" applyBorder="1" applyAlignment="1" applyProtection="1">
      <alignment horizontal="center"/>
      <protection locked="0"/>
    </xf>
    <xf numFmtId="22" fontId="13" fillId="0" borderId="28" xfId="65" applyNumberFormat="1" applyFont="1" applyBorder="1" applyAlignment="1" applyProtection="1">
      <alignment horizontal="center"/>
      <protection locked="0"/>
    </xf>
    <xf numFmtId="2" fontId="13" fillId="0" borderId="28" xfId="65" applyNumberFormat="1" applyFont="1" applyFill="1" applyBorder="1" applyAlignment="1" applyProtection="1" quotePrefix="1">
      <alignment horizontal="center"/>
      <protection/>
    </xf>
    <xf numFmtId="164" fontId="13" fillId="0" borderId="28" xfId="65" applyNumberFormat="1" applyFont="1" applyFill="1" applyBorder="1" applyAlignment="1" applyProtection="1" quotePrefix="1">
      <alignment horizontal="center"/>
      <protection/>
    </xf>
    <xf numFmtId="168" fontId="13" fillId="0" borderId="29" xfId="65" applyNumberFormat="1" applyFont="1" applyBorder="1" applyAlignment="1" applyProtection="1">
      <alignment horizontal="center"/>
      <protection locked="0"/>
    </xf>
    <xf numFmtId="168" fontId="13" fillId="0" borderId="28" xfId="65" applyNumberFormat="1" applyFont="1" applyBorder="1" applyAlignment="1" applyProtection="1">
      <alignment horizontal="center"/>
      <protection/>
    </xf>
    <xf numFmtId="164" fontId="29" fillId="34" borderId="28" xfId="65" applyNumberFormat="1" applyFont="1" applyFill="1" applyBorder="1" applyAlignment="1" applyProtection="1">
      <alignment horizontal="center"/>
      <protection/>
    </xf>
    <xf numFmtId="2" fontId="72" fillId="43" borderId="28" xfId="65" applyNumberFormat="1" applyFont="1" applyFill="1" applyBorder="1" applyAlignment="1" applyProtection="1">
      <alignment horizontal="center"/>
      <protection/>
    </xf>
    <xf numFmtId="4" fontId="77" fillId="0" borderId="28" xfId="65" applyNumberFormat="1" applyFont="1" applyFill="1" applyBorder="1" applyAlignment="1">
      <alignment horizontal="right"/>
      <protection/>
    </xf>
    <xf numFmtId="0" fontId="74" fillId="0" borderId="33" xfId="65" applyFont="1" applyBorder="1" applyAlignment="1" applyProtection="1">
      <alignment horizontal="center"/>
      <protection locked="0"/>
    </xf>
    <xf numFmtId="164" fontId="49" fillId="0" borderId="28" xfId="65" applyNumberFormat="1" applyFont="1" applyBorder="1" applyAlignment="1" applyProtection="1" quotePrefix="1">
      <alignment horizontal="center"/>
      <protection locked="0"/>
    </xf>
    <xf numFmtId="0" fontId="13" fillId="0" borderId="34" xfId="65" applyFont="1" applyFill="1" applyBorder="1" applyAlignment="1">
      <alignment horizontal="center"/>
      <protection/>
    </xf>
    <xf numFmtId="0" fontId="74" fillId="0" borderId="69" xfId="65" applyFont="1" applyBorder="1" applyAlignment="1" applyProtection="1">
      <alignment horizontal="center"/>
      <protection locked="0"/>
    </xf>
    <xf numFmtId="164" fontId="49" fillId="0" borderId="36" xfId="65" applyNumberFormat="1" applyFont="1" applyBorder="1" applyAlignment="1" applyProtection="1">
      <alignment horizontal="center"/>
      <protection locked="0"/>
    </xf>
    <xf numFmtId="168" fontId="63" fillId="37" borderId="36" xfId="65" applyNumberFormat="1" applyFont="1" applyFill="1" applyBorder="1" applyAlignment="1" applyProtection="1">
      <alignment horizontal="center"/>
      <protection/>
    </xf>
    <xf numFmtId="168" fontId="13" fillId="0" borderId="50" xfId="65" applyNumberFormat="1" applyFont="1" applyBorder="1" applyAlignment="1" applyProtection="1">
      <alignment horizontal="center"/>
      <protection locked="0"/>
    </xf>
    <xf numFmtId="168" fontId="13" fillId="0" borderId="50" xfId="65" applyNumberFormat="1" applyFont="1" applyBorder="1" applyAlignment="1" applyProtection="1">
      <alignment horizontal="center"/>
      <protection/>
    </xf>
    <xf numFmtId="168" fontId="13" fillId="0" borderId="36" xfId="65" applyNumberFormat="1" applyFont="1" applyBorder="1" applyAlignment="1" applyProtection="1">
      <alignment horizontal="center"/>
      <protection locked="0"/>
    </xf>
    <xf numFmtId="164" fontId="29" fillId="34" borderId="36" xfId="65" applyNumberFormat="1" applyFont="1" applyFill="1" applyBorder="1" applyAlignment="1" applyProtection="1">
      <alignment horizontal="center"/>
      <protection locked="0"/>
    </xf>
    <xf numFmtId="2" fontId="72" fillId="43" borderId="36" xfId="65" applyNumberFormat="1" applyFont="1" applyFill="1" applyBorder="1" applyAlignment="1" applyProtection="1">
      <alignment horizontal="center"/>
      <protection locked="0"/>
    </xf>
    <xf numFmtId="168" fontId="51" fillId="36" borderId="37" xfId="65" applyNumberFormat="1" applyFont="1" applyFill="1" applyBorder="1" applyAlignment="1" applyProtection="1" quotePrefix="1">
      <alignment horizontal="center"/>
      <protection locked="0"/>
    </xf>
    <xf numFmtId="168" fontId="51" fillId="36" borderId="39" xfId="65" applyNumberFormat="1" applyFont="1" applyFill="1" applyBorder="1" applyAlignment="1" applyProtection="1" quotePrefix="1">
      <alignment horizontal="center"/>
      <protection locked="0"/>
    </xf>
    <xf numFmtId="168" fontId="64" fillId="35" borderId="36" xfId="65" applyNumberFormat="1" applyFont="1" applyFill="1" applyBorder="1" applyAlignment="1" applyProtection="1" quotePrefix="1">
      <alignment horizontal="center"/>
      <protection locked="0"/>
    </xf>
    <xf numFmtId="7" fontId="65" fillId="0" borderId="40" xfId="65" applyNumberFormat="1" applyFont="1" applyFill="1" applyBorder="1" applyAlignment="1">
      <alignment horizontal="right"/>
      <protection/>
    </xf>
    <xf numFmtId="0" fontId="104" fillId="0" borderId="41" xfId="65" applyFont="1" applyBorder="1" applyAlignment="1">
      <alignment horizontal="center"/>
      <protection/>
    </xf>
    <xf numFmtId="0" fontId="57" fillId="0" borderId="41" xfId="65" applyFont="1" applyBorder="1" applyAlignment="1">
      <alignment horizontal="center"/>
      <protection/>
    </xf>
    <xf numFmtId="0" fontId="58" fillId="0" borderId="0" xfId="65" applyFont="1" applyBorder="1" applyAlignment="1" applyProtection="1">
      <alignment horizontal="left"/>
      <protection/>
    </xf>
    <xf numFmtId="0" fontId="3" fillId="0" borderId="0" xfId="65">
      <alignment/>
      <protection/>
    </xf>
    <xf numFmtId="4" fontId="72" fillId="43" borderId="21" xfId="65" applyNumberFormat="1" applyFont="1" applyFill="1" applyBorder="1" applyAlignment="1">
      <alignment horizontal="center"/>
      <protection/>
    </xf>
    <xf numFmtId="4" fontId="51" fillId="36" borderId="54" xfId="65" applyNumberFormat="1" applyFont="1" applyFill="1" applyBorder="1" applyAlignment="1">
      <alignment horizontal="center"/>
      <protection/>
    </xf>
    <xf numFmtId="4" fontId="51" fillId="36" borderId="55" xfId="65" applyNumberFormat="1" applyFont="1" applyFill="1" applyBorder="1" applyAlignment="1">
      <alignment horizontal="center"/>
      <protection/>
    </xf>
    <xf numFmtId="4" fontId="64" fillId="35" borderId="21" xfId="65" applyNumberFormat="1" applyFont="1" applyFill="1" applyBorder="1" applyAlignment="1">
      <alignment horizontal="center"/>
      <protection/>
    </xf>
    <xf numFmtId="4" fontId="19" fillId="0" borderId="0" xfId="65" applyNumberFormat="1" applyFont="1" applyFill="1" applyBorder="1" applyAlignment="1">
      <alignment horizontal="center"/>
      <protection/>
    </xf>
    <xf numFmtId="7" fontId="4" fillId="0" borderId="21" xfId="65" applyNumberFormat="1" applyFont="1" applyFill="1" applyBorder="1" applyAlignment="1">
      <alignment horizontal="right"/>
      <protection/>
    </xf>
    <xf numFmtId="0" fontId="13" fillId="0" borderId="18" xfId="65" applyFont="1" applyBorder="1">
      <alignment/>
      <protection/>
    </xf>
    <xf numFmtId="0" fontId="13" fillId="0" borderId="19" xfId="65" applyFont="1" applyBorder="1">
      <alignment/>
      <protection/>
    </xf>
    <xf numFmtId="0" fontId="13" fillId="0" borderId="20" xfId="65" applyFont="1" applyBorder="1">
      <alignment/>
      <protection/>
    </xf>
    <xf numFmtId="0" fontId="0" fillId="0" borderId="0" xfId="65" applyFont="1">
      <alignment/>
      <protection/>
    </xf>
    <xf numFmtId="0" fontId="115" fillId="0" borderId="0" xfId="73" applyFont="1">
      <alignment/>
      <protection/>
    </xf>
    <xf numFmtId="0" fontId="20" fillId="0" borderId="0" xfId="73" applyFont="1" applyBorder="1">
      <alignment/>
      <protection/>
    </xf>
    <xf numFmtId="0" fontId="16" fillId="0" borderId="14" xfId="73" applyFont="1" applyBorder="1" applyAlignment="1">
      <alignment vertical="top"/>
      <protection/>
    </xf>
    <xf numFmtId="0" fontId="16" fillId="0" borderId="0" xfId="73" applyFont="1" applyBorder="1" applyAlignment="1">
      <alignment vertical="top"/>
      <protection/>
    </xf>
    <xf numFmtId="0" fontId="20" fillId="0" borderId="0" xfId="73" applyFont="1" applyBorder="1" applyAlignment="1">
      <alignment vertical="top"/>
      <protection/>
    </xf>
    <xf numFmtId="0" fontId="13" fillId="0" borderId="14" xfId="73" applyFont="1" applyBorder="1" applyAlignment="1">
      <alignment vertical="top"/>
      <protection/>
    </xf>
    <xf numFmtId="0" fontId="13" fillId="0" borderId="0" xfId="73" applyFont="1" applyBorder="1" applyAlignment="1">
      <alignment vertical="top"/>
      <protection/>
    </xf>
    <xf numFmtId="0" fontId="13" fillId="0" borderId="0" xfId="73" applyFont="1" applyBorder="1" applyAlignment="1" applyProtection="1">
      <alignment vertical="top"/>
      <protection/>
    </xf>
    <xf numFmtId="0" fontId="24" fillId="0" borderId="0" xfId="73" applyFont="1" applyAlignment="1">
      <alignment horizontal="centerContinuous"/>
      <protection/>
    </xf>
    <xf numFmtId="0" fontId="24" fillId="0" borderId="15" xfId="73" applyFont="1" applyFill="1" applyBorder="1" applyAlignment="1">
      <alignment horizontal="centerContinuous"/>
      <protection/>
    </xf>
    <xf numFmtId="0" fontId="25" fillId="0" borderId="0" xfId="73" applyFont="1" applyBorder="1" applyAlignment="1">
      <alignment horizontal="left"/>
      <protection/>
    </xf>
    <xf numFmtId="0" fontId="3" fillId="0" borderId="16" xfId="73" applyFont="1" applyBorder="1" applyAlignment="1" applyProtection="1">
      <alignment horizontal="center"/>
      <protection/>
    </xf>
    <xf numFmtId="0" fontId="3" fillId="0" borderId="17" xfId="73" applyBorder="1" applyAlignment="1">
      <alignment horizontal="centerContinuous"/>
      <protection/>
    </xf>
    <xf numFmtId="174" fontId="0" fillId="0" borderId="16" xfId="73" applyNumberFormat="1" applyFont="1" applyBorder="1" applyAlignment="1">
      <alignment horizontal="centerContinuous"/>
      <protection/>
    </xf>
    <xf numFmtId="164" fontId="30" fillId="0" borderId="21" xfId="73" applyNumberFormat="1" applyFont="1" applyBorder="1" applyAlignment="1" applyProtection="1">
      <alignment horizontal="center" vertical="center" wrapText="1"/>
      <protection/>
    </xf>
    <xf numFmtId="168" fontId="31" fillId="33" borderId="21" xfId="73" applyNumberFormat="1" applyFont="1" applyFill="1" applyBorder="1" applyAlignment="1" applyProtection="1">
      <alignment horizontal="center" vertical="center"/>
      <protection/>
    </xf>
    <xf numFmtId="0" fontId="32" fillId="34" borderId="21" xfId="73" applyFont="1" applyFill="1" applyBorder="1" applyAlignment="1" applyProtection="1">
      <alignment horizontal="center" vertical="center"/>
      <protection/>
    </xf>
    <xf numFmtId="0" fontId="34" fillId="35" borderId="21" xfId="73" applyFont="1" applyFill="1" applyBorder="1" applyAlignment="1">
      <alignment horizontal="center" vertical="center" wrapText="1"/>
      <protection/>
    </xf>
    <xf numFmtId="0" fontId="35" fillId="36" borderId="21" xfId="73" applyFont="1" applyFill="1" applyBorder="1" applyAlignment="1">
      <alignment horizontal="center" vertical="center" wrapText="1"/>
      <protection/>
    </xf>
    <xf numFmtId="0" fontId="7" fillId="37" borderId="22" xfId="73" applyFont="1" applyFill="1" applyBorder="1" applyAlignment="1">
      <alignment horizontal="centerContinuous"/>
      <protection/>
    </xf>
    <xf numFmtId="0" fontId="37" fillId="38" borderId="16" xfId="73" applyFont="1" applyFill="1" applyBorder="1" applyAlignment="1">
      <alignment horizontal="centerContinuous" vertical="center" wrapText="1"/>
      <protection/>
    </xf>
    <xf numFmtId="0" fontId="38" fillId="38" borderId="22" xfId="73" applyFont="1" applyFill="1" applyBorder="1" applyAlignment="1">
      <alignment horizontal="centerContinuous"/>
      <protection/>
    </xf>
    <xf numFmtId="0" fontId="37" fillId="38" borderId="17" xfId="73" applyFont="1" applyFill="1" applyBorder="1" applyAlignment="1">
      <alignment horizontal="centerContinuous" vertical="center"/>
      <protection/>
    </xf>
    <xf numFmtId="0" fontId="39" fillId="39" borderId="21" xfId="73" applyFont="1" applyFill="1" applyBorder="1" applyAlignment="1">
      <alignment horizontal="center" vertical="center" wrapText="1"/>
      <protection/>
    </xf>
    <xf numFmtId="0" fontId="40" fillId="40" borderId="21" xfId="73" applyFont="1" applyFill="1" applyBorder="1" applyAlignment="1">
      <alignment horizontal="center" vertical="center" wrapText="1"/>
      <protection/>
    </xf>
    <xf numFmtId="0" fontId="13" fillId="0" borderId="23" xfId="73" applyFont="1" applyFill="1" applyBorder="1" applyAlignment="1">
      <alignment horizontal="center"/>
      <protection/>
    </xf>
    <xf numFmtId="170" fontId="13" fillId="0" borderId="23" xfId="73" applyNumberFormat="1" applyFont="1" applyFill="1" applyBorder="1">
      <alignment/>
      <protection/>
    </xf>
    <xf numFmtId="0" fontId="13" fillId="0" borderId="23" xfId="73" applyFont="1" applyFill="1" applyBorder="1">
      <alignment/>
      <protection/>
    </xf>
    <xf numFmtId="0" fontId="41" fillId="0" borderId="23" xfId="73" applyFont="1" applyFill="1" applyBorder="1">
      <alignment/>
      <protection/>
    </xf>
    <xf numFmtId="0" fontId="42" fillId="0" borderId="23" xfId="73" applyFont="1" applyFill="1" applyBorder="1">
      <alignment/>
      <protection/>
    </xf>
    <xf numFmtId="22" fontId="13" fillId="0" borderId="23" xfId="73" applyNumberFormat="1" applyFont="1" applyFill="1" applyBorder="1">
      <alignment/>
      <protection/>
    </xf>
    <xf numFmtId="0" fontId="43" fillId="0" borderId="23" xfId="73" applyFont="1" applyFill="1" applyBorder="1">
      <alignment/>
      <protection/>
    </xf>
    <xf numFmtId="0" fontId="44" fillId="0" borderId="23" xfId="73" applyFont="1" applyFill="1" applyBorder="1">
      <alignment/>
      <protection/>
    </xf>
    <xf numFmtId="0" fontId="13" fillId="0" borderId="24" xfId="73" applyFont="1" applyFill="1" applyBorder="1">
      <alignment/>
      <protection/>
    </xf>
    <xf numFmtId="0" fontId="13" fillId="0" borderId="25" xfId="73" applyFont="1" applyFill="1" applyBorder="1">
      <alignment/>
      <protection/>
    </xf>
    <xf numFmtId="0" fontId="13" fillId="0" borderId="26" xfId="73" applyFont="1" applyFill="1" applyBorder="1">
      <alignment/>
      <protection/>
    </xf>
    <xf numFmtId="0" fontId="45" fillId="0" borderId="24" xfId="73" applyFont="1" applyFill="1" applyBorder="1">
      <alignment/>
      <protection/>
    </xf>
    <xf numFmtId="0" fontId="45" fillId="0" borderId="25" xfId="73" applyFont="1" applyFill="1" applyBorder="1">
      <alignment/>
      <protection/>
    </xf>
    <xf numFmtId="0" fontId="45" fillId="0" borderId="26" xfId="73" applyFont="1" applyFill="1" applyBorder="1">
      <alignment/>
      <protection/>
    </xf>
    <xf numFmtId="0" fontId="46" fillId="0" borderId="23" xfId="73" applyFont="1" applyFill="1" applyBorder="1">
      <alignment/>
      <protection/>
    </xf>
    <xf numFmtId="0" fontId="47" fillId="0" borderId="23" xfId="73" applyFont="1" applyFill="1" applyBorder="1">
      <alignment/>
      <protection/>
    </xf>
    <xf numFmtId="7" fontId="48" fillId="0" borderId="23" xfId="73" applyNumberFormat="1" applyFont="1" applyBorder="1" applyAlignment="1">
      <alignment/>
      <protection/>
    </xf>
    <xf numFmtId="0" fontId="41" fillId="33" borderId="28" xfId="73" applyFont="1" applyFill="1" applyBorder="1" applyAlignment="1" applyProtection="1">
      <alignment horizontal="center"/>
      <protection/>
    </xf>
    <xf numFmtId="174" fontId="42" fillId="34" borderId="28" xfId="73" applyNumberFormat="1" applyFont="1" applyFill="1" applyBorder="1" applyAlignment="1" applyProtection="1">
      <alignment horizontal="center"/>
      <protection/>
    </xf>
    <xf numFmtId="22" fontId="13" fillId="0" borderId="29" xfId="73" applyNumberFormat="1" applyFont="1" applyFill="1" applyBorder="1" applyAlignment="1" applyProtection="1">
      <alignment horizontal="center"/>
      <protection locked="0"/>
    </xf>
    <xf numFmtId="22" fontId="13" fillId="0" borderId="32" xfId="73" applyNumberFormat="1" applyFont="1" applyFill="1" applyBorder="1" applyAlignment="1" applyProtection="1">
      <alignment horizontal="center"/>
      <protection locked="0"/>
    </xf>
    <xf numFmtId="4" fontId="13" fillId="41" borderId="28" xfId="73" applyNumberFormat="1" applyFont="1" applyFill="1" applyBorder="1" applyAlignment="1" applyProtection="1" quotePrefix="1">
      <alignment horizontal="center"/>
      <protection/>
    </xf>
    <xf numFmtId="164" fontId="13" fillId="41" borderId="28" xfId="73" applyNumberFormat="1" applyFont="1" applyFill="1" applyBorder="1" applyAlignment="1" applyProtection="1" quotePrefix="1">
      <alignment horizontal="center"/>
      <protection/>
    </xf>
    <xf numFmtId="173" fontId="13" fillId="0" borderId="28" xfId="73" applyNumberFormat="1" applyFont="1" applyBorder="1" applyAlignment="1" applyProtection="1" quotePrefix="1">
      <alignment horizontal="center"/>
      <protection/>
    </xf>
    <xf numFmtId="2" fontId="50" fillId="35" borderId="28" xfId="73" applyNumberFormat="1" applyFont="1" applyFill="1" applyBorder="1" applyAlignment="1" applyProtection="1">
      <alignment horizontal="center"/>
      <protection/>
    </xf>
    <xf numFmtId="2" fontId="51" fillId="36" borderId="29" xfId="73" applyNumberFormat="1" applyFont="1" applyFill="1" applyBorder="1" applyAlignment="1" applyProtection="1">
      <alignment horizontal="center"/>
      <protection/>
    </xf>
    <xf numFmtId="168" fontId="52" fillId="37" borderId="30" xfId="73" applyNumberFormat="1" applyFont="1" applyFill="1" applyBorder="1" applyAlignment="1" applyProtection="1" quotePrefix="1">
      <alignment horizontal="center"/>
      <protection/>
    </xf>
    <xf numFmtId="168" fontId="52" fillId="37" borderId="31" xfId="73" applyNumberFormat="1" applyFont="1" applyFill="1" applyBorder="1" applyAlignment="1" applyProtection="1" quotePrefix="1">
      <alignment horizontal="center"/>
      <protection/>
    </xf>
    <xf numFmtId="4" fontId="52" fillId="37" borderId="29" xfId="73" applyNumberFormat="1" applyFont="1" applyFill="1" applyBorder="1" applyAlignment="1" applyProtection="1">
      <alignment horizontal="center"/>
      <protection/>
    </xf>
    <xf numFmtId="168" fontId="53" fillId="38" borderId="30" xfId="73" applyNumberFormat="1" applyFont="1" applyFill="1" applyBorder="1" applyAlignment="1" applyProtection="1" quotePrefix="1">
      <alignment horizontal="center"/>
      <protection/>
    </xf>
    <xf numFmtId="168" fontId="53" fillId="38" borderId="31" xfId="73" applyNumberFormat="1" applyFont="1" applyFill="1" applyBorder="1" applyAlignment="1" applyProtection="1" quotePrefix="1">
      <alignment horizontal="center"/>
      <protection/>
    </xf>
    <xf numFmtId="4" fontId="53" fillId="38" borderId="29" xfId="73" applyNumberFormat="1" applyFont="1" applyFill="1" applyBorder="1" applyAlignment="1" applyProtection="1">
      <alignment horizontal="center"/>
      <protection/>
    </xf>
    <xf numFmtId="4" fontId="54" fillId="39" borderId="28" xfId="73" applyNumberFormat="1" applyFont="1" applyFill="1" applyBorder="1" applyAlignment="1" applyProtection="1">
      <alignment horizontal="center"/>
      <protection/>
    </xf>
    <xf numFmtId="4" fontId="55" fillId="40" borderId="28" xfId="73" applyNumberFormat="1" applyFont="1" applyFill="1" applyBorder="1" applyAlignment="1" applyProtection="1">
      <alignment horizontal="center"/>
      <protection/>
    </xf>
    <xf numFmtId="4" fontId="13" fillId="0" borderId="28" xfId="73" applyNumberFormat="1" applyFont="1" applyBorder="1" applyAlignment="1" applyProtection="1">
      <alignment horizontal="center"/>
      <protection/>
    </xf>
    <xf numFmtId="2" fontId="13" fillId="0" borderId="15" xfId="73" applyNumberFormat="1" applyFont="1" applyFill="1" applyBorder="1" applyAlignment="1">
      <alignment horizontal="center"/>
      <protection/>
    </xf>
    <xf numFmtId="22" fontId="13" fillId="0" borderId="29" xfId="70" applyNumberFormat="1" applyFont="1" applyFill="1" applyBorder="1" applyAlignment="1" applyProtection="1">
      <alignment horizontal="center"/>
      <protection locked="0"/>
    </xf>
    <xf numFmtId="22" fontId="13" fillId="0" borderId="33" xfId="70" applyNumberFormat="1" applyFont="1" applyFill="1" applyBorder="1" applyAlignment="1" applyProtection="1">
      <alignment horizontal="center"/>
      <protection locked="0"/>
    </xf>
    <xf numFmtId="164" fontId="13" fillId="0" borderId="28" xfId="73" applyNumberFormat="1" applyFont="1" applyFill="1" applyBorder="1" applyAlignment="1" applyProtection="1">
      <alignment horizontal="center"/>
      <protection locked="0"/>
    </xf>
    <xf numFmtId="170" fontId="13" fillId="0" borderId="28" xfId="73" applyNumberFormat="1" applyFont="1" applyFill="1" applyBorder="1" applyAlignment="1" applyProtection="1">
      <alignment horizontal="center"/>
      <protection locked="0"/>
    </xf>
    <xf numFmtId="4" fontId="49" fillId="0" borderId="28" xfId="73" applyNumberFormat="1" applyFont="1" applyBorder="1" applyAlignment="1" applyProtection="1">
      <alignment horizontal="center"/>
      <protection/>
    </xf>
    <xf numFmtId="0" fontId="13" fillId="0" borderId="28" xfId="73" applyFont="1" applyBorder="1" applyAlignment="1" applyProtection="1">
      <alignment horizontal="center"/>
      <protection locked="0"/>
    </xf>
    <xf numFmtId="164" fontId="13" fillId="0" borderId="28" xfId="73" applyNumberFormat="1" applyFont="1" applyBorder="1" applyAlignment="1" applyProtection="1">
      <alignment horizontal="center"/>
      <protection locked="0"/>
    </xf>
    <xf numFmtId="170" fontId="13" fillId="0" borderId="28" xfId="73" applyNumberFormat="1" applyFont="1" applyBorder="1" applyAlignment="1" applyProtection="1">
      <alignment horizontal="center"/>
      <protection locked="0"/>
    </xf>
    <xf numFmtId="22" fontId="13" fillId="0" borderId="29" xfId="73" applyNumberFormat="1" applyFont="1" applyBorder="1" applyAlignment="1" applyProtection="1">
      <alignment horizontal="center"/>
      <protection locked="0"/>
    </xf>
    <xf numFmtId="22" fontId="13" fillId="0" borderId="32" xfId="73" applyNumberFormat="1" applyFont="1" applyBorder="1" applyAlignment="1" applyProtection="1">
      <alignment horizontal="center"/>
      <protection locked="0"/>
    </xf>
    <xf numFmtId="0" fontId="13" fillId="0" borderId="34" xfId="73" applyFont="1" applyFill="1" applyBorder="1" applyAlignment="1" applyProtection="1">
      <alignment horizontal="center"/>
      <protection locked="0"/>
    </xf>
    <xf numFmtId="0" fontId="13" fillId="0" borderId="36" xfId="73" applyFont="1" applyBorder="1" applyAlignment="1" applyProtection="1">
      <alignment horizontal="center"/>
      <protection locked="0"/>
    </xf>
    <xf numFmtId="170" fontId="13" fillId="0" borderId="36" xfId="73" applyNumberFormat="1" applyFont="1" applyBorder="1" applyAlignment="1" applyProtection="1">
      <alignment horizontal="center"/>
      <protection locked="0"/>
    </xf>
    <xf numFmtId="165" fontId="13" fillId="0" borderId="36" xfId="73" applyNumberFormat="1" applyFont="1" applyBorder="1" applyAlignment="1" applyProtection="1">
      <alignment horizontal="center"/>
      <protection locked="0"/>
    </xf>
    <xf numFmtId="0" fontId="41" fillId="33" borderId="36" xfId="73" applyFont="1" applyFill="1" applyBorder="1" applyAlignment="1" applyProtection="1">
      <alignment horizontal="center"/>
      <protection/>
    </xf>
    <xf numFmtId="174" fontId="42" fillId="34" borderId="36" xfId="73" applyNumberFormat="1" applyFont="1" applyFill="1" applyBorder="1" applyAlignment="1" applyProtection="1">
      <alignment horizontal="center"/>
      <protection/>
    </xf>
    <xf numFmtId="22" fontId="13" fillId="0" borderId="36" xfId="73" applyNumberFormat="1" applyFont="1" applyBorder="1" applyAlignment="1" applyProtection="1">
      <alignment horizontal="center"/>
      <protection locked="0"/>
    </xf>
    <xf numFmtId="2" fontId="43" fillId="35" borderId="36" xfId="73" applyNumberFormat="1" applyFont="1" applyFill="1" applyBorder="1" applyAlignment="1" applyProtection="1">
      <alignment horizontal="center"/>
      <protection locked="0"/>
    </xf>
    <xf numFmtId="2" fontId="51" fillId="36" borderId="36" xfId="73" applyNumberFormat="1" applyFont="1" applyFill="1" applyBorder="1" applyAlignment="1" applyProtection="1">
      <alignment horizontal="center"/>
      <protection locked="0"/>
    </xf>
    <xf numFmtId="168" fontId="52" fillId="37" borderId="37" xfId="73" applyNumberFormat="1" applyFont="1" applyFill="1" applyBorder="1" applyAlignment="1" applyProtection="1" quotePrefix="1">
      <alignment horizontal="center"/>
      <protection locked="0"/>
    </xf>
    <xf numFmtId="168" fontId="52" fillId="37" borderId="38" xfId="73" applyNumberFormat="1" applyFont="1" applyFill="1" applyBorder="1" applyAlignment="1" applyProtection="1" quotePrefix="1">
      <alignment horizontal="center"/>
      <protection locked="0"/>
    </xf>
    <xf numFmtId="4" fontId="52" fillId="37" borderId="39" xfId="73" applyNumberFormat="1" applyFont="1" applyFill="1" applyBorder="1" applyAlignment="1" applyProtection="1">
      <alignment horizontal="center"/>
      <protection locked="0"/>
    </xf>
    <xf numFmtId="168" fontId="53" fillId="38" borderId="37" xfId="73" applyNumberFormat="1" applyFont="1" applyFill="1" applyBorder="1" applyAlignment="1" applyProtection="1" quotePrefix="1">
      <alignment horizontal="center"/>
      <protection locked="0"/>
    </xf>
    <xf numFmtId="168" fontId="53" fillId="38" borderId="38" xfId="73" applyNumberFormat="1" applyFont="1" applyFill="1" applyBorder="1" applyAlignment="1" applyProtection="1" quotePrefix="1">
      <alignment horizontal="center"/>
      <protection locked="0"/>
    </xf>
    <xf numFmtId="4" fontId="53" fillId="38" borderId="39" xfId="73" applyNumberFormat="1" applyFont="1" applyFill="1" applyBorder="1" applyAlignment="1" applyProtection="1">
      <alignment horizontal="center"/>
      <protection locked="0"/>
    </xf>
    <xf numFmtId="4" fontId="54" fillId="39" borderId="36" xfId="73" applyNumberFormat="1" applyFont="1" applyFill="1" applyBorder="1" applyAlignment="1" applyProtection="1">
      <alignment horizontal="center"/>
      <protection locked="0"/>
    </xf>
    <xf numFmtId="4" fontId="55" fillId="40" borderId="36" xfId="73" applyNumberFormat="1" applyFont="1" applyFill="1" applyBorder="1" applyAlignment="1" applyProtection="1">
      <alignment horizontal="center"/>
      <protection locked="0"/>
    </xf>
    <xf numFmtId="4" fontId="49" fillId="0" borderId="36" xfId="73" applyNumberFormat="1" applyFont="1" applyBorder="1" applyAlignment="1" applyProtection="1">
      <alignment horizontal="center"/>
      <protection locked="0"/>
    </xf>
    <xf numFmtId="2" fontId="48" fillId="0" borderId="40" xfId="73" applyNumberFormat="1" applyFont="1" applyFill="1" applyBorder="1" applyAlignment="1">
      <alignment horizontal="right"/>
      <protection/>
    </xf>
    <xf numFmtId="0" fontId="104" fillId="0" borderId="41" xfId="73" applyFont="1" applyBorder="1" applyAlignment="1">
      <alignment horizontal="center"/>
      <protection/>
    </xf>
    <xf numFmtId="0" fontId="104" fillId="0" borderId="0" xfId="73" applyFont="1" applyBorder="1" applyAlignment="1">
      <alignment horizontal="left"/>
      <protection/>
    </xf>
    <xf numFmtId="164" fontId="49" fillId="0" borderId="0" xfId="73" applyNumberFormat="1" applyFont="1" applyBorder="1" applyAlignment="1" applyProtection="1">
      <alignment horizontal="center"/>
      <protection/>
    </xf>
    <xf numFmtId="165" fontId="13" fillId="0" borderId="0" xfId="73" applyNumberFormat="1" applyFont="1" applyBorder="1" applyAlignment="1" applyProtection="1">
      <alignment horizontal="center"/>
      <protection/>
    </xf>
    <xf numFmtId="173" fontId="13" fillId="0" borderId="0" xfId="73" applyNumberFormat="1" applyFont="1" applyBorder="1" applyAlignment="1" applyProtection="1" quotePrefix="1">
      <alignment horizontal="center"/>
      <protection/>
    </xf>
    <xf numFmtId="2" fontId="50" fillId="35" borderId="21" xfId="73" applyNumberFormat="1" applyFont="1" applyFill="1" applyBorder="1" applyAlignment="1" applyProtection="1">
      <alignment horizontal="center"/>
      <protection/>
    </xf>
    <xf numFmtId="2" fontId="51" fillId="36" borderId="21" xfId="73" applyNumberFormat="1" applyFont="1" applyFill="1" applyBorder="1" applyAlignment="1" applyProtection="1">
      <alignment horizontal="center"/>
      <protection/>
    </xf>
    <xf numFmtId="2" fontId="52" fillId="37" borderId="21" xfId="73" applyNumberFormat="1" applyFont="1" applyFill="1" applyBorder="1" applyAlignment="1" applyProtection="1">
      <alignment horizontal="center"/>
      <protection/>
    </xf>
    <xf numFmtId="2" fontId="53" fillId="38" borderId="21" xfId="73" applyNumberFormat="1" applyFont="1" applyFill="1" applyBorder="1" applyAlignment="1" applyProtection="1">
      <alignment horizontal="center"/>
      <protection/>
    </xf>
    <xf numFmtId="2" fontId="54" fillId="39" borderId="21" xfId="73" applyNumberFormat="1" applyFont="1" applyFill="1" applyBorder="1" applyAlignment="1" applyProtection="1">
      <alignment horizontal="center"/>
      <protection/>
    </xf>
    <xf numFmtId="2" fontId="55" fillId="40" borderId="21" xfId="73" applyNumberFormat="1" applyFont="1" applyFill="1" applyBorder="1" applyAlignment="1" applyProtection="1">
      <alignment horizontal="center"/>
      <protection/>
    </xf>
    <xf numFmtId="2" fontId="59" fillId="0" borderId="42" xfId="73" applyNumberFormat="1" applyFont="1" applyBorder="1" applyAlignment="1" applyProtection="1">
      <alignment horizontal="center"/>
      <protection/>
    </xf>
    <xf numFmtId="7" fontId="4" fillId="0" borderId="21" xfId="73" applyNumberFormat="1" applyFont="1" applyFill="1" applyBorder="1" applyAlignment="1" applyProtection="1">
      <alignment horizontal="right"/>
      <protection/>
    </xf>
    <xf numFmtId="0" fontId="20" fillId="0" borderId="0" xfId="73" applyFont="1" applyBorder="1" applyAlignment="1">
      <alignment horizontal="centerContinuous"/>
      <protection/>
    </xf>
    <xf numFmtId="0" fontId="16" fillId="0" borderId="0" xfId="73" applyFont="1" applyBorder="1" applyAlignment="1">
      <alignment horizontal="centerContinuous"/>
      <protection/>
    </xf>
    <xf numFmtId="0" fontId="16" fillId="0" borderId="0" xfId="73" applyFont="1" applyAlignment="1">
      <alignment horizontal="centerContinuous"/>
      <protection/>
    </xf>
    <xf numFmtId="0" fontId="16" fillId="0" borderId="15" xfId="73" applyFont="1" applyBorder="1" applyAlignment="1">
      <alignment horizontal="centerContinuous"/>
      <protection/>
    </xf>
    <xf numFmtId="0" fontId="20" fillId="0" borderId="0" xfId="73" applyFont="1">
      <alignment/>
      <protection/>
    </xf>
    <xf numFmtId="0" fontId="16" fillId="0" borderId="0" xfId="73" applyFont="1" applyBorder="1" applyProtection="1">
      <alignment/>
      <protection/>
    </xf>
    <xf numFmtId="0" fontId="5" fillId="0" borderId="0" xfId="73" applyFont="1" applyBorder="1">
      <alignment/>
      <protection/>
    </xf>
    <xf numFmtId="0" fontId="19" fillId="0" borderId="0" xfId="73" applyFont="1">
      <alignment/>
      <protection/>
    </xf>
    <xf numFmtId="0" fontId="3" fillId="0" borderId="16" xfId="73" applyFont="1" applyBorder="1" applyAlignment="1" applyProtection="1">
      <alignment horizontal="left"/>
      <protection/>
    </xf>
    <xf numFmtId="0" fontId="3" fillId="0" borderId="41" xfId="73" applyFont="1" applyBorder="1" applyAlignment="1" applyProtection="1">
      <alignment horizontal="center"/>
      <protection/>
    </xf>
    <xf numFmtId="0" fontId="3" fillId="0" borderId="16" xfId="73" applyFont="1" applyBorder="1" applyAlignment="1" applyProtection="1" quotePrefix="1">
      <alignment horizontal="left"/>
      <protection/>
    </xf>
    <xf numFmtId="0" fontId="3" fillId="0" borderId="22" xfId="73" applyFont="1" applyBorder="1" applyAlignment="1" applyProtection="1">
      <alignment horizontal="center"/>
      <protection/>
    </xf>
    <xf numFmtId="164" fontId="3" fillId="0" borderId="21" xfId="73" applyNumberFormat="1" applyFont="1" applyBorder="1" applyAlignment="1" applyProtection="1">
      <alignment horizontal="center"/>
      <protection/>
    </xf>
    <xf numFmtId="0" fontId="30" fillId="0" borderId="21" xfId="73" applyFont="1" applyBorder="1" applyAlignment="1" applyProtection="1" quotePrefix="1">
      <alignment horizontal="center" vertical="center" wrapText="1"/>
      <protection/>
    </xf>
    <xf numFmtId="0" fontId="74" fillId="0" borderId="27" xfId="73" applyFont="1" applyBorder="1" applyAlignment="1" applyProtection="1">
      <alignment horizontal="center"/>
      <protection/>
    </xf>
    <xf numFmtId="0" fontId="74" fillId="0" borderId="28" xfId="73" applyFont="1" applyBorder="1" applyAlignment="1" applyProtection="1">
      <alignment horizontal="center"/>
      <protection locked="0"/>
    </xf>
    <xf numFmtId="173" fontId="13" fillId="0" borderId="29" xfId="73" applyNumberFormat="1" applyFont="1" applyBorder="1" applyAlignment="1" applyProtection="1">
      <alignment horizontal="center"/>
      <protection/>
    </xf>
    <xf numFmtId="2" fontId="13" fillId="0" borderId="61" xfId="73" applyNumberFormat="1" applyFont="1" applyFill="1" applyBorder="1" applyAlignment="1" applyProtection="1" quotePrefix="1">
      <alignment horizontal="center"/>
      <protection/>
    </xf>
    <xf numFmtId="0" fontId="74" fillId="0" borderId="36" xfId="73" applyFont="1" applyBorder="1" applyAlignment="1" applyProtection="1">
      <alignment horizontal="center"/>
      <protection locked="0"/>
    </xf>
    <xf numFmtId="164" fontId="63" fillId="37" borderId="62" xfId="73" applyNumberFormat="1" applyFont="1" applyFill="1" applyBorder="1" applyAlignment="1" applyProtection="1">
      <alignment horizontal="center"/>
      <protection locked="0"/>
    </xf>
    <xf numFmtId="2" fontId="80" fillId="39" borderId="36" xfId="73" applyNumberFormat="1" applyFont="1" applyFill="1" applyBorder="1" applyAlignment="1" applyProtection="1">
      <alignment horizontal="center"/>
      <protection locked="0"/>
    </xf>
    <xf numFmtId="168" fontId="50" fillId="45" borderId="51" xfId="73" applyNumberFormat="1" applyFont="1" applyFill="1" applyBorder="1" applyAlignment="1" applyProtection="1" quotePrefix="1">
      <alignment horizontal="center"/>
      <protection locked="0"/>
    </xf>
    <xf numFmtId="168" fontId="50" fillId="45" borderId="52" xfId="73" applyNumberFormat="1" applyFont="1" applyFill="1" applyBorder="1" applyAlignment="1" applyProtection="1" quotePrefix="1">
      <alignment horizontal="center"/>
      <protection locked="0"/>
    </xf>
    <xf numFmtId="168" fontId="72" fillId="43" borderId="37" xfId="73" applyNumberFormat="1" applyFont="1" applyFill="1" applyBorder="1" applyAlignment="1" applyProtection="1" quotePrefix="1">
      <alignment horizontal="center"/>
      <protection/>
    </xf>
    <xf numFmtId="168" fontId="72" fillId="43" borderId="39" xfId="73" applyNumberFormat="1" applyFont="1" applyFill="1" applyBorder="1" applyAlignment="1" applyProtection="1" quotePrefix="1">
      <alignment horizontal="center"/>
      <protection/>
    </xf>
    <xf numFmtId="168" fontId="53" fillId="36" borderId="36" xfId="73" applyNumberFormat="1" applyFont="1" applyFill="1" applyBorder="1" applyAlignment="1" applyProtection="1" quotePrefix="1">
      <alignment horizontal="center"/>
      <protection locked="0"/>
    </xf>
    <xf numFmtId="168" fontId="77" fillId="0" borderId="40" xfId="73" applyNumberFormat="1" applyFont="1" applyFill="1" applyBorder="1" applyAlignment="1">
      <alignment horizontal="center"/>
      <protection/>
    </xf>
    <xf numFmtId="4" fontId="80" fillId="39" borderId="21" xfId="73" applyNumberFormat="1" applyFont="1" applyFill="1" applyBorder="1" applyAlignment="1">
      <alignment horizontal="center"/>
      <protection/>
    </xf>
    <xf numFmtId="4" fontId="50" fillId="45" borderId="54" xfId="73" applyNumberFormat="1" applyFont="1" applyFill="1" applyBorder="1" applyAlignment="1">
      <alignment horizontal="center"/>
      <protection/>
    </xf>
    <xf numFmtId="4" fontId="50" fillId="45" borderId="17" xfId="73" applyNumberFormat="1" applyFont="1" applyFill="1" applyBorder="1" applyAlignment="1">
      <alignment horizontal="center"/>
      <protection/>
    </xf>
    <xf numFmtId="4" fontId="53" fillId="36" borderId="21" xfId="73" applyNumberFormat="1" applyFont="1" applyFill="1" applyBorder="1" applyAlignment="1">
      <alignment horizontal="center"/>
      <protection/>
    </xf>
    <xf numFmtId="0" fontId="13" fillId="0" borderId="63" xfId="73" applyFont="1" applyBorder="1">
      <alignment/>
      <protection/>
    </xf>
    <xf numFmtId="0" fontId="0" fillId="0" borderId="0" xfId="73" applyFont="1" applyBorder="1">
      <alignment/>
      <protection/>
    </xf>
    <xf numFmtId="0" fontId="0" fillId="0" borderId="0" xfId="73" applyFont="1">
      <alignment/>
      <protection/>
    </xf>
    <xf numFmtId="0" fontId="6" fillId="0" borderId="0" xfId="66" applyFont="1" applyFill="1" applyBorder="1" applyAlignment="1" applyProtection="1">
      <alignment horizontal="centerContinuous"/>
      <protection/>
    </xf>
    <xf numFmtId="0" fontId="21" fillId="0" borderId="0" xfId="66" applyFont="1" applyBorder="1" applyAlignment="1">
      <alignment horizontal="left"/>
      <protection/>
    </xf>
    <xf numFmtId="174" fontId="21" fillId="0" borderId="0" xfId="66" applyNumberFormat="1" applyFont="1" applyBorder="1" applyAlignment="1" applyProtection="1">
      <alignment horizontal="center"/>
      <protection/>
    </xf>
    <xf numFmtId="1" fontId="48" fillId="0" borderId="0" xfId="66" applyNumberFormat="1" applyFont="1" applyBorder="1" applyAlignment="1" applyProtection="1">
      <alignment horizontal="center"/>
      <protection/>
    </xf>
    <xf numFmtId="0" fontId="30" fillId="0" borderId="21" xfId="62" applyFont="1" applyBorder="1" applyAlignment="1">
      <alignment horizontal="center" vertical="center"/>
      <protection/>
    </xf>
    <xf numFmtId="0" fontId="108" fillId="34" borderId="23" xfId="66" applyFont="1" applyFill="1" applyBorder="1" applyAlignment="1">
      <alignment horizontal="center"/>
      <protection/>
    </xf>
    <xf numFmtId="168" fontId="108" fillId="34" borderId="28" xfId="66" applyNumberFormat="1" applyFont="1" applyFill="1" applyBorder="1" applyAlignment="1" applyProtection="1">
      <alignment horizontal="center"/>
      <protection/>
    </xf>
    <xf numFmtId="164" fontId="13" fillId="0" borderId="27" xfId="70" applyNumberFormat="1" applyFont="1" applyFill="1" applyBorder="1" applyAlignment="1" applyProtection="1">
      <alignment horizontal="center"/>
      <protection locked="0"/>
    </xf>
    <xf numFmtId="0" fontId="13" fillId="0" borderId="36" xfId="66" applyFont="1" applyBorder="1" applyAlignment="1">
      <alignment horizontal="center"/>
      <protection/>
    </xf>
    <xf numFmtId="168" fontId="108" fillId="34" borderId="36" xfId="66" applyNumberFormat="1" applyFont="1" applyFill="1" applyBorder="1" applyAlignment="1" applyProtection="1">
      <alignment horizontal="center"/>
      <protection/>
    </xf>
    <xf numFmtId="0" fontId="48" fillId="0" borderId="0" xfId="66" applyFont="1" applyBorder="1" applyAlignment="1">
      <alignment horizontal="left"/>
      <protection/>
    </xf>
    <xf numFmtId="165" fontId="48" fillId="0" borderId="0" xfId="66" applyNumberFormat="1" applyFont="1" applyBorder="1" applyAlignment="1" applyProtection="1">
      <alignment horizontal="center"/>
      <protection/>
    </xf>
    <xf numFmtId="0" fontId="30" fillId="0" borderId="0" xfId="66" applyFont="1">
      <alignment/>
      <protection/>
    </xf>
    <xf numFmtId="168" fontId="48" fillId="0" borderId="0" xfId="66" applyNumberFormat="1" applyFont="1" applyBorder="1" applyAlignment="1" applyProtection="1">
      <alignment horizontal="center"/>
      <protection/>
    </xf>
    <xf numFmtId="0" fontId="62" fillId="54" borderId="21" xfId="66" applyFont="1" applyFill="1" applyBorder="1" applyAlignment="1">
      <alignment vertical="center" wrapText="1"/>
      <protection/>
    </xf>
    <xf numFmtId="164" fontId="63" fillId="37" borderId="60" xfId="66" applyNumberFormat="1" applyFont="1" applyFill="1" applyBorder="1" applyAlignment="1" applyProtection="1">
      <alignment horizontal="center"/>
      <protection locked="0"/>
    </xf>
    <xf numFmtId="2" fontId="64" fillId="54" borderId="28" xfId="66" applyNumberFormat="1" applyFont="1" applyFill="1" applyBorder="1" applyAlignment="1">
      <alignment horizontal="center"/>
      <protection/>
    </xf>
    <xf numFmtId="22" fontId="13" fillId="0" borderId="28" xfId="66" applyNumberFormat="1" applyFont="1" applyFill="1" applyBorder="1" applyAlignment="1">
      <alignment horizontal="center"/>
      <protection/>
    </xf>
    <xf numFmtId="168" fontId="29" fillId="48" borderId="0" xfId="66" applyNumberFormat="1" applyFont="1" applyFill="1" applyBorder="1" applyAlignment="1" applyProtection="1" quotePrefix="1">
      <alignment horizontal="center"/>
      <protection/>
    </xf>
    <xf numFmtId="0" fontId="60" fillId="37" borderId="17" xfId="66" applyFont="1" applyFill="1" applyBorder="1" applyAlignment="1" applyProtection="1">
      <alignment horizontal="center" vertical="center"/>
      <protection/>
    </xf>
    <xf numFmtId="0" fontId="61" fillId="39" borderId="21" xfId="66" applyFont="1" applyFill="1" applyBorder="1" applyAlignment="1">
      <alignment horizontal="center" vertical="center" wrapText="1"/>
      <protection/>
    </xf>
    <xf numFmtId="0" fontId="34" fillId="45" borderId="16" xfId="66" applyFont="1" applyFill="1" applyBorder="1" applyAlignment="1" applyProtection="1">
      <alignment horizontal="centerContinuous" vertical="center" wrapText="1"/>
      <protection/>
    </xf>
    <xf numFmtId="0" fontId="34" fillId="45" borderId="17" xfId="66" applyFont="1" applyFill="1" applyBorder="1" applyAlignment="1">
      <alignment horizontal="centerContinuous" vertical="center"/>
      <protection/>
    </xf>
    <xf numFmtId="0" fontId="68" fillId="43" borderId="16" xfId="66" applyFont="1" applyFill="1" applyBorder="1" applyAlignment="1" applyProtection="1">
      <alignment horizontal="centerContinuous" vertical="center" wrapText="1"/>
      <protection/>
    </xf>
    <xf numFmtId="0" fontId="68" fillId="43" borderId="17" xfId="66" applyFont="1" applyFill="1" applyBorder="1" applyAlignment="1">
      <alignment horizontal="centerContinuous" vertical="center"/>
      <protection/>
    </xf>
    <xf numFmtId="0" fontId="37" fillId="36" borderId="21" xfId="66" applyFont="1" applyFill="1" applyBorder="1" applyAlignment="1">
      <alignment horizontal="center" vertical="center" wrapText="1"/>
      <protection/>
    </xf>
    <xf numFmtId="0" fontId="67" fillId="36" borderId="21" xfId="66" applyFont="1" applyFill="1" applyBorder="1" applyAlignment="1">
      <alignment horizontal="center" vertical="center" wrapText="1"/>
      <protection/>
    </xf>
    <xf numFmtId="0" fontId="61" fillId="0" borderId="21" xfId="66" applyFont="1" applyFill="1" applyBorder="1" applyAlignment="1">
      <alignment horizontal="center" vertical="center" wrapText="1"/>
      <protection/>
    </xf>
    <xf numFmtId="0" fontId="13" fillId="0" borderId="23" xfId="66" applyFont="1" applyFill="1" applyBorder="1" applyAlignment="1">
      <alignment/>
      <protection/>
    </xf>
    <xf numFmtId="0" fontId="13" fillId="0" borderId="89" xfId="66" applyFont="1" applyFill="1" applyBorder="1" applyAlignment="1">
      <alignment/>
      <protection/>
    </xf>
    <xf numFmtId="0" fontId="13" fillId="0" borderId="67" xfId="66" applyFont="1" applyFill="1" applyBorder="1" applyAlignment="1">
      <alignment/>
      <protection/>
    </xf>
    <xf numFmtId="174" fontId="63" fillId="37" borderId="28" xfId="66" applyNumberFormat="1" applyFont="1" applyFill="1" applyBorder="1" applyAlignment="1" applyProtection="1">
      <alignment horizontal="center"/>
      <protection/>
    </xf>
    <xf numFmtId="164" fontId="63" fillId="37" borderId="60" xfId="66" applyNumberFormat="1" applyFont="1" applyFill="1" applyBorder="1" applyAlignment="1" applyProtection="1">
      <alignment horizontal="center"/>
      <protection/>
    </xf>
    <xf numFmtId="2" fontId="80" fillId="39" borderId="28" xfId="66" applyNumberFormat="1" applyFont="1" applyFill="1" applyBorder="1" applyAlignment="1" applyProtection="1">
      <alignment horizontal="center"/>
      <protection/>
    </xf>
    <xf numFmtId="168" fontId="50" fillId="45" borderId="48" xfId="66" applyNumberFormat="1" applyFont="1" applyFill="1" applyBorder="1" applyAlignment="1" applyProtection="1" quotePrefix="1">
      <alignment horizontal="center"/>
      <protection/>
    </xf>
    <xf numFmtId="168" fontId="50" fillId="45" borderId="49" xfId="66" applyNumberFormat="1" applyFont="1" applyFill="1" applyBorder="1" applyAlignment="1" applyProtection="1" quotePrefix="1">
      <alignment horizontal="center"/>
      <protection/>
    </xf>
    <xf numFmtId="168" fontId="72" fillId="43" borderId="48" xfId="66" applyNumberFormat="1" applyFont="1" applyFill="1" applyBorder="1" applyAlignment="1" applyProtection="1" quotePrefix="1">
      <alignment horizontal="center"/>
      <protection/>
    </xf>
    <xf numFmtId="168" fontId="72" fillId="43" borderId="49" xfId="66" applyNumberFormat="1" applyFont="1" applyFill="1" applyBorder="1" applyAlignment="1" applyProtection="1" quotePrefix="1">
      <alignment horizontal="center"/>
      <protection/>
    </xf>
    <xf numFmtId="168" fontId="53" fillId="36" borderId="27" xfId="66" applyNumberFormat="1" applyFont="1" applyFill="1" applyBorder="1" applyAlignment="1" applyProtection="1" quotePrefix="1">
      <alignment horizontal="center"/>
      <protection/>
    </xf>
    <xf numFmtId="2" fontId="71" fillId="36" borderId="28" xfId="66" applyNumberFormat="1" applyFont="1" applyFill="1" applyBorder="1" applyAlignment="1" applyProtection="1">
      <alignment horizontal="center"/>
      <protection/>
    </xf>
    <xf numFmtId="168" fontId="13" fillId="0" borderId="34" xfId="66" applyNumberFormat="1" applyFont="1" applyFill="1" applyBorder="1" applyAlignment="1" applyProtection="1">
      <alignment/>
      <protection/>
    </xf>
    <xf numFmtId="168" fontId="13" fillId="0" borderId="68" xfId="66" applyNumberFormat="1" applyFont="1" applyFill="1" applyBorder="1" applyAlignment="1" applyProtection="1">
      <alignment/>
      <protection/>
    </xf>
    <xf numFmtId="168" fontId="13" fillId="0" borderId="70" xfId="66" applyNumberFormat="1" applyFont="1" applyFill="1" applyBorder="1" applyAlignment="1" applyProtection="1">
      <alignment/>
      <protection/>
    </xf>
    <xf numFmtId="170" fontId="21" fillId="0" borderId="0" xfId="66" applyNumberFormat="1" applyFont="1" applyBorder="1" applyAlignment="1" applyProtection="1">
      <alignment horizontal="center"/>
      <protection/>
    </xf>
    <xf numFmtId="168" fontId="89" fillId="0" borderId="0" xfId="66" applyNumberFormat="1" applyFont="1" applyBorder="1" applyAlignment="1" applyProtection="1" quotePrefix="1">
      <alignment horizontal="right"/>
      <protection/>
    </xf>
    <xf numFmtId="7" fontId="21" fillId="0" borderId="60" xfId="66" applyNumberFormat="1" applyFont="1" applyBorder="1" applyAlignment="1">
      <alignment horizontal="centerContinuous"/>
      <protection/>
    </xf>
    <xf numFmtId="0" fontId="10" fillId="0" borderId="16" xfId="66" applyFont="1" applyBorder="1" applyAlignment="1">
      <alignment horizontal="center"/>
      <protection/>
    </xf>
    <xf numFmtId="7" fontId="10" fillId="0" borderId="17" xfId="66" applyNumberFormat="1" applyFont="1" applyBorder="1" applyAlignment="1">
      <alignment horizontal="center"/>
      <protection/>
    </xf>
    <xf numFmtId="0" fontId="104" fillId="0" borderId="41" xfId="72" applyFont="1" applyBorder="1" applyAlignment="1">
      <alignment horizontal="left"/>
      <protection/>
    </xf>
    <xf numFmtId="0" fontId="13" fillId="0" borderId="49" xfId="72" applyNumberFormat="1" applyFont="1" applyBorder="1" applyAlignment="1" applyProtection="1">
      <alignment horizontal="center"/>
      <protection locked="0"/>
    </xf>
    <xf numFmtId="0" fontId="27" fillId="0" borderId="0" xfId="74" applyNumberFormat="1" applyFont="1" applyBorder="1" applyAlignment="1">
      <alignment horizontal="left"/>
      <protection/>
    </xf>
    <xf numFmtId="0" fontId="8" fillId="0" borderId="0" xfId="69" applyFont="1" applyFill="1">
      <alignment/>
      <protection/>
    </xf>
    <xf numFmtId="0" fontId="8" fillId="0" borderId="0" xfId="69" applyFont="1">
      <alignment/>
      <protection/>
    </xf>
    <xf numFmtId="0" fontId="11" fillId="0" borderId="0" xfId="69" applyFont="1" applyAlignment="1">
      <alignment horizontal="right" vertical="top"/>
      <protection/>
    </xf>
    <xf numFmtId="0" fontId="9" fillId="0" borderId="0" xfId="69" applyFont="1" applyAlignment="1">
      <alignment horizontal="centerContinuous"/>
      <protection/>
    </xf>
    <xf numFmtId="0" fontId="9" fillId="0" borderId="0" xfId="69" applyFont="1" applyFill="1" applyAlignment="1">
      <alignment horizontal="centerContinuous"/>
      <protection/>
    </xf>
    <xf numFmtId="0" fontId="13" fillId="0" borderId="0" xfId="69" applyFont="1" applyFill="1">
      <alignment/>
      <protection/>
    </xf>
    <xf numFmtId="0" fontId="13" fillId="0" borderId="0" xfId="69" applyFont="1">
      <alignment/>
      <protection/>
    </xf>
    <xf numFmtId="0" fontId="6" fillId="0" borderId="0" xfId="69" applyFont="1" applyFill="1" applyBorder="1" applyAlignment="1" applyProtection="1">
      <alignment horizontal="centerContinuous"/>
      <protection/>
    </xf>
    <xf numFmtId="0" fontId="14" fillId="0" borderId="0" xfId="69" applyFont="1" applyAlignment="1">
      <alignment horizontal="centerContinuous"/>
      <protection/>
    </xf>
    <xf numFmtId="0" fontId="14" fillId="0" borderId="0" xfId="69" applyFont="1">
      <alignment/>
      <protection/>
    </xf>
    <xf numFmtId="0" fontId="14" fillId="0" borderId="0" xfId="69" applyFont="1" applyFill="1">
      <alignment/>
      <protection/>
    </xf>
    <xf numFmtId="0" fontId="13" fillId="0" borderId="11" xfId="69" applyFont="1" applyBorder="1">
      <alignment/>
      <protection/>
    </xf>
    <xf numFmtId="0" fontId="13" fillId="0" borderId="12" xfId="69" applyFont="1" applyBorder="1">
      <alignment/>
      <protection/>
    </xf>
    <xf numFmtId="0" fontId="13" fillId="0" borderId="12" xfId="69" applyFont="1" applyBorder="1" applyAlignment="1" applyProtection="1">
      <alignment horizontal="left"/>
      <protection/>
    </xf>
    <xf numFmtId="0" fontId="13" fillId="0" borderId="12" xfId="69" applyFont="1" applyFill="1" applyBorder="1">
      <alignment/>
      <protection/>
    </xf>
    <xf numFmtId="0" fontId="13" fillId="0" borderId="13" xfId="69" applyFont="1" applyFill="1" applyBorder="1">
      <alignment/>
      <protection/>
    </xf>
    <xf numFmtId="0" fontId="16" fillId="0" borderId="0" xfId="69" applyFont="1">
      <alignment/>
      <protection/>
    </xf>
    <xf numFmtId="0" fontId="16" fillId="0" borderId="14" xfId="69" applyFont="1" applyBorder="1">
      <alignment/>
      <protection/>
    </xf>
    <xf numFmtId="0" fontId="16" fillId="0" borderId="0" xfId="69" applyFont="1" applyBorder="1">
      <alignment/>
      <protection/>
    </xf>
    <xf numFmtId="0" fontId="20" fillId="0" borderId="0" xfId="71" applyFont="1" applyBorder="1">
      <alignment/>
      <protection/>
    </xf>
    <xf numFmtId="0" fontId="16" fillId="0" borderId="0" xfId="69" applyFont="1" applyFill="1">
      <alignment/>
      <protection/>
    </xf>
    <xf numFmtId="0" fontId="20" fillId="0" borderId="0" xfId="69" applyFont="1" applyBorder="1">
      <alignment/>
      <protection/>
    </xf>
    <xf numFmtId="0" fontId="16" fillId="0" borderId="0" xfId="69" applyFont="1" applyFill="1" applyBorder="1">
      <alignment/>
      <protection/>
    </xf>
    <xf numFmtId="0" fontId="16" fillId="0" borderId="15" xfId="69" applyFont="1" applyFill="1" applyBorder="1">
      <alignment/>
      <protection/>
    </xf>
    <xf numFmtId="0" fontId="13" fillId="0" borderId="14" xfId="69" applyFont="1" applyBorder="1">
      <alignment/>
      <protection/>
    </xf>
    <xf numFmtId="0" fontId="13" fillId="0" borderId="0" xfId="69" applyFont="1" applyBorder="1">
      <alignment/>
      <protection/>
    </xf>
    <xf numFmtId="0" fontId="13" fillId="0" borderId="0" xfId="69" applyFont="1" applyFill="1" applyBorder="1">
      <alignment/>
      <protection/>
    </xf>
    <xf numFmtId="0" fontId="13" fillId="0" borderId="15" xfId="69" applyFont="1" applyFill="1" applyBorder="1">
      <alignment/>
      <protection/>
    </xf>
    <xf numFmtId="0" fontId="20" fillId="0" borderId="0" xfId="69" applyFont="1" applyBorder="1" applyProtection="1">
      <alignment/>
      <protection locked="0"/>
    </xf>
    <xf numFmtId="0" fontId="23" fillId="0" borderId="0" xfId="69" applyFont="1">
      <alignment/>
      <protection/>
    </xf>
    <xf numFmtId="0" fontId="24" fillId="0" borderId="14" xfId="60" applyFont="1" applyBorder="1" applyAlignment="1">
      <alignment horizontal="centerContinuous"/>
      <protection/>
    </xf>
    <xf numFmtId="0" fontId="24" fillId="0" borderId="0" xfId="69" applyFont="1" applyBorder="1" applyAlignment="1">
      <alignment horizontal="centerContinuous"/>
      <protection/>
    </xf>
    <xf numFmtId="0" fontId="24" fillId="0" borderId="0" xfId="69" applyFont="1" applyFill="1" applyBorder="1" applyAlignment="1">
      <alignment horizontal="centerContinuous"/>
      <protection/>
    </xf>
    <xf numFmtId="0" fontId="24" fillId="0" borderId="0" xfId="69" applyFont="1" applyAlignment="1">
      <alignment horizontal="centerContinuous"/>
      <protection/>
    </xf>
    <xf numFmtId="0" fontId="24" fillId="0" borderId="15" xfId="69" applyFont="1" applyFill="1" applyBorder="1" applyAlignment="1">
      <alignment horizontal="centerContinuous"/>
      <protection/>
    </xf>
    <xf numFmtId="0" fontId="13" fillId="0" borderId="0" xfId="69" applyFont="1" applyBorder="1" applyAlignment="1">
      <alignment horizontal="center"/>
      <protection/>
    </xf>
    <xf numFmtId="0" fontId="25" fillId="0" borderId="0" xfId="69" applyFont="1" applyBorder="1" applyAlignment="1">
      <alignment horizontal="left"/>
      <protection/>
    </xf>
    <xf numFmtId="0" fontId="3" fillId="0" borderId="16" xfId="69" applyFont="1" applyBorder="1" applyAlignment="1" applyProtection="1">
      <alignment horizontal="center"/>
      <protection/>
    </xf>
    <xf numFmtId="174" fontId="48" fillId="0" borderId="16" xfId="58" applyNumberFormat="1" applyFont="1" applyBorder="1" applyAlignment="1" applyProtection="1">
      <alignment horizontal="centerContinuous"/>
      <protection locked="0"/>
    </xf>
    <xf numFmtId="0" fontId="3" fillId="0" borderId="17" xfId="69" applyBorder="1" applyAlignment="1">
      <alignment horizontal="centerContinuous"/>
      <protection/>
    </xf>
    <xf numFmtId="174" fontId="48" fillId="0" borderId="0" xfId="58" applyNumberFormat="1" applyFont="1" applyBorder="1" applyAlignment="1">
      <alignment horizontal="center"/>
      <protection/>
    </xf>
    <xf numFmtId="0" fontId="5" fillId="55" borderId="11" xfId="69" applyFont="1" applyFill="1" applyBorder="1" applyAlignment="1">
      <alignment horizontal="left"/>
      <protection/>
    </xf>
    <xf numFmtId="2" fontId="13" fillId="55" borderId="12" xfId="69" applyNumberFormat="1" applyFont="1" applyFill="1" applyBorder="1" applyAlignment="1">
      <alignment horizontal="left"/>
      <protection/>
    </xf>
    <xf numFmtId="0" fontId="13" fillId="55" borderId="13" xfId="69" applyFont="1" applyFill="1" applyBorder="1" applyAlignment="1">
      <alignment horizontal="left"/>
      <protection/>
    </xf>
    <xf numFmtId="0" fontId="5" fillId="56" borderId="90" xfId="69" applyFont="1" applyFill="1" applyBorder="1">
      <alignment/>
      <protection/>
    </xf>
    <xf numFmtId="0" fontId="5" fillId="56" borderId="91" xfId="69" applyFont="1" applyFill="1" applyBorder="1">
      <alignment/>
      <protection/>
    </xf>
    <xf numFmtId="0" fontId="5" fillId="56" borderId="92" xfId="69" applyFont="1" applyFill="1" applyBorder="1">
      <alignment/>
      <protection/>
    </xf>
    <xf numFmtId="174" fontId="3" fillId="0" borderId="0" xfId="69" applyNumberFormat="1" applyFont="1" applyBorder="1" applyAlignment="1">
      <alignment horizontal="centerContinuous"/>
      <protection/>
    </xf>
    <xf numFmtId="0" fontId="13" fillId="55" borderId="14" xfId="69" applyFont="1" applyFill="1" applyBorder="1" applyAlignment="1">
      <alignment horizontal="left"/>
      <protection/>
    </xf>
    <xf numFmtId="0" fontId="13" fillId="55" borderId="0" xfId="69" applyFont="1" applyFill="1" applyBorder="1" applyAlignment="1">
      <alignment horizontal="left"/>
      <protection/>
    </xf>
    <xf numFmtId="22" fontId="13" fillId="55" borderId="15" xfId="69" applyNumberFormat="1" applyFont="1" applyFill="1" applyBorder="1" applyAlignment="1">
      <alignment horizontal="left"/>
      <protection/>
    </xf>
    <xf numFmtId="22" fontId="13" fillId="0" borderId="0" xfId="69" applyNumberFormat="1" applyFont="1" applyBorder="1">
      <alignment/>
      <protection/>
    </xf>
    <xf numFmtId="0" fontId="5" fillId="56" borderId="93" xfId="69" applyFont="1" applyFill="1" applyBorder="1">
      <alignment/>
      <protection/>
    </xf>
    <xf numFmtId="0" fontId="5" fillId="56" borderId="0" xfId="69" applyFont="1" applyFill="1" applyBorder="1">
      <alignment/>
      <protection/>
    </xf>
    <xf numFmtId="0" fontId="5" fillId="56" borderId="94" xfId="69" applyFont="1" applyFill="1" applyBorder="1">
      <alignment/>
      <protection/>
    </xf>
    <xf numFmtId="0" fontId="5" fillId="0" borderId="0" xfId="69" applyFont="1" applyFill="1" applyBorder="1">
      <alignment/>
      <protection/>
    </xf>
    <xf numFmtId="0" fontId="5" fillId="0" borderId="15" xfId="69" applyFont="1" applyFill="1" applyBorder="1">
      <alignment/>
      <protection/>
    </xf>
    <xf numFmtId="0" fontId="13" fillId="0" borderId="0" xfId="69" applyFont="1" applyBorder="1" applyAlignment="1" applyProtection="1">
      <alignment horizontal="center"/>
      <protection/>
    </xf>
    <xf numFmtId="0" fontId="13" fillId="0" borderId="62" xfId="69" applyFont="1" applyBorder="1">
      <alignment/>
      <protection/>
    </xf>
    <xf numFmtId="0" fontId="13" fillId="55" borderId="18" xfId="69" applyFont="1" applyFill="1" applyBorder="1" applyAlignment="1">
      <alignment horizontal="left"/>
      <protection/>
    </xf>
    <xf numFmtId="0" fontId="5" fillId="55" borderId="19" xfId="69" applyFont="1" applyFill="1" applyBorder="1" applyAlignment="1">
      <alignment horizontal="left"/>
      <protection/>
    </xf>
    <xf numFmtId="0" fontId="5" fillId="55" borderId="20" xfId="69" applyFont="1" applyFill="1" applyBorder="1" applyAlignment="1">
      <alignment horizontal="left"/>
      <protection/>
    </xf>
    <xf numFmtId="0" fontId="5" fillId="56" borderId="95" xfId="69" applyFont="1" applyFill="1" applyBorder="1">
      <alignment/>
      <protection/>
    </xf>
    <xf numFmtId="0" fontId="5" fillId="56" borderId="96" xfId="69" applyFont="1" applyFill="1" applyBorder="1">
      <alignment/>
      <protection/>
    </xf>
    <xf numFmtId="0" fontId="5" fillId="56" borderId="97" xfId="69" applyFont="1" applyFill="1" applyBorder="1">
      <alignment/>
      <protection/>
    </xf>
    <xf numFmtId="0" fontId="30" fillId="0" borderId="21" xfId="69" applyFont="1" applyBorder="1" applyAlignment="1" applyProtection="1">
      <alignment horizontal="center" vertical="center" textRotation="90" wrapText="1"/>
      <protection/>
    </xf>
    <xf numFmtId="0" fontId="30" fillId="0" borderId="21" xfId="69" applyFont="1" applyBorder="1" applyAlignment="1">
      <alignment horizontal="center" vertical="center"/>
      <protection/>
    </xf>
    <xf numFmtId="0" fontId="30" fillId="0" borderId="21" xfId="69" applyFont="1" applyBorder="1" applyAlignment="1" applyProtection="1">
      <alignment horizontal="center" vertical="center"/>
      <protection/>
    </xf>
    <xf numFmtId="164" fontId="30" fillId="0" borderId="21" xfId="69" applyNumberFormat="1" applyFont="1" applyBorder="1" applyAlignment="1" applyProtection="1">
      <alignment horizontal="center" vertical="center" wrapText="1"/>
      <protection/>
    </xf>
    <xf numFmtId="0" fontId="30" fillId="0" borderId="21" xfId="69" applyFont="1" applyBorder="1" applyAlignment="1" applyProtection="1">
      <alignment horizontal="center" vertical="center" wrapText="1"/>
      <protection/>
    </xf>
    <xf numFmtId="168" fontId="30" fillId="0" borderId="21" xfId="69" applyNumberFormat="1" applyFont="1" applyBorder="1" applyAlignment="1" applyProtection="1">
      <alignment horizontal="center" vertical="center"/>
      <protection/>
    </xf>
    <xf numFmtId="168" fontId="31" fillId="33" borderId="21" xfId="69" applyNumberFormat="1" applyFont="1" applyFill="1" applyBorder="1" applyAlignment="1" applyProtection="1">
      <alignment horizontal="center" vertical="center"/>
      <protection/>
    </xf>
    <xf numFmtId="0" fontId="32" fillId="34" borderId="21" xfId="69" applyFont="1" applyFill="1" applyBorder="1" applyAlignment="1" applyProtection="1">
      <alignment horizontal="center" vertical="center"/>
      <protection/>
    </xf>
    <xf numFmtId="0" fontId="30" fillId="0" borderId="16" xfId="69" applyFont="1" applyBorder="1" applyAlignment="1" applyProtection="1">
      <alignment horizontal="center" vertical="center"/>
      <protection/>
    </xf>
    <xf numFmtId="0" fontId="30" fillId="0" borderId="16" xfId="69" applyFont="1" applyFill="1" applyBorder="1" applyAlignment="1" applyProtection="1">
      <alignment horizontal="center" vertical="center" wrapText="1"/>
      <protection/>
    </xf>
    <xf numFmtId="0" fontId="30" fillId="0" borderId="21" xfId="69" applyFont="1" applyFill="1" applyBorder="1" applyAlignment="1" applyProtection="1">
      <alignment horizontal="center" vertical="center" wrapText="1"/>
      <protection/>
    </xf>
    <xf numFmtId="0" fontId="30" fillId="0" borderId="16" xfId="69" applyFont="1" applyBorder="1" applyAlignment="1" applyProtection="1">
      <alignment horizontal="center" vertical="center" wrapText="1"/>
      <protection/>
    </xf>
    <xf numFmtId="0" fontId="36" fillId="37" borderId="69" xfId="69" applyFont="1" applyFill="1" applyBorder="1" applyAlignment="1" applyProtection="1">
      <alignment horizontal="centerContinuous" vertical="center" wrapText="1"/>
      <protection/>
    </xf>
    <xf numFmtId="0" fontId="7" fillId="37" borderId="62" xfId="69" applyFont="1" applyFill="1" applyBorder="1" applyAlignment="1">
      <alignment horizontal="centerContinuous"/>
      <protection/>
    </xf>
    <xf numFmtId="0" fontId="36" fillId="37" borderId="50" xfId="69" applyFont="1" applyFill="1" applyBorder="1" applyAlignment="1">
      <alignment horizontal="centerContinuous" vertical="center"/>
      <protection/>
    </xf>
    <xf numFmtId="0" fontId="30" fillId="0" borderId="21" xfId="69" applyFont="1" applyFill="1" applyBorder="1" applyAlignment="1">
      <alignment horizontal="center" vertical="center" wrapText="1"/>
      <protection/>
    </xf>
    <xf numFmtId="0" fontId="30" fillId="0" borderId="21" xfId="69" applyFont="1" applyBorder="1" applyAlignment="1">
      <alignment horizontal="center" vertical="center" wrapText="1"/>
      <protection/>
    </xf>
    <xf numFmtId="0" fontId="30" fillId="55" borderId="21" xfId="69" applyFont="1" applyFill="1" applyBorder="1" applyAlignment="1">
      <alignment horizontal="center" vertical="center" wrapText="1"/>
      <protection/>
    </xf>
    <xf numFmtId="0" fontId="13" fillId="0" borderId="15" xfId="69" applyFont="1" applyFill="1" applyBorder="1" applyAlignment="1">
      <alignment horizontal="center"/>
      <protection/>
    </xf>
    <xf numFmtId="0" fontId="13" fillId="0" borderId="23" xfId="69" applyFont="1" applyBorder="1">
      <alignment/>
      <protection/>
    </xf>
    <xf numFmtId="0" fontId="13" fillId="0" borderId="23" xfId="69" applyFont="1" applyBorder="1" applyAlignment="1">
      <alignment horizontal="center"/>
      <protection/>
    </xf>
    <xf numFmtId="0" fontId="41" fillId="33" borderId="23" xfId="69" applyFont="1" applyFill="1" applyBorder="1">
      <alignment/>
      <protection/>
    </xf>
    <xf numFmtId="0" fontId="42" fillId="34" borderId="23" xfId="69" applyFont="1" applyFill="1" applyBorder="1">
      <alignment/>
      <protection/>
    </xf>
    <xf numFmtId="0" fontId="13" fillId="0" borderId="23" xfId="69" applyFont="1" applyFill="1" applyBorder="1">
      <alignment/>
      <protection/>
    </xf>
    <xf numFmtId="0" fontId="13" fillId="57" borderId="23" xfId="69" applyFont="1" applyFill="1" applyBorder="1">
      <alignment/>
      <protection/>
    </xf>
    <xf numFmtId="0" fontId="13" fillId="37" borderId="24" xfId="69" applyFont="1" applyFill="1" applyBorder="1">
      <alignment/>
      <protection/>
    </xf>
    <xf numFmtId="0" fontId="13" fillId="37" borderId="25" xfId="69" applyFont="1" applyFill="1" applyBorder="1">
      <alignment/>
      <protection/>
    </xf>
    <xf numFmtId="0" fontId="13" fillId="37" borderId="26" xfId="69" applyFont="1" applyFill="1" applyBorder="1">
      <alignment/>
      <protection/>
    </xf>
    <xf numFmtId="7" fontId="48" fillId="0" borderId="23" xfId="69" applyNumberFormat="1" applyFont="1" applyFill="1" applyBorder="1" applyAlignment="1">
      <alignment/>
      <protection/>
    </xf>
    <xf numFmtId="7" fontId="48" fillId="0" borderId="0" xfId="69" applyNumberFormat="1" applyFont="1" applyBorder="1" applyAlignment="1">
      <alignment/>
      <protection/>
    </xf>
    <xf numFmtId="7" fontId="48" fillId="0" borderId="0" xfId="69" applyNumberFormat="1" applyFont="1" applyFill="1" applyBorder="1" applyAlignment="1">
      <alignment/>
      <protection/>
    </xf>
    <xf numFmtId="7" fontId="48" fillId="0" borderId="93" xfId="69" applyNumberFormat="1" applyFont="1" applyFill="1" applyBorder="1" applyAlignment="1">
      <alignment/>
      <protection/>
    </xf>
    <xf numFmtId="7" fontId="48" fillId="55" borderId="0" xfId="69" applyNumberFormat="1" applyFont="1" applyFill="1" applyBorder="1" applyAlignment="1">
      <alignment/>
      <protection/>
    </xf>
    <xf numFmtId="0" fontId="13" fillId="0" borderId="14" xfId="69" applyFont="1" applyFill="1" applyBorder="1">
      <alignment/>
      <protection/>
    </xf>
    <xf numFmtId="0" fontId="13" fillId="0" borderId="43" xfId="69" applyFont="1" applyFill="1" applyBorder="1">
      <alignment/>
      <protection/>
    </xf>
    <xf numFmtId="0" fontId="13" fillId="0" borderId="35" xfId="69" applyFont="1" applyFill="1" applyBorder="1">
      <alignment/>
      <protection/>
    </xf>
    <xf numFmtId="0" fontId="13" fillId="0" borderId="57" xfId="69" applyFont="1" applyFill="1" applyBorder="1">
      <alignment/>
      <protection/>
    </xf>
    <xf numFmtId="0" fontId="13" fillId="0" borderId="35" xfId="69" applyFont="1" applyFill="1" applyBorder="1" applyProtection="1">
      <alignment/>
      <protection locked="0"/>
    </xf>
    <xf numFmtId="0" fontId="13" fillId="0" borderId="35" xfId="69" applyFont="1" applyFill="1" applyBorder="1" applyAlignment="1" applyProtection="1">
      <alignment horizontal="center"/>
      <protection locked="0"/>
    </xf>
    <xf numFmtId="0" fontId="41" fillId="0" borderId="35" xfId="69" applyFont="1" applyFill="1" applyBorder="1" applyProtection="1">
      <alignment/>
      <protection locked="0"/>
    </xf>
    <xf numFmtId="0" fontId="42" fillId="0" borderId="35" xfId="69" applyFont="1" applyFill="1" applyBorder="1" applyProtection="1">
      <alignment/>
      <protection locked="0"/>
    </xf>
    <xf numFmtId="22" fontId="13" fillId="0" borderId="57" xfId="69" applyNumberFormat="1" applyFont="1" applyFill="1" applyBorder="1" applyAlignment="1" applyProtection="1">
      <alignment horizontal="center"/>
      <protection locked="0"/>
    </xf>
    <xf numFmtId="0" fontId="13" fillId="0" borderId="0" xfId="69" applyFont="1" applyFill="1" applyBorder="1" applyProtection="1">
      <alignment/>
      <protection locked="0"/>
    </xf>
    <xf numFmtId="0" fontId="13" fillId="0" borderId="57" xfId="69" applyFont="1" applyFill="1" applyBorder="1" applyProtection="1">
      <alignment/>
      <protection locked="0"/>
    </xf>
    <xf numFmtId="168" fontId="49" fillId="0" borderId="98" xfId="69" applyNumberFormat="1" applyFont="1" applyFill="1" applyBorder="1" applyAlignment="1" applyProtection="1" quotePrefix="1">
      <alignment horizontal="center"/>
      <protection/>
    </xf>
    <xf numFmtId="4" fontId="49" fillId="0" borderId="98" xfId="69" applyNumberFormat="1" applyFont="1" applyFill="1" applyBorder="1" applyAlignment="1" applyProtection="1">
      <alignment horizontal="center"/>
      <protection/>
    </xf>
    <xf numFmtId="0" fontId="48" fillId="0" borderId="57" xfId="69" applyFont="1" applyFill="1" applyBorder="1">
      <alignment/>
      <protection/>
    </xf>
    <xf numFmtId="0" fontId="48" fillId="0" borderId="57" xfId="69" applyFont="1" applyFill="1" applyBorder="1" applyProtection="1">
      <alignment/>
      <protection locked="0"/>
    </xf>
    <xf numFmtId="0" fontId="48" fillId="0" borderId="99" xfId="69" applyFont="1" applyFill="1" applyBorder="1">
      <alignment/>
      <protection/>
    </xf>
    <xf numFmtId="0" fontId="13" fillId="0" borderId="100" xfId="69" applyFont="1" applyFill="1" applyBorder="1" applyAlignment="1">
      <alignment horizontal="center"/>
      <protection/>
    </xf>
    <xf numFmtId="0" fontId="13" fillId="0" borderId="100" xfId="0" applyFont="1" applyFill="1" applyBorder="1" applyAlignment="1" applyProtection="1">
      <alignment horizontal="center"/>
      <protection locked="0"/>
    </xf>
    <xf numFmtId="164" fontId="13" fillId="0" borderId="100" xfId="0" applyNumberFormat="1" applyFont="1" applyFill="1" applyBorder="1" applyAlignment="1" applyProtection="1">
      <alignment horizontal="center"/>
      <protection locked="0"/>
    </xf>
    <xf numFmtId="165" fontId="13" fillId="0" borderId="100" xfId="0" applyNumberFormat="1" applyFont="1" applyFill="1" applyBorder="1" applyAlignment="1" applyProtection="1">
      <alignment horizontal="center"/>
      <protection locked="0"/>
    </xf>
    <xf numFmtId="0" fontId="41" fillId="0" borderId="100" xfId="69" applyFont="1" applyFill="1" applyBorder="1" applyProtection="1">
      <alignment/>
      <protection locked="0"/>
    </xf>
    <xf numFmtId="0" fontId="42" fillId="0" borderId="100" xfId="69" applyFont="1" applyFill="1" applyBorder="1" applyProtection="1">
      <alignment/>
      <protection locked="0"/>
    </xf>
    <xf numFmtId="22" fontId="13" fillId="0" borderId="101" xfId="0" applyNumberFormat="1" applyFont="1" applyFill="1" applyBorder="1" applyAlignment="1" applyProtection="1">
      <alignment horizontal="center"/>
      <protection locked="0"/>
    </xf>
    <xf numFmtId="4" fontId="13" fillId="0" borderId="100" xfId="69" applyNumberFormat="1" applyFont="1" applyFill="1" applyBorder="1" applyAlignment="1" applyProtection="1" quotePrefix="1">
      <alignment horizontal="center"/>
      <protection/>
    </xf>
    <xf numFmtId="164" fontId="13" fillId="0" borderId="100" xfId="69" applyNumberFormat="1" applyFont="1" applyFill="1" applyBorder="1" applyAlignment="1" applyProtection="1" quotePrefix="1">
      <alignment horizontal="center"/>
      <protection/>
    </xf>
    <xf numFmtId="168" fontId="13" fillId="0" borderId="101" xfId="69" applyNumberFormat="1" applyFont="1" applyFill="1" applyBorder="1" applyAlignment="1" applyProtection="1">
      <alignment horizontal="center"/>
      <protection locked="0"/>
    </xf>
    <xf numFmtId="173" fontId="13" fillId="0" borderId="100" xfId="69" applyNumberFormat="1" applyFont="1" applyFill="1" applyBorder="1" applyAlignment="1" applyProtection="1" quotePrefix="1">
      <alignment horizontal="center"/>
      <protection/>
    </xf>
    <xf numFmtId="168" fontId="13" fillId="0" borderId="100" xfId="69" applyNumberFormat="1" applyFont="1" applyFill="1" applyBorder="1" applyAlignment="1" applyProtection="1">
      <alignment horizontal="center"/>
      <protection/>
    </xf>
    <xf numFmtId="168" fontId="49" fillId="0" borderId="100" xfId="69" applyNumberFormat="1" applyFont="1" applyFill="1" applyBorder="1" applyAlignment="1" applyProtection="1" quotePrefix="1">
      <alignment horizontal="center"/>
      <protection/>
    </xf>
    <xf numFmtId="4" fontId="49" fillId="0" borderId="100" xfId="69" applyNumberFormat="1" applyFont="1" applyFill="1" applyBorder="1" applyAlignment="1" applyProtection="1">
      <alignment horizontal="center"/>
      <protection/>
    </xf>
    <xf numFmtId="4" fontId="48" fillId="0" borderId="101" xfId="69" applyNumberFormat="1" applyFont="1" applyFill="1" applyBorder="1" applyAlignment="1">
      <alignment horizontal="right"/>
      <protection/>
    </xf>
    <xf numFmtId="4" fontId="13" fillId="0" borderId="100" xfId="69" applyNumberFormat="1" applyFont="1" applyFill="1" applyBorder="1" applyAlignment="1" applyProtection="1">
      <alignment horizontal="center"/>
      <protection/>
    </xf>
    <xf numFmtId="179" fontId="48" fillId="0" borderId="101" xfId="69" applyNumberFormat="1" applyFont="1" applyFill="1" applyBorder="1" applyAlignment="1" applyProtection="1">
      <alignment horizontal="center"/>
      <protection locked="0"/>
    </xf>
    <xf numFmtId="3" fontId="48" fillId="0" borderId="102" xfId="69" applyNumberFormat="1" applyFont="1" applyFill="1" applyBorder="1" applyAlignment="1">
      <alignment horizontal="right"/>
      <protection/>
    </xf>
    <xf numFmtId="4" fontId="48" fillId="0" borderId="103" xfId="69" applyNumberFormat="1" applyFont="1" applyFill="1" applyBorder="1" applyAlignment="1" applyProtection="1">
      <alignment horizontal="center"/>
      <protection locked="0"/>
    </xf>
    <xf numFmtId="170" fontId="48" fillId="0" borderId="103" xfId="69" applyNumberFormat="1" applyFont="1" applyFill="1" applyBorder="1" applyAlignment="1">
      <alignment horizontal="center"/>
      <protection/>
    </xf>
    <xf numFmtId="4" fontId="48" fillId="0" borderId="102" xfId="69" applyNumberFormat="1" applyFont="1" applyFill="1" applyBorder="1" applyAlignment="1">
      <alignment horizontal="right"/>
      <protection/>
    </xf>
    <xf numFmtId="4" fontId="48" fillId="0" borderId="104" xfId="69" applyNumberFormat="1" applyFont="1" applyFill="1" applyBorder="1" applyAlignment="1">
      <alignment horizontal="right"/>
      <protection/>
    </xf>
    <xf numFmtId="4" fontId="118" fillId="0" borderId="101" xfId="69" applyNumberFormat="1" applyFont="1" applyFill="1" applyBorder="1" applyAlignment="1">
      <alignment horizontal="right"/>
      <protection/>
    </xf>
    <xf numFmtId="180" fontId="118" fillId="0" borderId="101" xfId="69" applyNumberFormat="1" applyFont="1" applyFill="1" applyBorder="1" applyAlignment="1">
      <alignment horizontal="right"/>
      <protection/>
    </xf>
    <xf numFmtId="4" fontId="48" fillId="0" borderId="100" xfId="69" applyNumberFormat="1" applyFont="1" applyFill="1" applyBorder="1" applyAlignment="1">
      <alignment horizontal="right"/>
      <protection/>
    </xf>
    <xf numFmtId="2" fontId="13" fillId="0" borderId="15" xfId="69" applyNumberFormat="1" applyFont="1" applyFill="1" applyBorder="1" applyAlignment="1">
      <alignment horizontal="center"/>
      <protection/>
    </xf>
    <xf numFmtId="0" fontId="13" fillId="0" borderId="27" xfId="69" applyFont="1" applyFill="1" applyBorder="1" applyAlignment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 locked="0"/>
    </xf>
    <xf numFmtId="164" fontId="13" fillId="0" borderId="28" xfId="0" applyNumberFormat="1" applyFont="1" applyFill="1" applyBorder="1" applyAlignment="1" applyProtection="1">
      <alignment horizontal="center"/>
      <protection locked="0"/>
    </xf>
    <xf numFmtId="165" fontId="13" fillId="0" borderId="28" xfId="0" applyNumberFormat="1" applyFont="1" applyFill="1" applyBorder="1" applyAlignment="1" applyProtection="1">
      <alignment horizontal="center"/>
      <protection locked="0"/>
    </xf>
    <xf numFmtId="0" fontId="41" fillId="0" borderId="27" xfId="69" applyFont="1" applyFill="1" applyBorder="1" applyProtection="1">
      <alignment/>
      <protection locked="0"/>
    </xf>
    <xf numFmtId="0" fontId="42" fillId="0" borderId="27" xfId="69" applyFont="1" applyFill="1" applyBorder="1" applyProtection="1">
      <alignment/>
      <protection locked="0"/>
    </xf>
    <xf numFmtId="22" fontId="13" fillId="0" borderId="29" xfId="0" applyNumberFormat="1" applyFont="1" applyFill="1" applyBorder="1" applyAlignment="1" applyProtection="1">
      <alignment horizontal="center"/>
      <protection locked="0"/>
    </xf>
    <xf numFmtId="22" fontId="13" fillId="0" borderId="47" xfId="0" applyNumberFormat="1" applyFont="1" applyFill="1" applyBorder="1" applyAlignment="1" applyProtection="1">
      <alignment horizontal="center"/>
      <protection locked="0"/>
    </xf>
    <xf numFmtId="4" fontId="13" fillId="0" borderId="27" xfId="69" applyNumberFormat="1" applyFont="1" applyFill="1" applyBorder="1" applyAlignment="1" applyProtection="1" quotePrefix="1">
      <alignment horizontal="center"/>
      <protection/>
    </xf>
    <xf numFmtId="164" fontId="13" fillId="0" borderId="27" xfId="69" applyNumberFormat="1" applyFont="1" applyFill="1" applyBorder="1" applyAlignment="1" applyProtection="1" quotePrefix="1">
      <alignment horizontal="center"/>
      <protection/>
    </xf>
    <xf numFmtId="173" fontId="13" fillId="0" borderId="27" xfId="69" applyNumberFormat="1" applyFont="1" applyFill="1" applyBorder="1" applyAlignment="1" applyProtection="1" quotePrefix="1">
      <alignment horizontal="center"/>
      <protection/>
    </xf>
    <xf numFmtId="168" fontId="13" fillId="0" borderId="27" xfId="69" applyNumberFormat="1" applyFont="1" applyFill="1" applyBorder="1" applyAlignment="1" applyProtection="1">
      <alignment horizontal="center"/>
      <protection/>
    </xf>
    <xf numFmtId="179" fontId="48" fillId="0" borderId="101" xfId="69" applyNumberFormat="1" applyFont="1" applyFill="1" applyBorder="1" applyAlignment="1" applyProtection="1">
      <alignment horizontal="right"/>
      <protection locked="0"/>
    </xf>
    <xf numFmtId="0" fontId="13" fillId="0" borderId="98" xfId="69" applyFont="1" applyFill="1" applyBorder="1" applyAlignment="1">
      <alignment horizontal="center"/>
      <protection/>
    </xf>
    <xf numFmtId="0" fontId="13" fillId="0" borderId="105" xfId="69" applyFont="1" applyFill="1" applyBorder="1" applyAlignment="1">
      <alignment horizontal="center"/>
      <protection/>
    </xf>
    <xf numFmtId="0" fontId="13" fillId="0" borderId="98" xfId="58" applyFont="1" applyFill="1" applyBorder="1" applyAlignment="1" applyProtection="1">
      <alignment horizontal="center"/>
      <protection locked="0"/>
    </xf>
    <xf numFmtId="164" fontId="13" fillId="0" borderId="98" xfId="58" applyNumberFormat="1" applyFont="1" applyFill="1" applyBorder="1" applyAlignment="1" applyProtection="1">
      <alignment horizontal="center"/>
      <protection locked="0"/>
    </xf>
    <xf numFmtId="165" fontId="13" fillId="0" borderId="98" xfId="58" applyNumberFormat="1" applyFont="1" applyFill="1" applyBorder="1" applyAlignment="1" applyProtection="1">
      <alignment horizontal="center"/>
      <protection locked="0"/>
    </xf>
    <xf numFmtId="0" fontId="41" fillId="0" borderId="98" xfId="69" applyFont="1" applyFill="1" applyBorder="1" applyProtection="1">
      <alignment/>
      <protection locked="0"/>
    </xf>
    <xf numFmtId="0" fontId="42" fillId="0" borderId="98" xfId="69" applyFont="1" applyFill="1" applyBorder="1" applyProtection="1">
      <alignment/>
      <protection locked="0"/>
    </xf>
    <xf numFmtId="22" fontId="13" fillId="0" borderId="98" xfId="58" applyNumberFormat="1" applyFont="1" applyFill="1" applyBorder="1" applyAlignment="1" applyProtection="1">
      <alignment horizontal="center"/>
      <protection locked="0"/>
    </xf>
    <xf numFmtId="4" fontId="13" fillId="0" borderId="98" xfId="69" applyNumberFormat="1" applyFont="1" applyFill="1" applyBorder="1" applyAlignment="1" applyProtection="1" quotePrefix="1">
      <alignment horizontal="center"/>
      <protection/>
    </xf>
    <xf numFmtId="164" fontId="13" fillId="0" borderId="98" xfId="69" applyNumberFormat="1" applyFont="1" applyFill="1" applyBorder="1" applyAlignment="1" applyProtection="1" quotePrefix="1">
      <alignment horizontal="center"/>
      <protection/>
    </xf>
    <xf numFmtId="168" fontId="13" fillId="0" borderId="98" xfId="69" applyNumberFormat="1" applyFont="1" applyFill="1" applyBorder="1" applyAlignment="1" applyProtection="1">
      <alignment horizontal="center"/>
      <protection locked="0"/>
    </xf>
    <xf numFmtId="173" fontId="13" fillId="0" borderId="98" xfId="69" applyNumberFormat="1" applyFont="1" applyFill="1" applyBorder="1" applyAlignment="1" applyProtection="1" quotePrefix="1">
      <alignment horizontal="center"/>
      <protection/>
    </xf>
    <xf numFmtId="168" fontId="13" fillId="0" borderId="98" xfId="69" applyNumberFormat="1" applyFont="1" applyFill="1" applyBorder="1" applyAlignment="1" applyProtection="1">
      <alignment horizontal="center"/>
      <protection/>
    </xf>
    <xf numFmtId="4" fontId="48" fillId="0" borderId="98" xfId="69" applyNumberFormat="1" applyFont="1" applyFill="1" applyBorder="1" applyAlignment="1">
      <alignment horizontal="right"/>
      <protection/>
    </xf>
    <xf numFmtId="179" fontId="48" fillId="0" borderId="98" xfId="69" applyNumberFormat="1" applyFont="1" applyFill="1" applyBorder="1" applyAlignment="1" applyProtection="1">
      <alignment horizontal="right"/>
      <protection locked="0"/>
    </xf>
    <xf numFmtId="3" fontId="48" fillId="0" borderId="98" xfId="69" applyNumberFormat="1" applyFont="1" applyFill="1" applyBorder="1" applyAlignment="1">
      <alignment horizontal="right"/>
      <protection/>
    </xf>
    <xf numFmtId="4" fontId="48" fillId="0" borderId="98" xfId="69" applyNumberFormat="1" applyFont="1" applyFill="1" applyBorder="1" applyAlignment="1" applyProtection="1">
      <alignment horizontal="center"/>
      <protection locked="0"/>
    </xf>
    <xf numFmtId="170" fontId="48" fillId="0" borderId="29" xfId="69" applyNumberFormat="1" applyFont="1" applyFill="1" applyBorder="1" applyAlignment="1">
      <alignment horizontal="center"/>
      <protection/>
    </xf>
    <xf numFmtId="4" fontId="48" fillId="0" borderId="47" xfId="69" applyNumberFormat="1" applyFont="1" applyFill="1" applyBorder="1" applyAlignment="1">
      <alignment horizontal="right"/>
      <protection/>
    </xf>
    <xf numFmtId="180" fontId="48" fillId="0" borderId="98" xfId="69" applyNumberFormat="1" applyFont="1" applyFill="1" applyBorder="1" applyAlignment="1">
      <alignment horizontal="right"/>
      <protection/>
    </xf>
    <xf numFmtId="0" fontId="13" fillId="0" borderId="101" xfId="69" applyFont="1" applyFill="1" applyBorder="1" applyAlignment="1">
      <alignment horizontal="center"/>
      <protection/>
    </xf>
    <xf numFmtId="0" fontId="13" fillId="0" borderId="80" xfId="67" applyFont="1" applyFill="1" applyBorder="1" applyAlignment="1" applyProtection="1">
      <alignment horizontal="center"/>
      <protection locked="0"/>
    </xf>
    <xf numFmtId="164" fontId="13" fillId="0" borderId="80" xfId="67" applyNumberFormat="1" applyFont="1" applyFill="1" applyBorder="1" applyAlignment="1" applyProtection="1">
      <alignment horizontal="center"/>
      <protection locked="0"/>
    </xf>
    <xf numFmtId="165" fontId="13" fillId="0" borderId="80" xfId="67" applyNumberFormat="1" applyFont="1" applyFill="1" applyBorder="1" applyAlignment="1" applyProtection="1">
      <alignment horizontal="center"/>
      <protection locked="0"/>
    </xf>
    <xf numFmtId="22" fontId="13" fillId="0" borderId="106" xfId="67" applyNumberFormat="1" applyFont="1" applyFill="1" applyBorder="1" applyAlignment="1" applyProtection="1">
      <alignment horizontal="center"/>
      <protection locked="0"/>
    </xf>
    <xf numFmtId="22" fontId="13" fillId="0" borderId="81" xfId="67" applyNumberFormat="1" applyFont="1" applyFill="1" applyBorder="1" applyAlignment="1" applyProtection="1">
      <alignment horizontal="center"/>
      <protection locked="0"/>
    </xf>
    <xf numFmtId="3" fontId="48" fillId="0" borderId="101" xfId="69" applyNumberFormat="1" applyFont="1" applyFill="1" applyBorder="1" applyAlignment="1">
      <alignment horizontal="right"/>
      <protection/>
    </xf>
    <xf numFmtId="4" fontId="48" fillId="0" borderId="100" xfId="69" applyNumberFormat="1" applyFont="1" applyFill="1" applyBorder="1" applyAlignment="1" applyProtection="1">
      <alignment horizontal="center"/>
      <protection locked="0"/>
    </xf>
    <xf numFmtId="170" fontId="48" fillId="0" borderId="100" xfId="69" applyNumberFormat="1" applyFont="1" applyFill="1" applyBorder="1" applyAlignment="1">
      <alignment horizontal="center"/>
      <protection/>
    </xf>
    <xf numFmtId="0" fontId="13" fillId="0" borderId="47" xfId="69" applyFont="1" applyFill="1" applyBorder="1" applyAlignment="1">
      <alignment horizontal="center"/>
      <protection/>
    </xf>
    <xf numFmtId="0" fontId="13" fillId="0" borderId="27" xfId="58" applyFont="1" applyFill="1" applyBorder="1" applyAlignment="1" applyProtection="1">
      <alignment horizontal="center"/>
      <protection locked="0"/>
    </xf>
    <xf numFmtId="164" fontId="13" fillId="0" borderId="27" xfId="58" applyNumberFormat="1" applyFont="1" applyFill="1" applyBorder="1" applyAlignment="1" applyProtection="1">
      <alignment horizontal="center"/>
      <protection locked="0"/>
    </xf>
    <xf numFmtId="165" fontId="13" fillId="0" borderId="27" xfId="58" applyNumberFormat="1" applyFont="1" applyFill="1" applyBorder="1" applyAlignment="1" applyProtection="1">
      <alignment horizontal="center"/>
      <protection locked="0"/>
    </xf>
    <xf numFmtId="22" fontId="13" fillId="0" borderId="47" xfId="58" applyNumberFormat="1" applyFont="1" applyFill="1" applyBorder="1" applyAlignment="1" applyProtection="1">
      <alignment horizontal="center"/>
      <protection locked="0"/>
    </xf>
    <xf numFmtId="22" fontId="13" fillId="0" borderId="32" xfId="58" applyNumberFormat="1" applyFont="1" applyFill="1" applyBorder="1" applyAlignment="1" applyProtection="1">
      <alignment horizontal="center"/>
      <protection locked="0"/>
    </xf>
    <xf numFmtId="168" fontId="13" fillId="0" borderId="47" xfId="69" applyNumberFormat="1" applyFont="1" applyFill="1" applyBorder="1" applyAlignment="1" applyProtection="1">
      <alignment horizontal="center"/>
      <protection locked="0"/>
    </xf>
    <xf numFmtId="168" fontId="49" fillId="0" borderId="27" xfId="69" applyNumberFormat="1" applyFont="1" applyFill="1" applyBorder="1" applyAlignment="1" applyProtection="1" quotePrefix="1">
      <alignment horizontal="center"/>
      <protection/>
    </xf>
    <xf numFmtId="4" fontId="49" fillId="0" borderId="27" xfId="69" applyNumberFormat="1" applyFont="1" applyFill="1" applyBorder="1" applyAlignment="1" applyProtection="1">
      <alignment horizontal="center"/>
      <protection/>
    </xf>
    <xf numFmtId="179" fontId="48" fillId="0" borderId="47" xfId="69" applyNumberFormat="1" applyFont="1" applyFill="1" applyBorder="1" applyAlignment="1" applyProtection="1">
      <alignment horizontal="right"/>
      <protection locked="0"/>
    </xf>
    <xf numFmtId="3" fontId="48" fillId="0" borderId="47" xfId="69" applyNumberFormat="1" applyFont="1" applyFill="1" applyBorder="1" applyAlignment="1">
      <alignment horizontal="right"/>
      <protection/>
    </xf>
    <xf numFmtId="4" fontId="48" fillId="0" borderId="29" xfId="69" applyNumberFormat="1" applyFont="1" applyFill="1" applyBorder="1" applyAlignment="1" applyProtection="1">
      <alignment horizontal="center"/>
      <protection locked="0"/>
    </xf>
    <xf numFmtId="4" fontId="48" fillId="0" borderId="107" xfId="69" applyNumberFormat="1" applyFont="1" applyFill="1" applyBorder="1" applyAlignment="1">
      <alignment horizontal="right"/>
      <protection/>
    </xf>
    <xf numFmtId="4" fontId="48" fillId="0" borderId="29" xfId="69" applyNumberFormat="1" applyFont="1" applyFill="1" applyBorder="1" applyAlignment="1">
      <alignment horizontal="right"/>
      <protection/>
    </xf>
    <xf numFmtId="180" fontId="48" fillId="0" borderId="47" xfId="69" applyNumberFormat="1" applyFont="1" applyFill="1" applyBorder="1" applyAlignment="1">
      <alignment horizontal="right"/>
      <protection/>
    </xf>
    <xf numFmtId="168" fontId="49" fillId="0" borderId="28" xfId="69" applyNumberFormat="1" applyFont="1" applyFill="1" applyBorder="1" applyAlignment="1" applyProtection="1" quotePrefix="1">
      <alignment horizontal="center"/>
      <protection/>
    </xf>
    <xf numFmtId="4" fontId="49" fillId="0" borderId="28" xfId="69" applyNumberFormat="1" applyFont="1" applyFill="1" applyBorder="1" applyAlignment="1" applyProtection="1">
      <alignment horizontal="center"/>
      <protection/>
    </xf>
    <xf numFmtId="4" fontId="48" fillId="0" borderId="28" xfId="69" applyNumberFormat="1" applyFont="1" applyFill="1" applyBorder="1" applyAlignment="1">
      <alignment horizontal="right"/>
      <protection/>
    </xf>
    <xf numFmtId="22" fontId="13" fillId="0" borderId="27" xfId="58" applyNumberFormat="1" applyFont="1" applyFill="1" applyBorder="1" applyAlignment="1" applyProtection="1">
      <alignment horizontal="center"/>
      <protection locked="0"/>
    </xf>
    <xf numFmtId="168" fontId="13" fillId="0" borderId="27" xfId="69" applyNumberFormat="1" applyFont="1" applyFill="1" applyBorder="1" applyAlignment="1" applyProtection="1">
      <alignment horizontal="center"/>
      <protection locked="0"/>
    </xf>
    <xf numFmtId="4" fontId="48" fillId="0" borderId="27" xfId="69" applyNumberFormat="1" applyFont="1" applyFill="1" applyBorder="1" applyAlignment="1">
      <alignment horizontal="right"/>
      <protection/>
    </xf>
    <xf numFmtId="179" fontId="48" fillId="0" borderId="27" xfId="69" applyNumberFormat="1" applyFont="1" applyFill="1" applyBorder="1" applyAlignment="1" applyProtection="1">
      <alignment horizontal="right"/>
      <protection locked="0"/>
    </xf>
    <xf numFmtId="3" fontId="48" fillId="0" borderId="27" xfId="69" applyNumberFormat="1" applyFont="1" applyFill="1" applyBorder="1" applyAlignment="1">
      <alignment horizontal="right"/>
      <protection/>
    </xf>
    <xf numFmtId="4" fontId="48" fillId="0" borderId="27" xfId="69" applyNumberFormat="1" applyFont="1" applyFill="1" applyBorder="1" applyAlignment="1" applyProtection="1">
      <alignment horizontal="center"/>
      <protection locked="0"/>
    </xf>
    <xf numFmtId="180" fontId="48" fillId="0" borderId="27" xfId="69" applyNumberFormat="1" applyFont="1" applyFill="1" applyBorder="1" applyAlignment="1">
      <alignment horizontal="right"/>
      <protection/>
    </xf>
    <xf numFmtId="170" fontId="48" fillId="0" borderId="98" xfId="69" applyNumberFormat="1" applyFont="1" applyFill="1" applyBorder="1" applyAlignment="1">
      <alignment horizontal="center"/>
      <protection/>
    </xf>
    <xf numFmtId="4" fontId="48" fillId="0" borderId="105" xfId="69" applyNumberFormat="1" applyFont="1" applyFill="1" applyBorder="1" applyAlignment="1">
      <alignment horizontal="right"/>
      <protection/>
    </xf>
    <xf numFmtId="0" fontId="13" fillId="0" borderId="36" xfId="69" applyFont="1" applyFill="1" applyBorder="1">
      <alignment/>
      <protection/>
    </xf>
    <xf numFmtId="0" fontId="13" fillId="0" borderId="36" xfId="69" applyFont="1" applyFill="1" applyBorder="1" applyAlignment="1">
      <alignment horizontal="center"/>
      <protection/>
    </xf>
    <xf numFmtId="0" fontId="13" fillId="0" borderId="50" xfId="69" applyFont="1" applyFill="1" applyBorder="1" applyAlignment="1">
      <alignment horizontal="center"/>
      <protection/>
    </xf>
    <xf numFmtId="0" fontId="13" fillId="0" borderId="36" xfId="69" applyFont="1" applyFill="1" applyBorder="1" applyAlignment="1" applyProtection="1">
      <alignment horizontal="center"/>
      <protection locked="0"/>
    </xf>
    <xf numFmtId="164" fontId="49" fillId="0" borderId="36" xfId="69" applyNumberFormat="1" applyFont="1" applyFill="1" applyBorder="1" applyAlignment="1" applyProtection="1">
      <alignment horizontal="center"/>
      <protection locked="0"/>
    </xf>
    <xf numFmtId="165" fontId="13" fillId="0" borderId="36" xfId="69" applyNumberFormat="1" applyFont="1" applyFill="1" applyBorder="1" applyAlignment="1" applyProtection="1">
      <alignment horizontal="center"/>
      <protection locked="0"/>
    </xf>
    <xf numFmtId="0" fontId="41" fillId="0" borderId="36" xfId="69" applyFont="1" applyFill="1" applyBorder="1" applyAlignment="1" applyProtection="1">
      <alignment horizontal="center"/>
      <protection locked="0"/>
    </xf>
    <xf numFmtId="174" fontId="42" fillId="0" borderId="36" xfId="69" applyNumberFormat="1" applyFont="1" applyFill="1" applyBorder="1" applyAlignment="1" applyProtection="1">
      <alignment horizontal="center"/>
      <protection locked="0"/>
    </xf>
    <xf numFmtId="168" fontId="13" fillId="0" borderId="36" xfId="69" applyNumberFormat="1" applyFont="1" applyFill="1" applyBorder="1" applyAlignment="1" applyProtection="1">
      <alignment horizontal="center"/>
      <protection locked="0"/>
    </xf>
    <xf numFmtId="168" fontId="13" fillId="0" borderId="36" xfId="69" applyNumberFormat="1" applyFont="1" applyFill="1" applyBorder="1" applyAlignment="1" applyProtection="1">
      <alignment horizontal="center"/>
      <protection/>
    </xf>
    <xf numFmtId="173" fontId="13" fillId="0" borderId="36" xfId="69" applyNumberFormat="1" applyFont="1" applyFill="1" applyBorder="1" applyAlignment="1" applyProtection="1" quotePrefix="1">
      <alignment horizontal="center"/>
      <protection/>
    </xf>
    <xf numFmtId="168" fontId="52" fillId="0" borderId="34" xfId="69" applyNumberFormat="1" applyFont="1" applyFill="1" applyBorder="1" applyAlignment="1" applyProtection="1" quotePrefix="1">
      <alignment horizontal="center"/>
      <protection/>
    </xf>
    <xf numFmtId="4" fontId="52" fillId="0" borderId="34" xfId="69" applyNumberFormat="1" applyFont="1" applyFill="1" applyBorder="1" applyAlignment="1" applyProtection="1">
      <alignment horizontal="center"/>
      <protection/>
    </xf>
    <xf numFmtId="2" fontId="48" fillId="0" borderId="36" xfId="69" applyNumberFormat="1" applyFont="1" applyFill="1" applyBorder="1" applyAlignment="1">
      <alignment horizontal="right"/>
      <protection/>
    </xf>
    <xf numFmtId="4" fontId="49" fillId="0" borderId="36" xfId="69" applyNumberFormat="1" applyFont="1" applyFill="1" applyBorder="1" applyAlignment="1" applyProtection="1">
      <alignment horizontal="center"/>
      <protection/>
    </xf>
    <xf numFmtId="0" fontId="48" fillId="0" borderId="36" xfId="69" applyFont="1" applyFill="1" applyBorder="1" applyProtection="1">
      <alignment/>
      <protection locked="0"/>
    </xf>
    <xf numFmtId="0" fontId="48" fillId="0" borderId="36" xfId="69" applyFont="1" applyFill="1" applyBorder="1">
      <alignment/>
      <protection/>
    </xf>
    <xf numFmtId="0" fontId="48" fillId="0" borderId="36" xfId="69" applyFont="1" applyFill="1" applyBorder="1" applyAlignment="1" applyProtection="1">
      <alignment horizontal="center"/>
      <protection locked="0"/>
    </xf>
    <xf numFmtId="170" fontId="48" fillId="0" borderId="36" xfId="69" applyNumberFormat="1" applyFont="1" applyFill="1" applyBorder="1" applyAlignment="1">
      <alignment horizontal="center"/>
      <protection/>
    </xf>
    <xf numFmtId="4" fontId="48" fillId="0" borderId="36" xfId="69" applyNumberFormat="1" applyFont="1" applyFill="1" applyBorder="1" applyAlignment="1">
      <alignment horizontal="right"/>
      <protection/>
    </xf>
    <xf numFmtId="168" fontId="52" fillId="0" borderId="36" xfId="69" applyNumberFormat="1" applyFont="1" applyFill="1" applyBorder="1" applyAlignment="1" applyProtection="1" quotePrefix="1">
      <alignment horizontal="center"/>
      <protection/>
    </xf>
    <xf numFmtId="4" fontId="52" fillId="0" borderId="36" xfId="69" applyNumberFormat="1" applyFont="1" applyFill="1" applyBorder="1" applyAlignment="1" applyProtection="1">
      <alignment horizontal="center"/>
      <protection/>
    </xf>
    <xf numFmtId="0" fontId="48" fillId="0" borderId="35" xfId="69" applyFont="1" applyFill="1" applyBorder="1">
      <alignment/>
      <protection/>
    </xf>
    <xf numFmtId="0" fontId="57" fillId="0" borderId="41" xfId="69" applyFont="1" applyBorder="1" applyAlignment="1">
      <alignment horizontal="center"/>
      <protection/>
    </xf>
    <xf numFmtId="0" fontId="58" fillId="0" borderId="0" xfId="69" applyFont="1" applyBorder="1" applyAlignment="1" applyProtection="1">
      <alignment horizontal="left"/>
      <protection/>
    </xf>
    <xf numFmtId="164" fontId="49" fillId="0" borderId="0" xfId="69" applyNumberFormat="1" applyFont="1" applyBorder="1" applyAlignment="1" applyProtection="1">
      <alignment horizontal="center"/>
      <protection/>
    </xf>
    <xf numFmtId="165" fontId="13" fillId="0" borderId="0" xfId="69" applyNumberFormat="1" applyFont="1" applyBorder="1" applyAlignment="1" applyProtection="1">
      <alignment horizontal="center"/>
      <protection/>
    </xf>
    <xf numFmtId="168" fontId="13" fillId="0" borderId="0" xfId="69" applyNumberFormat="1" applyFont="1" applyBorder="1" applyAlignment="1" applyProtection="1">
      <alignment horizontal="center"/>
      <protection/>
    </xf>
    <xf numFmtId="168" fontId="13" fillId="0" borderId="0" xfId="69" applyNumberFormat="1" applyFont="1" applyFill="1" applyBorder="1" applyAlignment="1" applyProtection="1">
      <alignment horizontal="center"/>
      <protection/>
    </xf>
    <xf numFmtId="173" fontId="13" fillId="0" borderId="0" xfId="69" applyNumberFormat="1" applyFont="1" applyBorder="1" applyAlignment="1" applyProtection="1" quotePrefix="1">
      <alignment horizontal="center"/>
      <protection/>
    </xf>
    <xf numFmtId="2" fontId="52" fillId="37" borderId="36" xfId="69" applyNumberFormat="1" applyFont="1" applyFill="1" applyBorder="1" applyAlignment="1" applyProtection="1">
      <alignment horizontal="center"/>
      <protection/>
    </xf>
    <xf numFmtId="7" fontId="4" fillId="0" borderId="0" xfId="69" applyNumberFormat="1" applyFont="1" applyFill="1" applyBorder="1" applyAlignment="1" applyProtection="1">
      <alignment horizontal="right"/>
      <protection/>
    </xf>
    <xf numFmtId="2" fontId="59" fillId="0" borderId="0" xfId="69" applyNumberFormat="1" applyFont="1" applyBorder="1" applyAlignment="1" applyProtection="1">
      <alignment horizontal="center"/>
      <protection/>
    </xf>
    <xf numFmtId="7" fontId="4" fillId="0" borderId="108" xfId="69" applyNumberFormat="1" applyFont="1" applyFill="1" applyBorder="1" applyAlignment="1" applyProtection="1">
      <alignment horizontal="right"/>
      <protection/>
    </xf>
    <xf numFmtId="0" fontId="3" fillId="0" borderId="0" xfId="69">
      <alignment/>
      <protection/>
    </xf>
    <xf numFmtId="0" fontId="3" fillId="0" borderId="14" xfId="69" applyBorder="1">
      <alignment/>
      <protection/>
    </xf>
    <xf numFmtId="0" fontId="3" fillId="0" borderId="0" xfId="69" applyBorder="1">
      <alignment/>
      <protection/>
    </xf>
    <xf numFmtId="0" fontId="3" fillId="0" borderId="0" xfId="69" applyFont="1">
      <alignment/>
      <protection/>
    </xf>
    <xf numFmtId="0" fontId="3" fillId="0" borderId="0" xfId="69" applyFont="1" applyFill="1">
      <alignment/>
      <protection/>
    </xf>
    <xf numFmtId="0" fontId="3" fillId="0" borderId="0" xfId="69" applyFill="1">
      <alignment/>
      <protection/>
    </xf>
    <xf numFmtId="0" fontId="3" fillId="0" borderId="15" xfId="69" applyBorder="1">
      <alignment/>
      <protection/>
    </xf>
    <xf numFmtId="0" fontId="13" fillId="0" borderId="18" xfId="69" applyFont="1" applyBorder="1">
      <alignment/>
      <protection/>
    </xf>
    <xf numFmtId="0" fontId="13" fillId="0" borderId="19" xfId="69" applyFont="1" applyBorder="1">
      <alignment/>
      <protection/>
    </xf>
    <xf numFmtId="0" fontId="3" fillId="0" borderId="19" xfId="69" applyFont="1" applyBorder="1">
      <alignment/>
      <protection/>
    </xf>
    <xf numFmtId="0" fontId="3" fillId="0" borderId="19" xfId="69" applyFont="1" applyFill="1" applyBorder="1">
      <alignment/>
      <protection/>
    </xf>
    <xf numFmtId="0" fontId="13" fillId="0" borderId="20" xfId="69" applyFont="1" applyBorder="1">
      <alignment/>
      <protection/>
    </xf>
    <xf numFmtId="0" fontId="111" fillId="0" borderId="0" xfId="69" applyFont="1">
      <alignment/>
      <protection/>
    </xf>
    <xf numFmtId="0" fontId="111" fillId="0" borderId="0" xfId="69" applyFont="1" applyFill="1">
      <alignment/>
      <protection/>
    </xf>
    <xf numFmtId="164" fontId="13" fillId="0" borderId="100" xfId="69" applyNumberFormat="1" applyFont="1" applyFill="1" applyBorder="1" applyAlignment="1" applyProtection="1">
      <alignment horizontal="center"/>
      <protection/>
    </xf>
    <xf numFmtId="4" fontId="3" fillId="0" borderId="0" xfId="69" applyNumberFormat="1" applyFill="1">
      <alignment/>
      <protection/>
    </xf>
    <xf numFmtId="8" fontId="48" fillId="0" borderId="0" xfId="54" applyNumberFormat="1" applyFont="1" applyBorder="1" applyAlignment="1">
      <alignment horizontal="center"/>
    </xf>
    <xf numFmtId="2" fontId="29" fillId="0" borderId="0" xfId="65" applyNumberFormat="1" applyFont="1" applyBorder="1">
      <alignment/>
      <protection/>
    </xf>
    <xf numFmtId="0" fontId="119" fillId="0" borderId="0" xfId="66" applyFont="1" applyAlignment="1">
      <alignment horizontal="right" vertical="top"/>
      <protection/>
    </xf>
    <xf numFmtId="0" fontId="13" fillId="0" borderId="0" xfId="66" applyFont="1" applyAlignment="1">
      <alignment/>
      <protection/>
    </xf>
    <xf numFmtId="0" fontId="8" fillId="0" borderId="0" xfId="66" applyFont="1">
      <alignment/>
      <protection/>
    </xf>
    <xf numFmtId="0" fontId="9" fillId="0" borderId="0" xfId="66" applyFont="1" applyAlignment="1">
      <alignment horizontal="centerContinuous"/>
      <protection/>
    </xf>
    <xf numFmtId="0" fontId="8" fillId="0" borderId="0" xfId="66" applyFont="1" applyAlignment="1">
      <alignment/>
      <protection/>
    </xf>
    <xf numFmtId="0" fontId="14" fillId="0" borderId="0" xfId="66" applyFont="1" applyAlignment="1">
      <alignment horizontal="centerContinuous"/>
      <protection/>
    </xf>
    <xf numFmtId="0" fontId="14" fillId="0" borderId="0" xfId="66" applyFont="1" applyAlignment="1">
      <alignment/>
      <protection/>
    </xf>
    <xf numFmtId="0" fontId="13" fillId="0" borderId="0" xfId="66" applyFont="1" applyAlignment="1">
      <alignment horizontal="centerContinuous"/>
      <protection/>
    </xf>
    <xf numFmtId="0" fontId="120" fillId="0" borderId="0" xfId="66" applyFont="1">
      <alignment/>
      <protection/>
    </xf>
    <xf numFmtId="0" fontId="120" fillId="0" borderId="0" xfId="66" applyFont="1" applyAlignment="1">
      <alignment horizontal="centerContinuous"/>
      <protection/>
    </xf>
    <xf numFmtId="0" fontId="121" fillId="0" borderId="0" xfId="66" applyFont="1" applyAlignment="1">
      <alignment horizontal="centerContinuous"/>
      <protection/>
    </xf>
    <xf numFmtId="0" fontId="120" fillId="0" borderId="0" xfId="66" applyFont="1" applyAlignment="1">
      <alignment/>
      <protection/>
    </xf>
    <xf numFmtId="0" fontId="121" fillId="0" borderId="0" xfId="66" applyFont="1">
      <alignment/>
      <protection/>
    </xf>
    <xf numFmtId="0" fontId="121" fillId="0" borderId="0" xfId="66" applyFont="1" applyAlignment="1">
      <alignment/>
      <protection/>
    </xf>
    <xf numFmtId="0" fontId="21" fillId="0" borderId="11" xfId="66" applyFont="1" applyBorder="1" applyAlignment="1">
      <alignment horizontal="centerContinuous"/>
      <protection/>
    </xf>
    <xf numFmtId="0" fontId="21" fillId="0" borderId="12" xfId="66" applyFont="1" applyBorder="1" applyAlignment="1">
      <alignment horizontal="centerContinuous"/>
      <protection/>
    </xf>
    <xf numFmtId="0" fontId="21" fillId="0" borderId="13" xfId="66" applyFont="1" applyBorder="1" applyAlignment="1">
      <alignment horizontal="centerContinuous"/>
      <protection/>
    </xf>
    <xf numFmtId="0" fontId="21" fillId="0" borderId="0" xfId="66" applyFont="1" applyBorder="1" applyAlignment="1">
      <alignment horizontal="centerContinuous"/>
      <protection/>
    </xf>
    <xf numFmtId="0" fontId="21" fillId="0" borderId="15" xfId="66" applyFont="1" applyBorder="1" applyAlignment="1">
      <alignment/>
      <protection/>
    </xf>
    <xf numFmtId="0" fontId="21" fillId="0" borderId="15" xfId="66" applyFont="1" applyBorder="1">
      <alignment/>
      <protection/>
    </xf>
    <xf numFmtId="0" fontId="30" fillId="0" borderId="0" xfId="66" applyFont="1" applyAlignment="1">
      <alignment horizontal="center" vertical="center"/>
      <protection/>
    </xf>
    <xf numFmtId="0" fontId="30" fillId="0" borderId="14" xfId="66" applyFont="1" applyBorder="1" applyAlignment="1">
      <alignment horizontal="center" vertical="center"/>
      <protection/>
    </xf>
    <xf numFmtId="17" fontId="30" fillId="0" borderId="21" xfId="66" applyNumberFormat="1" applyFont="1" applyBorder="1" applyAlignment="1">
      <alignment horizontal="center" vertical="center"/>
      <protection/>
    </xf>
    <xf numFmtId="0" fontId="30" fillId="0" borderId="15" xfId="66" applyFont="1" applyBorder="1" applyAlignment="1">
      <alignment horizontal="center" vertical="center"/>
      <protection/>
    </xf>
    <xf numFmtId="0" fontId="122" fillId="0" borderId="0" xfId="66" applyFont="1" applyAlignment="1">
      <alignment vertical="center"/>
      <protection/>
    </xf>
    <xf numFmtId="0" fontId="122" fillId="0" borderId="14" xfId="66" applyFont="1" applyBorder="1" applyAlignment="1">
      <alignment vertical="center"/>
      <protection/>
    </xf>
    <xf numFmtId="0" fontId="122" fillId="0" borderId="33" xfId="66" applyFont="1" applyBorder="1" applyAlignment="1">
      <alignment vertical="center"/>
      <protection/>
    </xf>
    <xf numFmtId="0" fontId="122" fillId="0" borderId="28" xfId="66" applyFont="1" applyBorder="1" applyAlignment="1">
      <alignment vertical="center"/>
      <protection/>
    </xf>
    <xf numFmtId="0" fontId="122" fillId="0" borderId="28" xfId="66" applyFont="1" applyFill="1" applyBorder="1" applyAlignment="1">
      <alignment vertical="center"/>
      <protection/>
    </xf>
    <xf numFmtId="0" fontId="122" fillId="0" borderId="43" xfId="66" applyFont="1" applyBorder="1" applyAlignment="1">
      <alignment vertical="center"/>
      <protection/>
    </xf>
    <xf numFmtId="0" fontId="122" fillId="0" borderId="15" xfId="66" applyFont="1" applyBorder="1" applyAlignment="1">
      <alignment vertical="center"/>
      <protection/>
    </xf>
    <xf numFmtId="0" fontId="122" fillId="1" borderId="30" xfId="66" applyFont="1" applyFill="1" applyBorder="1" applyAlignment="1">
      <alignment horizontal="center" vertical="center"/>
      <protection/>
    </xf>
    <xf numFmtId="0" fontId="122" fillId="58" borderId="27" xfId="66" applyFont="1" applyFill="1" applyBorder="1" applyAlignment="1">
      <alignment horizontal="center" vertical="center"/>
      <protection/>
    </xf>
    <xf numFmtId="0" fontId="122" fillId="0" borderId="35" xfId="66" applyFont="1" applyBorder="1" applyAlignment="1">
      <alignment vertical="center"/>
      <protection/>
    </xf>
    <xf numFmtId="0" fontId="122" fillId="0" borderId="51" xfId="66" applyFont="1" applyFill="1" applyBorder="1" applyAlignment="1">
      <alignment horizontal="center" vertical="center"/>
      <protection/>
    </xf>
    <xf numFmtId="0" fontId="122" fillId="0" borderId="34" xfId="66" applyFont="1" applyFill="1" applyBorder="1" applyAlignment="1">
      <alignment horizontal="center" vertical="center"/>
      <protection/>
    </xf>
    <xf numFmtId="0" fontId="122" fillId="1" borderId="34" xfId="66" applyFont="1" applyFill="1" applyBorder="1" applyAlignment="1">
      <alignment horizontal="center" vertical="center"/>
      <protection/>
    </xf>
    <xf numFmtId="0" fontId="122" fillId="0" borderId="27" xfId="66" applyFont="1" applyFill="1" applyBorder="1" applyAlignment="1">
      <alignment horizontal="center" vertical="center"/>
      <protection/>
    </xf>
    <xf numFmtId="0" fontId="122" fillId="0" borderId="0" xfId="66" applyFont="1" applyFill="1" applyBorder="1" applyAlignment="1">
      <alignment horizontal="center" vertical="center"/>
      <protection/>
    </xf>
    <xf numFmtId="0" fontId="122" fillId="0" borderId="0" xfId="66" applyFont="1" applyFill="1" applyBorder="1" applyAlignment="1">
      <alignment vertical="center"/>
      <protection/>
    </xf>
    <xf numFmtId="0" fontId="123" fillId="0" borderId="0" xfId="66" applyFont="1" applyFill="1" applyBorder="1" applyAlignment="1">
      <alignment horizontal="right" vertical="center"/>
      <protection/>
    </xf>
    <xf numFmtId="0" fontId="122" fillId="1" borderId="21" xfId="66" applyFont="1" applyFill="1" applyBorder="1" applyAlignment="1">
      <alignment horizontal="center" vertical="center"/>
      <protection/>
    </xf>
    <xf numFmtId="0" fontId="122" fillId="0" borderId="16" xfId="66" applyFont="1" applyFill="1" applyBorder="1" applyAlignment="1">
      <alignment horizontal="center" vertical="center"/>
      <protection/>
    </xf>
    <xf numFmtId="0" fontId="122" fillId="0" borderId="22" xfId="66" applyFont="1" applyFill="1" applyBorder="1" applyAlignment="1">
      <alignment horizontal="center" vertical="center"/>
      <protection/>
    </xf>
    <xf numFmtId="0" fontId="122" fillId="0" borderId="0" xfId="66" applyFont="1" applyBorder="1" applyAlignment="1">
      <alignment horizontal="center" vertical="center"/>
      <protection/>
    </xf>
    <xf numFmtId="0" fontId="122" fillId="0" borderId="0" xfId="66" applyFont="1" applyBorder="1" applyAlignment="1">
      <alignment vertical="center"/>
      <protection/>
    </xf>
    <xf numFmtId="0" fontId="122" fillId="0" borderId="0" xfId="66" applyFont="1" applyBorder="1" applyAlignment="1">
      <alignment horizontal="right" vertical="center"/>
      <protection/>
    </xf>
    <xf numFmtId="0" fontId="123" fillId="0" borderId="0" xfId="66" applyFont="1" applyBorder="1" applyAlignment="1">
      <alignment horizontal="right" vertical="center"/>
      <protection/>
    </xf>
    <xf numFmtId="0" fontId="122" fillId="0" borderId="21" xfId="66" applyFont="1" applyBorder="1" applyAlignment="1">
      <alignment horizontal="center" vertical="center"/>
      <protection/>
    </xf>
    <xf numFmtId="0" fontId="122" fillId="0" borderId="36" xfId="66" applyFont="1" applyBorder="1" applyAlignment="1">
      <alignment vertical="center"/>
      <protection/>
    </xf>
    <xf numFmtId="2" fontId="123" fillId="58" borderId="21" xfId="66" applyNumberFormat="1" applyFont="1" applyFill="1" applyBorder="1" applyAlignment="1">
      <alignment horizontal="center" vertical="center"/>
      <protection/>
    </xf>
    <xf numFmtId="0" fontId="13" fillId="0" borderId="0" xfId="68" applyFont="1" applyBorder="1" applyAlignment="1">
      <alignment horizontal="left" vertical="center"/>
      <protection/>
    </xf>
    <xf numFmtId="0" fontId="13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2" fontId="5" fillId="0" borderId="0" xfId="66" applyNumberFormat="1" applyFont="1" applyFill="1" applyBorder="1" applyAlignment="1">
      <alignment horizontal="center" vertical="center"/>
      <protection/>
    </xf>
    <xf numFmtId="0" fontId="13" fillId="0" borderId="0" xfId="66" applyFont="1" applyFill="1" applyBorder="1">
      <alignment/>
      <protection/>
    </xf>
    <xf numFmtId="0" fontId="13" fillId="0" borderId="16" xfId="66" applyFont="1" applyBorder="1">
      <alignment/>
      <protection/>
    </xf>
    <xf numFmtId="0" fontId="13" fillId="0" borderId="22" xfId="66" applyFont="1" applyBorder="1" applyAlignment="1">
      <alignment horizontal="center"/>
      <protection/>
    </xf>
    <xf numFmtId="2" fontId="10" fillId="0" borderId="22" xfId="66" applyNumberFormat="1" applyFont="1" applyBorder="1" applyAlignment="1">
      <alignment horizontal="center"/>
      <protection/>
    </xf>
    <xf numFmtId="0" fontId="21" fillId="0" borderId="22" xfId="66" applyFont="1" applyBorder="1">
      <alignment/>
      <protection/>
    </xf>
    <xf numFmtId="0" fontId="13" fillId="0" borderId="22" xfId="66" applyFont="1" applyBorder="1">
      <alignment/>
      <protection/>
    </xf>
    <xf numFmtId="0" fontId="3" fillId="0" borderId="17" xfId="66" applyBorder="1">
      <alignment/>
      <protection/>
    </xf>
    <xf numFmtId="0" fontId="13" fillId="0" borderId="0" xfId="66" applyFont="1" applyAlignment="1">
      <alignment vertical="center"/>
      <protection/>
    </xf>
    <xf numFmtId="0" fontId="13" fillId="0" borderId="14" xfId="66" applyFont="1" applyBorder="1" applyAlignment="1">
      <alignment vertical="center"/>
      <protection/>
    </xf>
    <xf numFmtId="0" fontId="13" fillId="0" borderId="15" xfId="66" applyFont="1" applyBorder="1" applyAlignment="1">
      <alignment vertical="center"/>
      <protection/>
    </xf>
    <xf numFmtId="0" fontId="21" fillId="0" borderId="19" xfId="66" applyFont="1" applyBorder="1" applyAlignment="1">
      <alignment horizontal="center"/>
      <protection/>
    </xf>
    <xf numFmtId="0" fontId="21" fillId="0" borderId="20" xfId="66" applyFont="1" applyBorder="1">
      <alignment/>
      <protection/>
    </xf>
    <xf numFmtId="0" fontId="13" fillId="0" borderId="0" xfId="66" applyFont="1" applyAlignment="1">
      <alignment horizontal="center"/>
      <protection/>
    </xf>
    <xf numFmtId="2" fontId="13" fillId="0" borderId="0" xfId="66" applyNumberFormat="1" applyFont="1" applyBorder="1" applyAlignment="1">
      <alignment horizontal="center"/>
      <protection/>
    </xf>
    <xf numFmtId="174" fontId="13" fillId="0" borderId="0" xfId="66" applyNumberFormat="1" applyFont="1" applyBorder="1" applyAlignment="1">
      <alignment horizontal="center"/>
      <protection/>
    </xf>
    <xf numFmtId="0" fontId="13" fillId="0" borderId="103" xfId="69" applyFont="1" applyFill="1" applyBorder="1" applyAlignment="1">
      <alignment horizontal="center" vertical="center" textRotation="90"/>
      <protection/>
    </xf>
    <xf numFmtId="0" fontId="13" fillId="0" borderId="35" xfId="69" applyFont="1" applyFill="1" applyBorder="1" applyAlignment="1">
      <alignment horizontal="center" vertical="center" textRotation="90"/>
      <protection/>
    </xf>
    <xf numFmtId="0" fontId="13" fillId="0" borderId="109" xfId="69" applyFont="1" applyFill="1" applyBorder="1" applyAlignment="1">
      <alignment horizontal="center" vertical="center" textRotation="90"/>
      <protection/>
    </xf>
    <xf numFmtId="0" fontId="3" fillId="0" borderId="0" xfId="64" applyFont="1" applyBorder="1" applyAlignment="1">
      <alignment horizontal="center" vertical="center"/>
      <protection/>
    </xf>
    <xf numFmtId="164" fontId="13" fillId="0" borderId="59" xfId="66" applyNumberFormat="1" applyFont="1" applyBorder="1" applyAlignment="1" applyProtection="1">
      <alignment horizontal="center"/>
      <protection/>
    </xf>
    <xf numFmtId="164" fontId="13" fillId="0" borderId="47" xfId="66" applyNumberFormat="1" applyFont="1" applyBorder="1" applyAlignment="1" applyProtection="1">
      <alignment horizontal="center"/>
      <protection/>
    </xf>
    <xf numFmtId="165" fontId="13" fillId="0" borderId="59" xfId="66" applyNumberFormat="1" applyFont="1" applyBorder="1" applyAlignment="1" applyProtection="1">
      <alignment horizontal="center"/>
      <protection/>
    </xf>
    <xf numFmtId="165" fontId="13" fillId="0" borderId="47" xfId="66" applyNumberFormat="1" applyFont="1" applyBorder="1" applyAlignment="1" applyProtection="1">
      <alignment horizontal="center"/>
      <protection/>
    </xf>
    <xf numFmtId="0" fontId="30" fillId="0" borderId="16" xfId="66" applyFont="1" applyFill="1" applyBorder="1" applyAlignment="1" applyProtection="1" quotePrefix="1">
      <alignment horizontal="center" vertical="center" wrapText="1"/>
      <protection/>
    </xf>
    <xf numFmtId="0" fontId="30" fillId="0" borderId="17" xfId="66" applyFont="1" applyFill="1" applyBorder="1" applyAlignment="1" applyProtection="1" quotePrefix="1">
      <alignment horizontal="center" vertical="center" wrapText="1"/>
      <protection/>
    </xf>
    <xf numFmtId="0" fontId="30" fillId="0" borderId="16" xfId="66" applyFont="1" applyFill="1" applyBorder="1" applyAlignment="1" applyProtection="1">
      <alignment horizontal="center" vertical="center"/>
      <protection/>
    </xf>
    <xf numFmtId="0" fontId="30" fillId="0" borderId="17" xfId="66" applyFont="1" applyFill="1" applyBorder="1" applyAlignment="1" applyProtection="1">
      <alignment horizontal="center" vertical="center"/>
      <protection/>
    </xf>
    <xf numFmtId="0" fontId="13" fillId="0" borderId="86" xfId="66" applyFont="1" applyFill="1" applyBorder="1" applyAlignment="1">
      <alignment horizontal="center"/>
      <protection/>
    </xf>
    <xf numFmtId="0" fontId="13" fillId="0" borderId="67" xfId="66" applyFont="1" applyFill="1" applyBorder="1" applyAlignment="1">
      <alignment horizontal="center"/>
      <protection/>
    </xf>
    <xf numFmtId="0" fontId="13" fillId="0" borderId="59" xfId="66" applyFont="1" applyBorder="1" applyAlignment="1" applyProtection="1">
      <alignment horizontal="center"/>
      <protection locked="0"/>
    </xf>
    <xf numFmtId="0" fontId="13" fillId="0" borderId="47" xfId="66" applyFont="1" applyBorder="1" applyAlignment="1" applyProtection="1">
      <alignment horizontal="center"/>
      <protection locked="0"/>
    </xf>
    <xf numFmtId="168" fontId="13" fillId="0" borderId="59" xfId="66" applyNumberFormat="1" applyFont="1" applyBorder="1" applyAlignment="1" applyProtection="1">
      <alignment horizontal="center"/>
      <protection/>
    </xf>
    <xf numFmtId="168" fontId="13" fillId="0" borderId="47" xfId="66" applyNumberFormat="1" applyFont="1" applyBorder="1" applyAlignment="1" applyProtection="1">
      <alignment horizontal="center"/>
      <protection/>
    </xf>
    <xf numFmtId="164" fontId="13" fillId="0" borderId="85" xfId="66" applyNumberFormat="1" applyFont="1" applyBorder="1" applyAlignment="1" applyProtection="1">
      <alignment horizontal="center"/>
      <protection/>
    </xf>
    <xf numFmtId="164" fontId="13" fillId="0" borderId="70" xfId="66" applyNumberFormat="1" applyFont="1" applyBorder="1" applyAlignment="1" applyProtection="1">
      <alignment horizontal="center"/>
      <protection/>
    </xf>
    <xf numFmtId="168" fontId="13" fillId="0" borderId="85" xfId="66" applyNumberFormat="1" applyFont="1" applyBorder="1" applyAlignment="1" applyProtection="1">
      <alignment horizontal="center"/>
      <protection/>
    </xf>
    <xf numFmtId="168" fontId="13" fillId="0" borderId="70" xfId="66" applyNumberFormat="1" applyFont="1" applyBorder="1" applyAlignment="1" applyProtection="1">
      <alignment horizontal="center"/>
      <protection/>
    </xf>
    <xf numFmtId="0" fontId="30" fillId="0" borderId="16" xfId="66" applyFont="1" applyBorder="1" applyAlignment="1" applyProtection="1" quotePrefix="1">
      <alignment horizontal="center" vertical="center" wrapText="1"/>
      <protection/>
    </xf>
    <xf numFmtId="0" fontId="30" fillId="0" borderId="17" xfId="66" applyFont="1" applyBorder="1" applyAlignment="1" applyProtection="1" quotePrefix="1">
      <alignment horizontal="center" vertical="center" wrapText="1"/>
      <protection/>
    </xf>
    <xf numFmtId="0" fontId="30" fillId="0" borderId="16" xfId="66" applyFont="1" applyBorder="1" applyAlignment="1" applyProtection="1">
      <alignment horizontal="center" vertical="center"/>
      <protection/>
    </xf>
    <xf numFmtId="0" fontId="30" fillId="0" borderId="17" xfId="66" applyFont="1" applyBorder="1" applyAlignment="1" applyProtection="1">
      <alignment horizontal="center" vertical="center"/>
      <protection/>
    </xf>
    <xf numFmtId="168" fontId="13" fillId="0" borderId="85" xfId="64" applyNumberFormat="1" applyFont="1" applyBorder="1" applyAlignment="1" applyProtection="1">
      <alignment horizontal="center"/>
      <protection/>
    </xf>
    <xf numFmtId="168" fontId="13" fillId="0" borderId="70" xfId="64" applyNumberFormat="1" applyFont="1" applyBorder="1" applyAlignment="1" applyProtection="1">
      <alignment horizontal="center"/>
      <protection/>
    </xf>
    <xf numFmtId="0" fontId="30" fillId="0" borderId="16" xfId="64" applyFont="1" applyFill="1" applyBorder="1" applyAlignment="1" applyProtection="1">
      <alignment horizontal="center" vertical="center"/>
      <protection/>
    </xf>
    <xf numFmtId="0" fontId="3" fillId="0" borderId="17" xfId="64" applyBorder="1" applyAlignment="1">
      <alignment horizontal="center" vertical="center"/>
      <protection/>
    </xf>
    <xf numFmtId="0" fontId="30" fillId="0" borderId="22" xfId="64" applyFont="1" applyFill="1" applyBorder="1" applyAlignment="1" applyProtection="1">
      <alignment horizontal="center" vertical="center"/>
      <protection/>
    </xf>
    <xf numFmtId="0" fontId="30" fillId="0" borderId="17" xfId="64" applyFont="1" applyFill="1" applyBorder="1" applyAlignment="1" applyProtection="1">
      <alignment horizontal="center" vertical="center"/>
      <protection/>
    </xf>
    <xf numFmtId="0" fontId="13" fillId="0" borderId="86" xfId="64" applyFont="1" applyFill="1" applyBorder="1" applyAlignment="1">
      <alignment horizontal="center"/>
      <protection/>
    </xf>
    <xf numFmtId="0" fontId="13" fillId="0" borderId="67" xfId="64" applyFont="1" applyFill="1" applyBorder="1" applyAlignment="1">
      <alignment horizontal="center"/>
      <protection/>
    </xf>
    <xf numFmtId="168" fontId="13" fillId="0" borderId="59" xfId="64" applyNumberFormat="1" applyFont="1" applyBorder="1" applyAlignment="1" applyProtection="1">
      <alignment horizontal="center"/>
      <protection/>
    </xf>
    <xf numFmtId="168" fontId="13" fillId="0" borderId="47" xfId="64" applyNumberFormat="1" applyFont="1" applyBorder="1" applyAlignment="1" applyProtection="1">
      <alignment horizontal="center"/>
      <protection/>
    </xf>
    <xf numFmtId="0" fontId="30" fillId="0" borderId="16" xfId="64" applyFont="1" applyBorder="1" applyAlignment="1" applyProtection="1" quotePrefix="1">
      <alignment horizontal="center" vertical="center" wrapText="1"/>
      <protection/>
    </xf>
    <xf numFmtId="0" fontId="30" fillId="0" borderId="17" xfId="64" applyFont="1" applyBorder="1" applyAlignment="1" applyProtection="1" quotePrefix="1">
      <alignment horizontal="center" vertical="center" wrapText="1"/>
      <protection/>
    </xf>
    <xf numFmtId="0" fontId="30" fillId="0" borderId="16" xfId="64" applyFont="1" applyBorder="1" applyAlignment="1" applyProtection="1">
      <alignment horizontal="center" vertical="center"/>
      <protection/>
    </xf>
    <xf numFmtId="0" fontId="30" fillId="0" borderId="17" xfId="64" applyFont="1" applyBorder="1" applyAlignment="1" applyProtection="1">
      <alignment horizontal="center" vertical="center"/>
      <protection/>
    </xf>
    <xf numFmtId="0" fontId="3" fillId="0" borderId="67" xfId="64" applyBorder="1" applyAlignment="1">
      <alignment horizontal="center"/>
      <protection/>
    </xf>
    <xf numFmtId="0" fontId="13" fillId="0" borderId="89" xfId="64" applyFont="1" applyFill="1" applyBorder="1" applyAlignment="1">
      <alignment horizontal="center"/>
      <protection/>
    </xf>
    <xf numFmtId="0" fontId="13" fillId="0" borderId="59" xfId="75" applyFont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8" fontId="13" fillId="0" borderId="59" xfId="64" applyNumberFormat="1" applyFont="1" applyBorder="1" applyAlignment="1" applyProtection="1" quotePrefix="1">
      <alignment horizontal="center"/>
      <protection/>
    </xf>
    <xf numFmtId="168" fontId="13" fillId="0" borderId="32" xfId="64" applyNumberFormat="1" applyFont="1" applyBorder="1" applyAlignment="1" applyProtection="1" quotePrefix="1">
      <alignment horizontal="center"/>
      <protection/>
    </xf>
    <xf numFmtId="168" fontId="13" fillId="0" borderId="47" xfId="64" applyNumberFormat="1" applyFont="1" applyBorder="1" applyAlignment="1" applyProtection="1" quotePrefix="1">
      <alignment horizontal="center"/>
      <protection/>
    </xf>
    <xf numFmtId="0" fontId="13" fillId="0" borderId="85" xfId="64" applyFont="1" applyBorder="1" applyAlignment="1" applyProtection="1">
      <alignment horizontal="center"/>
      <protection/>
    </xf>
    <xf numFmtId="0" fontId="3" fillId="0" borderId="70" xfId="64" applyBorder="1" applyAlignment="1">
      <alignment horizontal="center"/>
      <protection/>
    </xf>
    <xf numFmtId="168" fontId="13" fillId="0" borderId="68" xfId="64" applyNumberFormat="1" applyFont="1" applyBorder="1" applyAlignment="1" applyProtection="1">
      <alignment horizontal="center"/>
      <protection/>
    </xf>
    <xf numFmtId="0" fontId="74" fillId="0" borderId="59" xfId="64" applyFont="1" applyBorder="1" applyAlignment="1" applyProtection="1">
      <alignment horizontal="center"/>
      <protection locked="0"/>
    </xf>
    <xf numFmtId="0" fontId="74" fillId="0" borderId="47" xfId="64" applyFont="1" applyBorder="1" applyAlignment="1" applyProtection="1">
      <alignment horizontal="center"/>
      <protection locked="0"/>
    </xf>
    <xf numFmtId="0" fontId="13" fillId="0" borderId="86" xfId="64" applyFont="1" applyBorder="1" applyAlignment="1">
      <alignment horizontal="center"/>
      <protection/>
    </xf>
    <xf numFmtId="0" fontId="13" fillId="0" borderId="67" xfId="64" applyFont="1" applyBorder="1" applyAlignment="1">
      <alignment horizontal="center"/>
      <protection/>
    </xf>
    <xf numFmtId="0" fontId="74" fillId="0" borderId="59" xfId="64" applyFont="1" applyBorder="1" applyAlignment="1" applyProtection="1">
      <alignment horizontal="center"/>
      <protection/>
    </xf>
    <xf numFmtId="0" fontId="74" fillId="0" borderId="47" xfId="64" applyFont="1" applyBorder="1" applyAlignment="1" applyProtection="1">
      <alignment horizontal="center"/>
      <protection/>
    </xf>
    <xf numFmtId="0" fontId="74" fillId="0" borderId="85" xfId="64" applyFont="1" applyBorder="1" applyAlignment="1" applyProtection="1">
      <alignment horizontal="center"/>
      <protection locked="0"/>
    </xf>
    <xf numFmtId="0" fontId="74" fillId="0" borderId="70" xfId="64" applyFont="1" applyBorder="1" applyAlignment="1" applyProtection="1">
      <alignment horizontal="center"/>
      <protection locked="0"/>
    </xf>
    <xf numFmtId="0" fontId="30" fillId="0" borderId="22" xfId="66" applyFont="1" applyFill="1" applyBorder="1" applyAlignment="1" applyProtection="1">
      <alignment horizontal="center" vertical="center"/>
      <protection/>
    </xf>
    <xf numFmtId="168" fontId="13" fillId="0" borderId="59" xfId="66" applyNumberFormat="1" applyFont="1" applyBorder="1" applyAlignment="1" applyProtection="1" quotePrefix="1">
      <alignment horizontal="center"/>
      <protection/>
    </xf>
    <xf numFmtId="168" fontId="13" fillId="0" borderId="32" xfId="66" applyNumberFormat="1" applyFont="1" applyBorder="1" applyAlignment="1" applyProtection="1" quotePrefix="1">
      <alignment horizontal="center"/>
      <protection/>
    </xf>
    <xf numFmtId="168" fontId="13" fillId="0" borderId="47" xfId="66" applyNumberFormat="1" applyFont="1" applyBorder="1" applyAlignment="1" applyProtection="1" quotePrefix="1">
      <alignment horizontal="center"/>
      <protection/>
    </xf>
    <xf numFmtId="0" fontId="13" fillId="0" borderId="89" xfId="66" applyFont="1" applyFill="1" applyBorder="1" applyAlignment="1">
      <alignment horizontal="center"/>
      <protection/>
    </xf>
    <xf numFmtId="0" fontId="3" fillId="0" borderId="70" xfId="66" applyBorder="1" applyAlignment="1">
      <alignment horizontal="center"/>
      <protection/>
    </xf>
    <xf numFmtId="168" fontId="13" fillId="0" borderId="68" xfId="66" applyNumberFormat="1" applyFont="1" applyBorder="1" applyAlignment="1" applyProtection="1">
      <alignment horizontal="center"/>
      <protection/>
    </xf>
    <xf numFmtId="0" fontId="3" fillId="0" borderId="17" xfId="66" applyBorder="1" applyAlignment="1">
      <alignment horizontal="center" vertical="center" wrapText="1"/>
      <protection/>
    </xf>
    <xf numFmtId="0" fontId="3" fillId="0" borderId="86" xfId="66" applyBorder="1" applyAlignment="1">
      <alignment/>
      <protection/>
    </xf>
    <xf numFmtId="0" fontId="3" fillId="0" borderId="67" xfId="66" applyBorder="1" applyAlignment="1">
      <alignment/>
      <protection/>
    </xf>
    <xf numFmtId="0" fontId="13" fillId="0" borderId="59" xfId="66" applyFont="1" applyBorder="1" applyAlignment="1" applyProtection="1">
      <alignment horizontal="center"/>
      <protection/>
    </xf>
    <xf numFmtId="0" fontId="13" fillId="0" borderId="47" xfId="66" applyFont="1" applyBorder="1" applyAlignment="1" applyProtection="1">
      <alignment horizontal="center"/>
      <protection/>
    </xf>
    <xf numFmtId="0" fontId="74" fillId="0" borderId="59" xfId="72" applyFont="1" applyBorder="1" applyAlignment="1" applyProtection="1">
      <alignment horizontal="center"/>
      <protection/>
    </xf>
    <xf numFmtId="0" fontId="74" fillId="0" borderId="47" xfId="72" applyFont="1" applyBorder="1" applyAlignment="1" applyProtection="1">
      <alignment horizontal="center"/>
      <protection/>
    </xf>
    <xf numFmtId="0" fontId="30" fillId="0" borderId="22" xfId="66" applyFont="1" applyBorder="1" applyAlignment="1" applyProtection="1">
      <alignment horizontal="center" vertical="center"/>
      <protection/>
    </xf>
    <xf numFmtId="0" fontId="74" fillId="0" borderId="59" xfId="66" applyFont="1" applyBorder="1" applyAlignment="1" applyProtection="1">
      <alignment horizontal="center"/>
      <protection/>
    </xf>
    <xf numFmtId="0" fontId="74" fillId="0" borderId="47" xfId="66" applyFont="1" applyBorder="1" applyAlignment="1" applyProtection="1">
      <alignment horizontal="center"/>
      <protection/>
    </xf>
    <xf numFmtId="0" fontId="74" fillId="0" borderId="86" xfId="66" applyFont="1" applyBorder="1" applyAlignment="1" applyProtection="1">
      <alignment horizontal="center"/>
      <protection/>
    </xf>
    <xf numFmtId="0" fontId="74" fillId="0" borderId="67" xfId="66" applyFont="1" applyBorder="1" applyAlignment="1" applyProtection="1">
      <alignment horizontal="center"/>
      <protection/>
    </xf>
    <xf numFmtId="0" fontId="13" fillId="0" borderId="59" xfId="74" applyFont="1" applyBorder="1" applyAlignment="1" applyProtection="1">
      <alignment horizontal="center"/>
      <protection locked="0"/>
    </xf>
    <xf numFmtId="0" fontId="0" fillId="0" borderId="47" xfId="57" applyBorder="1" applyAlignment="1">
      <alignment horizontal="center"/>
      <protection/>
    </xf>
    <xf numFmtId="0" fontId="74" fillId="0" borderId="59" xfId="74" applyFont="1" applyBorder="1" applyAlignment="1" applyProtection="1">
      <alignment horizontal="center"/>
      <protection/>
    </xf>
    <xf numFmtId="0" fontId="74" fillId="0" borderId="47" xfId="74" applyFont="1" applyBorder="1" applyAlignment="1" applyProtection="1">
      <alignment horizontal="center"/>
      <protection/>
    </xf>
    <xf numFmtId="7" fontId="48" fillId="0" borderId="0" xfId="66" applyNumberFormat="1" applyFont="1" applyFill="1" applyBorder="1" applyAlignment="1">
      <alignment horizontal="center"/>
      <protection/>
    </xf>
    <xf numFmtId="0" fontId="74" fillId="0" borderId="85" xfId="66" applyFont="1" applyBorder="1" applyAlignment="1" applyProtection="1">
      <alignment horizontal="center"/>
      <protection/>
    </xf>
    <xf numFmtId="0" fontId="74" fillId="0" borderId="70" xfId="66" applyFont="1" applyBorder="1" applyAlignment="1" applyProtection="1">
      <alignment horizontal="center"/>
      <protection/>
    </xf>
    <xf numFmtId="0" fontId="21" fillId="0" borderId="0" xfId="66" applyFont="1" applyBorder="1" applyAlignment="1" applyProtection="1">
      <alignment horizontal="center"/>
      <protection/>
    </xf>
    <xf numFmtId="7" fontId="48" fillId="0" borderId="60" xfId="66" applyNumberFormat="1" applyFont="1" applyFill="1" applyBorder="1" applyAlignment="1">
      <alignment horizontal="center"/>
      <protection/>
    </xf>
    <xf numFmtId="164" fontId="13" fillId="0" borderId="59" xfId="73" applyNumberFormat="1" applyFont="1" applyBorder="1" applyAlignment="1" applyProtection="1" quotePrefix="1">
      <alignment horizontal="center"/>
      <protection locked="0"/>
    </xf>
    <xf numFmtId="168" fontId="13" fillId="0" borderId="59" xfId="73" applyNumberFormat="1" applyFont="1" applyBorder="1" applyAlignment="1" applyProtection="1" quotePrefix="1">
      <alignment horizontal="center"/>
      <protection/>
    </xf>
    <xf numFmtId="168" fontId="13" fillId="0" borderId="32" xfId="73" applyNumberFormat="1" applyFont="1" applyBorder="1" applyAlignment="1" applyProtection="1" quotePrefix="1">
      <alignment horizontal="center"/>
      <protection/>
    </xf>
    <xf numFmtId="168" fontId="13" fillId="0" borderId="47" xfId="73" applyNumberFormat="1" applyFont="1" applyBorder="1" applyAlignment="1" applyProtection="1" quotePrefix="1">
      <alignment horizontal="center"/>
      <protection/>
    </xf>
    <xf numFmtId="0" fontId="13" fillId="0" borderId="86" xfId="73" applyFont="1" applyFill="1" applyBorder="1" applyAlignment="1">
      <alignment horizontal="center"/>
      <protection/>
    </xf>
    <xf numFmtId="0" fontId="13" fillId="0" borderId="67" xfId="73" applyFont="1" applyFill="1" applyBorder="1" applyAlignment="1">
      <alignment horizontal="center"/>
      <protection/>
    </xf>
    <xf numFmtId="168" fontId="13" fillId="0" borderId="59" xfId="73" applyNumberFormat="1" applyFont="1" applyBorder="1" applyAlignment="1" applyProtection="1">
      <alignment horizontal="center"/>
      <protection/>
    </xf>
    <xf numFmtId="168" fontId="13" fillId="0" borderId="47" xfId="73" applyNumberFormat="1" applyFont="1" applyBorder="1" applyAlignment="1" applyProtection="1">
      <alignment horizontal="center"/>
      <protection/>
    </xf>
    <xf numFmtId="168" fontId="13" fillId="0" borderId="85" xfId="73" applyNumberFormat="1" applyFont="1" applyBorder="1" applyAlignment="1" applyProtection="1">
      <alignment horizontal="center"/>
      <protection/>
    </xf>
    <xf numFmtId="168" fontId="13" fillId="0" borderId="70" xfId="73" applyNumberFormat="1" applyFont="1" applyBorder="1" applyAlignment="1" applyProtection="1">
      <alignment horizontal="center"/>
      <protection/>
    </xf>
    <xf numFmtId="0" fontId="30" fillId="0" borderId="16" xfId="73" applyFont="1" applyFill="1" applyBorder="1" applyAlignment="1" applyProtection="1" quotePrefix="1">
      <alignment horizontal="center" vertical="center" wrapText="1"/>
      <protection/>
    </xf>
    <xf numFmtId="0" fontId="30" fillId="0" borderId="17" xfId="73" applyFont="1" applyFill="1" applyBorder="1" applyAlignment="1" applyProtection="1" quotePrefix="1">
      <alignment horizontal="center" vertical="center" wrapText="1"/>
      <protection/>
    </xf>
    <xf numFmtId="0" fontId="30" fillId="0" borderId="16" xfId="73" applyFont="1" applyFill="1" applyBorder="1" applyAlignment="1" applyProtection="1">
      <alignment horizontal="center" vertical="center"/>
      <protection/>
    </xf>
    <xf numFmtId="0" fontId="30" fillId="0" borderId="22" xfId="73" applyFont="1" applyFill="1" applyBorder="1" applyAlignment="1" applyProtection="1">
      <alignment horizontal="center" vertical="center"/>
      <protection/>
    </xf>
    <xf numFmtId="0" fontId="30" fillId="0" borderId="17" xfId="73" applyFont="1" applyFill="1" applyBorder="1" applyAlignment="1" applyProtection="1">
      <alignment horizontal="center" vertical="center"/>
      <protection/>
    </xf>
    <xf numFmtId="0" fontId="13" fillId="0" borderId="89" xfId="73" applyFont="1" applyFill="1" applyBorder="1" applyAlignment="1">
      <alignment horizontal="center"/>
      <protection/>
    </xf>
    <xf numFmtId="0" fontId="74" fillId="0" borderId="85" xfId="73" applyFont="1" applyBorder="1" applyAlignment="1" applyProtection="1">
      <alignment horizontal="center"/>
      <protection locked="0"/>
    </xf>
    <xf numFmtId="0" fontId="74" fillId="0" borderId="70" xfId="73" applyFont="1" applyBorder="1" applyAlignment="1" applyProtection="1">
      <alignment horizontal="center"/>
      <protection locked="0"/>
    </xf>
    <xf numFmtId="164" fontId="13" fillId="0" borderId="85" xfId="73" applyNumberFormat="1" applyFont="1" applyBorder="1" applyAlignment="1" applyProtection="1">
      <alignment horizontal="center"/>
      <protection/>
    </xf>
    <xf numFmtId="164" fontId="13" fillId="0" borderId="70" xfId="73" applyNumberFormat="1" applyFont="1" applyBorder="1" applyAlignment="1" applyProtection="1">
      <alignment horizontal="center"/>
      <protection/>
    </xf>
    <xf numFmtId="168" fontId="13" fillId="0" borderId="68" xfId="73" applyNumberFormat="1" applyFont="1" applyBorder="1" applyAlignment="1" applyProtection="1">
      <alignment horizontal="center"/>
      <protection/>
    </xf>
    <xf numFmtId="0" fontId="30" fillId="0" borderId="16" xfId="73" applyFont="1" applyBorder="1" applyAlignment="1" applyProtection="1" quotePrefix="1">
      <alignment horizontal="center" vertical="center" wrapText="1"/>
      <protection/>
    </xf>
    <xf numFmtId="0" fontId="30" fillId="0" borderId="17" xfId="73" applyFont="1" applyBorder="1" applyAlignment="1" applyProtection="1" quotePrefix="1">
      <alignment horizontal="center" vertical="center" wrapText="1"/>
      <protection/>
    </xf>
    <xf numFmtId="0" fontId="30" fillId="0" borderId="16" xfId="73" applyFont="1" applyBorder="1" applyAlignment="1" applyProtection="1">
      <alignment horizontal="center" vertical="center"/>
      <protection/>
    </xf>
    <xf numFmtId="0" fontId="30" fillId="0" borderId="17" xfId="73" applyFont="1" applyBorder="1" applyAlignment="1" applyProtection="1">
      <alignment horizontal="center" vertical="center"/>
      <protection/>
    </xf>
    <xf numFmtId="0" fontId="13" fillId="0" borderId="86" xfId="73" applyFont="1" applyBorder="1" applyAlignment="1">
      <alignment horizontal="center"/>
      <protection/>
    </xf>
    <xf numFmtId="0" fontId="13" fillId="0" borderId="67" xfId="73" applyFont="1" applyBorder="1" applyAlignment="1">
      <alignment horizontal="center"/>
      <protection/>
    </xf>
    <xf numFmtId="0" fontId="74" fillId="0" borderId="59" xfId="73" applyFont="1" applyBorder="1" applyAlignment="1" applyProtection="1">
      <alignment horizontal="center"/>
      <protection/>
    </xf>
    <xf numFmtId="0" fontId="74" fillId="0" borderId="47" xfId="73" applyFont="1" applyBorder="1" applyAlignment="1" applyProtection="1">
      <alignment horizontal="center"/>
      <protection/>
    </xf>
    <xf numFmtId="0" fontId="74" fillId="0" borderId="59" xfId="73" applyFont="1" applyBorder="1" applyAlignment="1" applyProtection="1">
      <alignment horizontal="center"/>
      <protection locked="0"/>
    </xf>
    <xf numFmtId="0" fontId="74" fillId="0" borderId="47" xfId="73" applyFont="1" applyBorder="1" applyAlignment="1" applyProtection="1">
      <alignment horizontal="center"/>
      <protection locked="0"/>
    </xf>
    <xf numFmtId="183" fontId="21" fillId="0" borderId="0" xfId="73" applyNumberFormat="1" applyFont="1" applyBorder="1" applyAlignment="1" applyProtection="1">
      <alignment horizontal="center"/>
      <protection/>
    </xf>
    <xf numFmtId="0" fontId="3" fillId="0" borderId="0" xfId="73" applyAlignment="1">
      <alignment horizontal="center"/>
      <protection/>
    </xf>
    <xf numFmtId="0" fontId="3" fillId="0" borderId="0" xfId="73" applyAlignment="1">
      <alignment/>
      <protection/>
    </xf>
    <xf numFmtId="168" fontId="95" fillId="0" borderId="0" xfId="73" applyNumberFormat="1" applyFont="1" applyBorder="1" applyAlignment="1" applyProtection="1">
      <alignment horizontal="left" vertical="center"/>
      <protection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_F0711NER" xfId="53"/>
    <cellStyle name="Moneda_F0911NER" xfId="54"/>
    <cellStyle name="Moneda_Transener_V8 2" xfId="55"/>
    <cellStyle name="Neutral" xfId="56"/>
    <cellStyle name="Normal 2" xfId="57"/>
    <cellStyle name="Normal_313_TEMPORAL" xfId="58"/>
    <cellStyle name="Normal_A0101 ANEXO I NEA 2" xfId="59"/>
    <cellStyle name="Normal_a0401NER Anexo I1" xfId="60"/>
    <cellStyle name="Normal_Comahue" xfId="61"/>
    <cellStyle name="Normal_EDENOR9604 2" xfId="62"/>
    <cellStyle name="Normal_EDENOR9604 3" xfId="63"/>
    <cellStyle name="Normal_F0711NER" xfId="64"/>
    <cellStyle name="Normal_F0711NER 2" xfId="65"/>
    <cellStyle name="Normal_F0911NER" xfId="66"/>
    <cellStyle name="Normal_info-penalizaciones-iii" xfId="67"/>
    <cellStyle name="Normal_líneas" xfId="68"/>
    <cellStyle name="Normal_TRANS" xfId="69"/>
    <cellStyle name="Normal_TRANS 2" xfId="70"/>
    <cellStyle name="Normal_TRANSBA" xfId="71"/>
    <cellStyle name="Normal_Transener_V8" xfId="72"/>
    <cellStyle name="Normal_Transener_V8 2" xfId="73"/>
    <cellStyle name="Normal_Transener_V8 2 2" xfId="74"/>
    <cellStyle name="Normal_Transener_V8_1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1" xfId="82"/>
    <cellStyle name="Título 2" xfId="83"/>
    <cellStyle name="Título 3" xfId="84"/>
    <cellStyle name="Total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externalLink" Target="externalLinks/externalLink4.xml" /><Relationship Id="rId30" Type="http://schemas.openxmlformats.org/officeDocument/2006/relationships/externalLink" Target="externalLinks/externalLink5.xml" /><Relationship Id="rId31" Type="http://schemas.openxmlformats.org/officeDocument/2006/relationships/externalLink" Target="externalLinks/externalLink6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352425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286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419100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6000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381000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56197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0</xdr:row>
      <xdr:rowOff>0</xdr:rowOff>
    </xdr:from>
    <xdr:to>
      <xdr:col>3</xdr:col>
      <xdr:colOff>361950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400050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191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9525</xdr:rowOff>
    </xdr:from>
    <xdr:to>
      <xdr:col>1</xdr:col>
      <xdr:colOff>542925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0</xdr:row>
      <xdr:rowOff>0</xdr:rowOff>
    </xdr:from>
    <xdr:to>
      <xdr:col>0</xdr:col>
      <xdr:colOff>1019175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3400" cy="771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9525</xdr:rowOff>
    </xdr:from>
    <xdr:to>
      <xdr:col>0</xdr:col>
      <xdr:colOff>1304925</xdr:colOff>
      <xdr:row>0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9525"/>
          <a:ext cx="581025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582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  <xdr:twoCellAnchor editAs="oneCell">
    <xdr:from>
      <xdr:col>0</xdr:col>
      <xdr:colOff>685800</xdr:colOff>
      <xdr:row>0</xdr:row>
      <xdr:rowOff>0</xdr:rowOff>
    </xdr:from>
    <xdr:to>
      <xdr:col>0</xdr:col>
      <xdr:colOff>1200150</xdr:colOff>
      <xdr:row>2</xdr:row>
      <xdr:rowOff>361950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143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0</xdr:rowOff>
    </xdr:from>
    <xdr:to>
      <xdr:col>3</xdr:col>
      <xdr:colOff>381000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0</xdr:rowOff>
    </xdr:from>
    <xdr:to>
      <xdr:col>0</xdr:col>
      <xdr:colOff>1076325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3267075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85725</xdr:rowOff>
    </xdr:from>
    <xdr:to>
      <xdr:col>0</xdr:col>
      <xdr:colOff>1143000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5725"/>
          <a:ext cx="628650" cy="923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9650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28575</xdr:rowOff>
    </xdr:from>
    <xdr:to>
      <xdr:col>1</xdr:col>
      <xdr:colOff>57150</xdr:colOff>
      <xdr:row>1</xdr:row>
      <xdr:rowOff>238125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4953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1371600</xdr:colOff>
      <xdr:row>0</xdr:row>
      <xdr:rowOff>0</xdr:rowOff>
    </xdr:from>
    <xdr:to>
      <xdr:col>1</xdr:col>
      <xdr:colOff>314325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3</xdr:col>
      <xdr:colOff>409575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28575</xdr:rowOff>
    </xdr:from>
    <xdr:to>
      <xdr:col>3</xdr:col>
      <xdr:colOff>428625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171450</xdr:colOff>
      <xdr:row>0</xdr:row>
      <xdr:rowOff>28575</xdr:rowOff>
    </xdr:from>
    <xdr:to>
      <xdr:col>3</xdr:col>
      <xdr:colOff>428625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28575"/>
          <a:ext cx="619125" cy="895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409575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5905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0</xdr:rowOff>
    </xdr:from>
    <xdr:to>
      <xdr:col>3</xdr:col>
      <xdr:colOff>314325</xdr:colOff>
      <xdr:row>2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0</xdr:rowOff>
    </xdr:from>
    <xdr:to>
      <xdr:col>3</xdr:col>
      <xdr:colOff>371475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5810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1\F0711N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0414NE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2\F0412N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2013\F0813N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ENER\TBASENE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711"/>
      <sheetName val="LI-07 (1)"/>
      <sheetName val="LI-07 (2)"/>
      <sheetName val="LI-YACY-07 (1)"/>
      <sheetName val="LI-INTESAR4-07 (1)"/>
      <sheetName val="LI-RIOJA-07 (1)"/>
      <sheetName val="TR-07 (1)"/>
      <sheetName val="TR-COBRA-06 (1)"/>
      <sheetName val="TR-LITSA-07 (1)"/>
      <sheetName val="TR-LINSA-07 (1)"/>
      <sheetName val="TR-INTESAR4-07 (1)"/>
      <sheetName val="SA-07 (1)"/>
      <sheetName val="SA-TIBA-07 (1)"/>
      <sheetName val=" SA- LITSA-07 (1)"/>
      <sheetName val="SA-LIMSA-07 (1)"/>
      <sheetName val="SA-INTESAR 4-07 (1)"/>
      <sheetName val="SA-TRANSPORTEL-07 (1)"/>
      <sheetName val="RE-07 (1)"/>
      <sheetName val="RE-IV-07 (1)"/>
      <sheetName val="CAUSAS-VST-07 (1)"/>
      <sheetName val="SUP-YACYLEC"/>
      <sheetName val="SUP-INTESAR 4"/>
      <sheetName val="SUP-LITSA"/>
      <sheetName val="SUP-TIBA"/>
      <sheetName val="SUP-LIMSA"/>
      <sheetName val="SUP-TRANSPORTEL"/>
      <sheetName val="SUP-COBRA"/>
      <sheetName val="TASA FALLA"/>
      <sheetName val="DATO"/>
      <sheetName val="TR-COBRA-07 (1)"/>
    </sheetNames>
    <definedNames>
      <definedName name="Actualizar_Referencias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T-0414"/>
      <sheetName val="LI-04 (1)"/>
      <sheetName val="LI-INTESAR 3-04 (1)"/>
      <sheetName val="LI-LINSA-04 (1)"/>
      <sheetName val="LI-RECREO-04 (1)"/>
      <sheetName val="LI-YACY-04 (1)"/>
      <sheetName val="TR-04 (1)"/>
      <sheetName val="TR-COBRA-04 (1)"/>
      <sheetName val="TR-INTESAR3-04 (1)"/>
      <sheetName val="TR-LICCSA-04 (1)"/>
      <sheetName val="TR-TIBA-04 (1)"/>
      <sheetName val="SA-04 (1)"/>
      <sheetName val="SA-04 (2)"/>
      <sheetName val="SA-04 (3)"/>
      <sheetName val="SA-ESPERANZA-04 (2)"/>
      <sheetName val="SA-LINSA-04 (1)"/>
      <sheetName val="SA-TIBA-04 (1)"/>
      <sheetName val="SA-LARIOJASUR-04 (1)"/>
      <sheetName val="RE-04 (1)"/>
      <sheetName val="RE-04 (2)"/>
      <sheetName val="VST-04 (1)"/>
      <sheetName val="SUP-LINSA"/>
      <sheetName val="SUP-YACYLEC"/>
      <sheetName val="SUP-LICCSA"/>
      <sheetName val="SUP-TIBA"/>
      <sheetName val="DAG"/>
      <sheetName val="DATO"/>
      <sheetName val="Hoja1"/>
    </sheetNames>
    <definedNames>
      <definedName name="Actualizar_Referencias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T-0412"/>
      <sheetName val="LI-04 (1)"/>
      <sheetName val="LI-YACY-04 (1)"/>
      <sheetName val="LI-INTESAR-04 (1)"/>
      <sheetName val="LI-INTESA2-04 (1)"/>
      <sheetName val="LI-INTESA5-04 (1)"/>
      <sheetName val="LI-CUYANA-04 (1)"/>
      <sheetName val="TR-04 (1)"/>
      <sheetName val="TR-INTESAR-04 (1)"/>
      <sheetName val="TR-INTESA3-04 (1)"/>
      <sheetName val="TR-INTESA4-04 (1)"/>
      <sheetName val="TR-LICCSA-04 (1)"/>
      <sheetName val="SA-04 (1)"/>
      <sheetName val="SA-04 (2)"/>
      <sheetName val="SA-TIBA-04 (1)"/>
      <sheetName val="SA-CTM-04 (1)"/>
      <sheetName val="SA-LIMSA-04 (1)"/>
      <sheetName val=" SA- LITSA-04 (1)"/>
      <sheetName val=" SA- LICCSA-04 (1)"/>
      <sheetName val="SA-TRANSPORTEL-01 (1)"/>
      <sheetName val="R-04 (1)"/>
      <sheetName val="RE-YACY-04 (1)"/>
      <sheetName val="RE-INTESAR 2-04 (1)"/>
      <sheetName val="DAG"/>
      <sheetName val="SUP-YACYLEC"/>
      <sheetName val="SUP-LITSA"/>
      <sheetName val="SUP-TIBA"/>
      <sheetName val="SUP-CTM"/>
      <sheetName val="SUP-INTESAR"/>
      <sheetName val="SUP-INTESA2"/>
      <sheetName val="SUP-INTESA3"/>
      <sheetName val="SUP-INTESAR 4"/>
      <sheetName val="SUP-INTESAR 5"/>
      <sheetName val="SUP-CUYANA (1)"/>
      <sheetName val="SUP-LIMSA"/>
      <sheetName val="SUP-TRANSPORTEL"/>
      <sheetName val="SUP-LICCSA (1)"/>
      <sheetName val="TASA FALLA"/>
      <sheetName val="DATO"/>
    </sheetNames>
    <definedNames>
      <definedName name="Actualizar_Referencia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T-0812"/>
      <sheetName val="LI-08 (1)"/>
      <sheetName val="LI-08 (2)"/>
      <sheetName val="LI-INTESA4-08 (1)"/>
      <sheetName val="LI-INTESAR 3-08 (1)"/>
      <sheetName val="TR-08 (1)"/>
      <sheetName val="SA-08 (1)"/>
      <sheetName val="SA-08 (2)"/>
      <sheetName val="SA-LINSA-08 (1)"/>
      <sheetName val="SA-TIBA-08 (1)"/>
      <sheetName val="RE-08 (1)"/>
      <sheetName val="RE-Res.01_03"/>
      <sheetName val="RE-YACY-08 (1)"/>
      <sheetName val="VST-08 (1)"/>
      <sheetName val="SUP-YACYLEC"/>
      <sheetName val="SUP-LINSA"/>
      <sheetName val="SUP-TIBA"/>
      <sheetName val="SUP-INTESAR 4"/>
      <sheetName val="SUP-INTESAR 3"/>
      <sheetName val="DAG"/>
      <sheetName val="DATO"/>
    </sheetNames>
    <definedNames>
      <definedName name="Actualizar_Referencias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Grafico"/>
      <sheetName val="FM-ATENTADOS"/>
    </sheetNames>
    <sheetDataSet>
      <sheetData sheetId="0"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DU17">
            <v>1</v>
          </cell>
          <cell r="DW17">
            <v>3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DV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DR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DY23">
            <v>1</v>
          </cell>
          <cell r="EA23">
            <v>1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DR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DV25">
            <v>1</v>
          </cell>
          <cell r="DW25">
            <v>1</v>
          </cell>
          <cell r="EC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DT27">
            <v>1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DT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DV38">
            <v>1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DZ40">
            <v>1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DT43">
            <v>1</v>
          </cell>
          <cell r="DX43">
            <v>1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DT44">
            <v>1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DR46" t="str">
            <v>XXXX</v>
          </cell>
          <cell r="DS46" t="str">
            <v>XXXX</v>
          </cell>
          <cell r="DT46" t="str">
            <v>XXXX</v>
          </cell>
          <cell r="DU46" t="str">
            <v>XXXX</v>
          </cell>
          <cell r="DV46" t="str">
            <v>XXXX</v>
          </cell>
          <cell r="DW46" t="str">
            <v>XXXX</v>
          </cell>
          <cell r="DX46" t="str">
            <v>XXXX</v>
          </cell>
          <cell r="DY46" t="str">
            <v>XXXX</v>
          </cell>
          <cell r="DZ46" t="str">
            <v>XXXX</v>
          </cell>
          <cell r="EA46" t="str">
            <v>XXXX</v>
          </cell>
          <cell r="EB46" t="str">
            <v>XXXX</v>
          </cell>
          <cell r="EC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DX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DZ49">
            <v>1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DR54" t="str">
            <v>XXXX</v>
          </cell>
          <cell r="DS54" t="str">
            <v>XXXX</v>
          </cell>
          <cell r="DT54" t="str">
            <v>XXXX</v>
          </cell>
          <cell r="DU54" t="str">
            <v>XXXX</v>
          </cell>
          <cell r="DV54" t="str">
            <v>XXXX</v>
          </cell>
          <cell r="DW54" t="str">
            <v>XXXX</v>
          </cell>
          <cell r="DX54" t="str">
            <v>XXXX</v>
          </cell>
          <cell r="DY54" t="str">
            <v>XXXX</v>
          </cell>
          <cell r="DZ54" t="str">
            <v>XXXX</v>
          </cell>
          <cell r="EA54" t="str">
            <v>XXXX</v>
          </cell>
          <cell r="EB54" t="str">
            <v>XXXX</v>
          </cell>
          <cell r="EC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DW56">
            <v>1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DR57" t="str">
            <v>XXXX</v>
          </cell>
          <cell r="DS57" t="str">
            <v>XXXX</v>
          </cell>
          <cell r="DT57" t="str">
            <v>XXXX</v>
          </cell>
          <cell r="DU57" t="str">
            <v>XXXX</v>
          </cell>
          <cell r="DV57" t="str">
            <v>XXXX</v>
          </cell>
          <cell r="DW57" t="str">
            <v>XXXX</v>
          </cell>
          <cell r="DX57" t="str">
            <v>XXXX</v>
          </cell>
          <cell r="DY57" t="str">
            <v>XXXX</v>
          </cell>
          <cell r="DZ57" t="str">
            <v>XXXX</v>
          </cell>
          <cell r="EA57" t="str">
            <v>XXXX</v>
          </cell>
          <cell r="EB57" t="str">
            <v>XXXX</v>
          </cell>
          <cell r="EC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DT60">
            <v>1</v>
          </cell>
          <cell r="DX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DR61" t="str">
            <v>XXXX</v>
          </cell>
          <cell r="DS61" t="str">
            <v>XXXX</v>
          </cell>
          <cell r="DT61" t="str">
            <v>XXXX</v>
          </cell>
          <cell r="DU61" t="str">
            <v>XXXX</v>
          </cell>
          <cell r="DV61" t="str">
            <v>XXXX</v>
          </cell>
          <cell r="DW61" t="str">
            <v>XXXX</v>
          </cell>
          <cell r="DX61" t="str">
            <v>XXXX</v>
          </cell>
          <cell r="DY61" t="str">
            <v>XXXX</v>
          </cell>
          <cell r="DZ61" t="str">
            <v>XXXX</v>
          </cell>
          <cell r="EA61" t="str">
            <v>XXXX</v>
          </cell>
          <cell r="EB61" t="str">
            <v>XXXX</v>
          </cell>
          <cell r="EC61" t="str">
            <v>XXXX</v>
          </cell>
        </row>
        <row r="62">
          <cell r="D62" t="str">
            <v>ROSARIO OESTE - RIO CORONDA</v>
          </cell>
          <cell r="E62">
            <v>500</v>
          </cell>
          <cell r="F62">
            <v>64.99</v>
          </cell>
          <cell r="DY62">
            <v>1</v>
          </cell>
        </row>
        <row r="63">
          <cell r="D63" t="str">
            <v>RIO CORONDA - SANTO TOME</v>
          </cell>
          <cell r="E63">
            <v>500</v>
          </cell>
          <cell r="F63">
            <v>137.94</v>
          </cell>
        </row>
        <row r="64">
          <cell r="C64">
            <v>46</v>
          </cell>
          <cell r="D64" t="str">
            <v>SALTO GRANDE - SANTO TOME </v>
          </cell>
          <cell r="E64">
            <v>500</v>
          </cell>
          <cell r="F64">
            <v>289</v>
          </cell>
          <cell r="DS64">
            <v>1</v>
          </cell>
        </row>
        <row r="65">
          <cell r="C65">
            <v>47</v>
          </cell>
          <cell r="D65" t="str">
            <v>SANTO TOME - ROMANG </v>
          </cell>
          <cell r="E65">
            <v>500</v>
          </cell>
          <cell r="F65">
            <v>270</v>
          </cell>
        </row>
        <row r="67">
          <cell r="C67">
            <v>48</v>
          </cell>
          <cell r="D67" t="str">
            <v>GRAL. RODRIGUEZ - VILLA  LIA 1</v>
          </cell>
          <cell r="E67">
            <v>220</v>
          </cell>
          <cell r="F67">
            <v>61</v>
          </cell>
        </row>
        <row r="68">
          <cell r="C68">
            <v>49</v>
          </cell>
          <cell r="D68" t="str">
            <v>GRAL. RODRIGUEZ - VILLA  LIA 2</v>
          </cell>
          <cell r="E68">
            <v>220</v>
          </cell>
          <cell r="F68">
            <v>61</v>
          </cell>
        </row>
        <row r="69">
          <cell r="C69">
            <v>50</v>
          </cell>
          <cell r="D69" t="str">
            <v>RAMALLO - SAN NICOLAS (2)</v>
          </cell>
          <cell r="E69">
            <v>220</v>
          </cell>
          <cell r="F69">
            <v>6</v>
          </cell>
          <cell r="DS69">
            <v>1</v>
          </cell>
        </row>
        <row r="70">
          <cell r="C70">
            <v>51</v>
          </cell>
          <cell r="D70" t="str">
            <v>RAMALLO - SAN NICOLAS (1)</v>
          </cell>
          <cell r="E70">
            <v>220</v>
          </cell>
          <cell r="F70">
            <v>6</v>
          </cell>
        </row>
        <row r="71">
          <cell r="C71">
            <v>52</v>
          </cell>
          <cell r="D71" t="str">
            <v>RAMALLO - VILLA LIA  1</v>
          </cell>
          <cell r="E71">
            <v>220</v>
          </cell>
          <cell r="F71">
            <v>114</v>
          </cell>
          <cell r="DY71">
            <v>1</v>
          </cell>
        </row>
        <row r="72">
          <cell r="C72">
            <v>53</v>
          </cell>
          <cell r="D72" t="str">
            <v>RAMALLO - VILLA LIA  2</v>
          </cell>
          <cell r="E72">
            <v>220</v>
          </cell>
          <cell r="F72">
            <v>114</v>
          </cell>
          <cell r="DX72">
            <v>1</v>
          </cell>
        </row>
        <row r="73">
          <cell r="C73">
            <v>54</v>
          </cell>
          <cell r="D73" t="str">
            <v>ROSARIO OESTE - RAMALLO  1</v>
          </cell>
          <cell r="E73">
            <v>220</v>
          </cell>
          <cell r="F73">
            <v>77</v>
          </cell>
          <cell r="DW73">
            <v>1</v>
          </cell>
        </row>
        <row r="74">
          <cell r="C74">
            <v>55</v>
          </cell>
          <cell r="D74" t="str">
            <v>ROSARIO OESTE - RAMALLO  2</v>
          </cell>
          <cell r="E74">
            <v>220</v>
          </cell>
          <cell r="F74">
            <v>77</v>
          </cell>
        </row>
        <row r="75">
          <cell r="C75">
            <v>56</v>
          </cell>
          <cell r="D75" t="str">
            <v>VILLA LIA - ATUCHA 1</v>
          </cell>
          <cell r="E75">
            <v>220</v>
          </cell>
          <cell r="F75">
            <v>26</v>
          </cell>
        </row>
        <row r="76">
          <cell r="C76">
            <v>57</v>
          </cell>
          <cell r="D76" t="str">
            <v>VILLA LIA - ATUCHA 2</v>
          </cell>
          <cell r="E76">
            <v>220</v>
          </cell>
          <cell r="F76">
            <v>26</v>
          </cell>
          <cell r="DR76">
            <v>1</v>
          </cell>
        </row>
        <row r="78">
          <cell r="C78">
            <v>58</v>
          </cell>
          <cell r="D78" t="str">
            <v>GRAL RODRIGUEZ - RAMALLO</v>
          </cell>
          <cell r="E78">
            <v>500</v>
          </cell>
          <cell r="F78">
            <v>183.9</v>
          </cell>
        </row>
        <row r="79">
          <cell r="C79">
            <v>59</v>
          </cell>
          <cell r="D79" t="str">
            <v>RAMALLO - ROSARIO OESTE</v>
          </cell>
          <cell r="E79">
            <v>500</v>
          </cell>
          <cell r="F79">
            <v>77</v>
          </cell>
          <cell r="DX79">
            <v>1</v>
          </cell>
          <cell r="DY79">
            <v>1</v>
          </cell>
          <cell r="EA79">
            <v>1</v>
          </cell>
        </row>
        <row r="80">
          <cell r="C80">
            <v>60</v>
          </cell>
          <cell r="D80" t="str">
            <v>MACACHIN - HENDERSON</v>
          </cell>
          <cell r="E80">
            <v>500</v>
          </cell>
          <cell r="F80">
            <v>194</v>
          </cell>
          <cell r="DS80">
            <v>1</v>
          </cell>
        </row>
        <row r="81">
          <cell r="C81">
            <v>61</v>
          </cell>
          <cell r="D81" t="str">
            <v>PUELCHES - MACACHIN</v>
          </cell>
          <cell r="E81">
            <v>500</v>
          </cell>
          <cell r="F81">
            <v>227</v>
          </cell>
        </row>
        <row r="84">
          <cell r="C84">
            <v>62</v>
          </cell>
          <cell r="D84" t="str">
            <v>YACYRETÁ - RINCON I</v>
          </cell>
          <cell r="E84">
            <v>500</v>
          </cell>
          <cell r="F84">
            <v>3.6</v>
          </cell>
        </row>
        <row r="85">
          <cell r="C85">
            <v>63</v>
          </cell>
          <cell r="D85" t="str">
            <v>YACYRETÁ - RINCON II</v>
          </cell>
          <cell r="E85">
            <v>500</v>
          </cell>
          <cell r="F85">
            <v>3.6</v>
          </cell>
        </row>
        <row r="86">
          <cell r="C86">
            <v>64</v>
          </cell>
          <cell r="D86" t="str">
            <v>YACYRETÁ - RINCON III</v>
          </cell>
          <cell r="E86">
            <v>500</v>
          </cell>
          <cell r="F86">
            <v>3.6</v>
          </cell>
        </row>
        <row r="87">
          <cell r="C87">
            <v>65</v>
          </cell>
          <cell r="D87" t="str">
            <v>RINCON - PASO DE LA PATRIA</v>
          </cell>
          <cell r="E87">
            <v>500</v>
          </cell>
          <cell r="F87">
            <v>227</v>
          </cell>
          <cell r="EB87">
            <v>1</v>
          </cell>
        </row>
        <row r="88">
          <cell r="C88">
            <v>66</v>
          </cell>
          <cell r="D88" t="str">
            <v>PASO DE LA PATRIA - RESISTENCIA</v>
          </cell>
          <cell r="E88">
            <v>500</v>
          </cell>
          <cell r="F88">
            <v>40</v>
          </cell>
        </row>
        <row r="89">
          <cell r="C89">
            <v>67</v>
          </cell>
          <cell r="D89" t="str">
            <v>RINCON - RESISTENCIA</v>
          </cell>
          <cell r="E89">
            <v>500</v>
          </cell>
          <cell r="F89">
            <v>267</v>
          </cell>
          <cell r="DR89" t="str">
            <v>XXXX</v>
          </cell>
          <cell r="DS89" t="str">
            <v>XXXX</v>
          </cell>
          <cell r="DT89" t="str">
            <v>XXXX</v>
          </cell>
          <cell r="DU89" t="str">
            <v>XXXX</v>
          </cell>
          <cell r="DV89" t="str">
            <v>XXXX</v>
          </cell>
          <cell r="DW89" t="str">
            <v>XXXX</v>
          </cell>
          <cell r="DX89" t="str">
            <v>XXXX</v>
          </cell>
          <cell r="DY89" t="str">
            <v>XXXX</v>
          </cell>
          <cell r="DZ89" t="str">
            <v>XXXX</v>
          </cell>
          <cell r="EA89" t="str">
            <v>XXXX</v>
          </cell>
          <cell r="EB89" t="str">
            <v>XXXX</v>
          </cell>
          <cell r="EC89" t="str">
            <v>XXXX</v>
          </cell>
        </row>
        <row r="91">
          <cell r="C91">
            <v>68</v>
          </cell>
          <cell r="D91" t="str">
            <v>RINCON - SALTO GRANDE</v>
          </cell>
          <cell r="E91">
            <v>500</v>
          </cell>
          <cell r="F91">
            <v>506</v>
          </cell>
        </row>
        <row r="92">
          <cell r="C92">
            <v>69</v>
          </cell>
          <cell r="D92" t="str">
            <v>RINCON - SAN ISIDRO</v>
          </cell>
          <cell r="E92">
            <v>500</v>
          </cell>
          <cell r="F92">
            <v>85</v>
          </cell>
        </row>
        <row r="94">
          <cell r="C94">
            <v>70</v>
          </cell>
          <cell r="D94" t="str">
            <v>RECREO - LA RIOJA SUR</v>
          </cell>
          <cell r="E94">
            <v>500</v>
          </cell>
          <cell r="F94">
            <v>150.3</v>
          </cell>
        </row>
        <row r="95">
          <cell r="C95">
            <v>71</v>
          </cell>
          <cell r="D95" t="str">
            <v>M.BELGRANO - G.RODRIGUEZ</v>
          </cell>
          <cell r="E95">
            <v>500</v>
          </cell>
          <cell r="F95">
            <v>41.4</v>
          </cell>
        </row>
        <row r="104">
          <cell r="DR104">
            <v>0.54</v>
          </cell>
          <cell r="DS104">
            <v>0.55</v>
          </cell>
          <cell r="DT104">
            <v>0.52</v>
          </cell>
          <cell r="DU104">
            <v>0.5</v>
          </cell>
          <cell r="DV104">
            <v>0.52</v>
          </cell>
          <cell r="DW104">
            <v>0.52</v>
          </cell>
          <cell r="DX104">
            <v>0.56</v>
          </cell>
          <cell r="DY104">
            <v>0.54</v>
          </cell>
          <cell r="DZ104">
            <v>0.54</v>
          </cell>
          <cell r="EA104">
            <v>0.52</v>
          </cell>
          <cell r="EB104">
            <v>0.47</v>
          </cell>
          <cell r="EC104">
            <v>0.43</v>
          </cell>
          <cell r="ED104">
            <v>0.36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7">
          <cell r="G17" t="str">
            <v>B</v>
          </cell>
        </row>
        <row r="20">
          <cell r="G20" t="str">
            <v>C</v>
          </cell>
        </row>
        <row r="21">
          <cell r="G21" t="str">
            <v>C</v>
          </cell>
        </row>
        <row r="22">
          <cell r="G22" t="str">
            <v>A</v>
          </cell>
        </row>
        <row r="23">
          <cell r="G23" t="str">
            <v>B</v>
          </cell>
        </row>
        <row r="24">
          <cell r="G24" t="str">
            <v>B</v>
          </cell>
        </row>
        <row r="26">
          <cell r="G26" t="str">
            <v>C</v>
          </cell>
        </row>
        <row r="27">
          <cell r="G27" t="str">
            <v>C</v>
          </cell>
        </row>
        <row r="28">
          <cell r="G28" t="str">
            <v>B</v>
          </cell>
        </row>
        <row r="29">
          <cell r="G29" t="str">
            <v>C</v>
          </cell>
        </row>
        <row r="30">
          <cell r="G30" t="str">
            <v>C</v>
          </cell>
        </row>
        <row r="31">
          <cell r="G31" t="str">
            <v>C</v>
          </cell>
        </row>
        <row r="32">
          <cell r="G32" t="str">
            <v>C</v>
          </cell>
        </row>
        <row r="33">
          <cell r="G33" t="str">
            <v>C</v>
          </cell>
        </row>
        <row r="34">
          <cell r="G34" t="str">
            <v>A</v>
          </cell>
        </row>
        <row r="35">
          <cell r="G35" t="str">
            <v>A</v>
          </cell>
        </row>
        <row r="36">
          <cell r="G36" t="str">
            <v>C</v>
          </cell>
        </row>
        <row r="37">
          <cell r="G37" t="str">
            <v>C</v>
          </cell>
        </row>
        <row r="38">
          <cell r="G38" t="str">
            <v>C</v>
          </cell>
        </row>
        <row r="39">
          <cell r="G39" t="str">
            <v>C</v>
          </cell>
        </row>
        <row r="40">
          <cell r="G40" t="str">
            <v>C</v>
          </cell>
        </row>
        <row r="41">
          <cell r="G41" t="str">
            <v>C</v>
          </cell>
        </row>
        <row r="42">
          <cell r="G42" t="str">
            <v>C</v>
          </cell>
        </row>
        <row r="43">
          <cell r="G43" t="str">
            <v>A</v>
          </cell>
        </row>
        <row r="44">
          <cell r="G44" t="str">
            <v>A</v>
          </cell>
        </row>
        <row r="45">
          <cell r="G45" t="str">
            <v>B</v>
          </cell>
        </row>
        <row r="46">
          <cell r="G46" t="str">
            <v>C</v>
          </cell>
        </row>
        <row r="47">
          <cell r="G47" t="str">
            <v>B</v>
          </cell>
        </row>
        <row r="48">
          <cell r="G48" t="str">
            <v>B</v>
          </cell>
        </row>
        <row r="51">
          <cell r="G51" t="str">
            <v>A</v>
          </cell>
        </row>
        <row r="52">
          <cell r="G52" t="str">
            <v>A</v>
          </cell>
        </row>
        <row r="53">
          <cell r="G53" t="str">
            <v>A</v>
          </cell>
        </row>
        <row r="54">
          <cell r="G54" t="str">
            <v>A</v>
          </cell>
        </row>
        <row r="55">
          <cell r="G55" t="str">
            <v>C</v>
          </cell>
        </row>
        <row r="56">
          <cell r="G56" t="str">
            <v>B</v>
          </cell>
        </row>
        <row r="57">
          <cell r="G57" t="str">
            <v>B</v>
          </cell>
        </row>
        <row r="58">
          <cell r="G58" t="str">
            <v>A</v>
          </cell>
        </row>
        <row r="59">
          <cell r="G59" t="str">
            <v>B</v>
          </cell>
        </row>
        <row r="60">
          <cell r="G60" t="str">
            <v>A</v>
          </cell>
        </row>
        <row r="61">
          <cell r="G61" t="str">
            <v>C</v>
          </cell>
        </row>
        <row r="62">
          <cell r="G62" t="str">
            <v>C</v>
          </cell>
        </row>
        <row r="63">
          <cell r="G63" t="str">
            <v>A</v>
          </cell>
        </row>
        <row r="64">
          <cell r="G64" t="str">
            <v>C</v>
          </cell>
        </row>
        <row r="65">
          <cell r="G65" t="str">
            <v>C</v>
          </cell>
        </row>
        <row r="66">
          <cell r="G66" t="str">
            <v>C</v>
          </cell>
        </row>
        <row r="67">
          <cell r="G67" t="str">
            <v>C</v>
          </cell>
        </row>
        <row r="68">
          <cell r="G68" t="str">
            <v>C</v>
          </cell>
        </row>
        <row r="69">
          <cell r="G69" t="str">
            <v>C</v>
          </cell>
        </row>
        <row r="70">
          <cell r="G70" t="str">
            <v>C</v>
          </cell>
        </row>
        <row r="71">
          <cell r="G71" t="str">
            <v>C</v>
          </cell>
        </row>
        <row r="72">
          <cell r="G72" t="str">
            <v>C</v>
          </cell>
        </row>
        <row r="73">
          <cell r="G73" t="str">
            <v>C</v>
          </cell>
        </row>
        <row r="74">
          <cell r="G74" t="str">
            <v>C</v>
          </cell>
        </row>
        <row r="75">
          <cell r="G75" t="str">
            <v>C</v>
          </cell>
        </row>
        <row r="76">
          <cell r="G76" t="str">
            <v>C</v>
          </cell>
        </row>
        <row r="77">
          <cell r="G77" t="str">
            <v>C</v>
          </cell>
        </row>
        <row r="78">
          <cell r="G78" t="str">
            <v>A</v>
          </cell>
        </row>
        <row r="79">
          <cell r="G79" t="str">
            <v>A</v>
          </cell>
        </row>
        <row r="80">
          <cell r="G80" t="str">
            <v>A</v>
          </cell>
        </row>
        <row r="81">
          <cell r="G81" t="str">
            <v>A</v>
          </cell>
        </row>
        <row r="82">
          <cell r="G82" t="str">
            <v>B</v>
          </cell>
        </row>
        <row r="83">
          <cell r="G83" t="str">
            <v>B</v>
          </cell>
        </row>
        <row r="84">
          <cell r="G84" t="str">
            <v>B</v>
          </cell>
        </row>
        <row r="85">
          <cell r="G85" t="str">
            <v>A</v>
          </cell>
        </row>
        <row r="86">
          <cell r="G86" t="str">
            <v>C</v>
          </cell>
        </row>
        <row r="87">
          <cell r="G87" t="str">
            <v>B</v>
          </cell>
        </row>
        <row r="88">
          <cell r="G88" t="str">
            <v>C</v>
          </cell>
        </row>
        <row r="89">
          <cell r="G89" t="str">
            <v>A</v>
          </cell>
        </row>
        <row r="90">
          <cell r="G90" t="str">
            <v>C</v>
          </cell>
        </row>
        <row r="91">
          <cell r="G91" t="str">
            <v>A</v>
          </cell>
        </row>
        <row r="92">
          <cell r="G92" t="str">
            <v>C</v>
          </cell>
        </row>
        <row r="94">
          <cell r="G94" t="str">
            <v>C</v>
          </cell>
        </row>
        <row r="95">
          <cell r="G95" t="str">
            <v>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S61"/>
  <sheetViews>
    <sheetView tabSelected="1" zoomScale="55" zoomScaleNormal="55" zoomScalePageLayoutView="0" workbookViewId="0" topLeftCell="A1">
      <selection activeCell="B3" sqref="B3"/>
    </sheetView>
  </sheetViews>
  <sheetFormatPr defaultColWidth="11.421875" defaultRowHeight="12.75"/>
  <cols>
    <col min="1" max="1" width="22.7109375" style="8" customWidth="1"/>
    <col min="2" max="2" width="7.7109375" style="8" customWidth="1"/>
    <col min="3" max="3" width="9.140625" style="8" customWidth="1"/>
    <col min="4" max="4" width="10.7109375" style="8" customWidth="1"/>
    <col min="5" max="5" width="13.7109375" style="8" customWidth="1"/>
    <col min="6" max="6" width="17.00390625" style="8" customWidth="1"/>
    <col min="7" max="7" width="44.57421875" style="8" customWidth="1"/>
    <col min="8" max="8" width="10.00390625" style="8" customWidth="1"/>
    <col min="9" max="9" width="25.421875" style="8" customWidth="1"/>
    <col min="10" max="10" width="12.2812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1:11" s="3" customFormat="1" ht="26.25">
      <c r="A1" s="1"/>
      <c r="B1" s="2"/>
      <c r="E1" s="4"/>
      <c r="K1" s="5"/>
    </row>
    <row r="2" spans="2:10" s="3" customFormat="1" ht="26.25">
      <c r="B2" s="2" t="s">
        <v>527</v>
      </c>
      <c r="C2" s="6"/>
      <c r="D2" s="7"/>
      <c r="E2" s="7"/>
      <c r="F2" s="7"/>
      <c r="G2" s="7"/>
      <c r="H2" s="7"/>
      <c r="I2" s="7"/>
      <c r="J2" s="7"/>
    </row>
    <row r="3" spans="3:19" ht="12.75">
      <c r="C3" s="9"/>
      <c r="D3" s="10"/>
      <c r="E3" s="10"/>
      <c r="F3" s="10"/>
      <c r="G3" s="10"/>
      <c r="H3" s="10"/>
      <c r="I3" s="10"/>
      <c r="J3" s="10"/>
      <c r="P3" s="11"/>
      <c r="Q3" s="11"/>
      <c r="R3" s="11"/>
      <c r="S3" s="11"/>
    </row>
    <row r="4" spans="1:19" s="14" customFormat="1" ht="11.25">
      <c r="A4" s="12" t="s">
        <v>2</v>
      </c>
      <c r="B4" s="13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4" customFormat="1" ht="11.25">
      <c r="A5" s="12" t="s">
        <v>3</v>
      </c>
      <c r="B5" s="13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2:19" s="3" customFormat="1" ht="11.25" customHeight="1">
      <c r="B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2:19" s="18" customFormat="1" ht="21">
      <c r="B7" s="19" t="s">
        <v>0</v>
      </c>
      <c r="C7" s="20"/>
      <c r="D7" s="21"/>
      <c r="E7" s="21"/>
      <c r="F7" s="22"/>
      <c r="G7" s="22"/>
      <c r="H7" s="22"/>
      <c r="I7" s="22"/>
      <c r="J7" s="22"/>
      <c r="K7" s="23"/>
      <c r="L7" s="23"/>
      <c r="M7" s="23"/>
      <c r="N7" s="23"/>
      <c r="O7" s="23"/>
      <c r="P7" s="23"/>
      <c r="Q7" s="23"/>
      <c r="R7" s="23"/>
      <c r="S7" s="23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18" customFormat="1" ht="21">
      <c r="B9" s="19" t="s">
        <v>1</v>
      </c>
      <c r="C9" s="20"/>
      <c r="D9" s="21"/>
      <c r="E9" s="21"/>
      <c r="F9" s="21"/>
      <c r="G9" s="21"/>
      <c r="H9" s="21"/>
      <c r="I9" s="22"/>
      <c r="J9" s="22"/>
      <c r="K9" s="23"/>
      <c r="L9" s="23"/>
      <c r="M9" s="23"/>
      <c r="N9" s="23"/>
      <c r="O9" s="23"/>
      <c r="P9" s="23"/>
      <c r="Q9" s="23"/>
      <c r="R9" s="23"/>
      <c r="S9" s="23"/>
    </row>
    <row r="10" spans="4:19" ht="12.75">
      <c r="D10" s="24"/>
      <c r="E10" s="2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18" customFormat="1" ht="20.25">
      <c r="B11" s="19" t="s">
        <v>481</v>
      </c>
      <c r="C11" s="25"/>
      <c r="D11" s="26"/>
      <c r="E11" s="26"/>
      <c r="F11" s="21"/>
      <c r="G11" s="21"/>
      <c r="H11" s="21"/>
      <c r="I11" s="22"/>
      <c r="J11" s="22"/>
      <c r="K11" s="23"/>
      <c r="L11" s="23"/>
      <c r="M11" s="23"/>
      <c r="N11" s="23"/>
      <c r="O11" s="23"/>
      <c r="P11" s="23"/>
      <c r="Q11" s="23"/>
      <c r="R11" s="23"/>
      <c r="S11" s="23"/>
    </row>
    <row r="12" spans="4:19" s="27" customFormat="1" ht="16.5" thickBot="1">
      <c r="D12" s="28"/>
      <c r="E12" s="28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s="27" customFormat="1" ht="16.5" thickTop="1">
      <c r="B13" s="30"/>
      <c r="C13" s="31"/>
      <c r="D13" s="31"/>
      <c r="E13" s="32"/>
      <c r="F13" s="31"/>
      <c r="G13" s="31"/>
      <c r="H13" s="31"/>
      <c r="I13" s="31"/>
      <c r="J13" s="33"/>
      <c r="K13" s="29"/>
      <c r="L13" s="29"/>
      <c r="M13" s="29"/>
      <c r="N13" s="29"/>
      <c r="O13" s="29"/>
      <c r="P13" s="29"/>
      <c r="Q13" s="29"/>
      <c r="R13" s="29"/>
      <c r="S13" s="29"/>
    </row>
    <row r="14" spans="2:19" s="34" customFormat="1" ht="19.5">
      <c r="B14" s="35" t="s">
        <v>326</v>
      </c>
      <c r="C14" s="36"/>
      <c r="D14" s="37"/>
      <c r="E14" s="38"/>
      <c r="F14" s="39"/>
      <c r="G14" s="39"/>
      <c r="H14" s="39"/>
      <c r="I14" s="40"/>
      <c r="J14" s="41"/>
      <c r="K14" s="42"/>
      <c r="L14" s="42"/>
      <c r="M14" s="42"/>
      <c r="N14" s="42"/>
      <c r="O14" s="42"/>
      <c r="P14" s="42"/>
      <c r="Q14" s="42"/>
      <c r="R14" s="42"/>
      <c r="S14" s="42"/>
    </row>
    <row r="15" spans="2:19" s="34" customFormat="1" ht="13.5" customHeight="1">
      <c r="B15" s="43"/>
      <c r="C15" s="44"/>
      <c r="D15" s="45"/>
      <c r="E15" s="46"/>
      <c r="F15" s="47"/>
      <c r="G15" s="47"/>
      <c r="H15" s="47"/>
      <c r="I15" s="42"/>
      <c r="J15" s="48"/>
      <c r="K15" s="42"/>
      <c r="L15" s="42"/>
      <c r="M15" s="42"/>
      <c r="N15" s="42"/>
      <c r="O15" s="42"/>
      <c r="P15" s="42"/>
      <c r="Q15" s="42"/>
      <c r="R15" s="42"/>
      <c r="S15" s="42"/>
    </row>
    <row r="16" spans="2:19" s="34" customFormat="1" ht="19.5">
      <c r="B16" s="43"/>
      <c r="C16" s="49" t="s">
        <v>4</v>
      </c>
      <c r="D16" s="45" t="s">
        <v>5</v>
      </c>
      <c r="E16" s="46"/>
      <c r="F16" s="47"/>
      <c r="G16" s="47"/>
      <c r="H16" s="47"/>
      <c r="I16" s="50"/>
      <c r="J16" s="48"/>
      <c r="K16" s="42"/>
      <c r="L16" s="42"/>
      <c r="M16" s="42"/>
      <c r="N16" s="42"/>
      <c r="O16" s="42"/>
      <c r="P16" s="42"/>
      <c r="Q16" s="42"/>
      <c r="R16" s="42"/>
      <c r="S16" s="42"/>
    </row>
    <row r="17" spans="2:19" s="34" customFormat="1" ht="19.5">
      <c r="B17" s="43"/>
      <c r="C17" s="49"/>
      <c r="D17" s="45">
        <v>11</v>
      </c>
      <c r="E17" s="51" t="s">
        <v>6</v>
      </c>
      <c r="F17" s="47"/>
      <c r="G17" s="47"/>
      <c r="H17" s="47"/>
      <c r="I17" s="50">
        <f>'LI-06 (1)'!AE43</f>
        <v>1728195.24</v>
      </c>
      <c r="J17" s="48"/>
      <c r="K17" s="42"/>
      <c r="L17" s="42"/>
      <c r="M17" s="42"/>
      <c r="N17" s="42"/>
      <c r="O17" s="42"/>
      <c r="P17" s="42"/>
      <c r="Q17" s="42"/>
      <c r="R17" s="42"/>
      <c r="S17" s="42"/>
    </row>
    <row r="18" spans="2:19" s="34" customFormat="1" ht="19.5">
      <c r="B18" s="43"/>
      <c r="C18" s="49"/>
      <c r="D18" s="45"/>
      <c r="E18" s="51" t="s">
        <v>515</v>
      </c>
      <c r="F18" s="47"/>
      <c r="G18" s="47"/>
      <c r="H18" s="47"/>
      <c r="I18" s="50">
        <f>+Atentado!AM29</f>
        <v>6.18</v>
      </c>
      <c r="J18" s="48"/>
      <c r="K18" s="42"/>
      <c r="L18" s="42"/>
      <c r="M18" s="42"/>
      <c r="N18" s="42"/>
      <c r="O18" s="42"/>
      <c r="P18" s="42"/>
      <c r="Q18" s="42"/>
      <c r="R18" s="42"/>
      <c r="S18" s="42"/>
    </row>
    <row r="19" spans="2:19" s="34" customFormat="1" ht="19.5">
      <c r="B19" s="43"/>
      <c r="C19" s="49"/>
      <c r="D19" s="45">
        <v>12</v>
      </c>
      <c r="E19" s="51" t="s">
        <v>7</v>
      </c>
      <c r="F19" s="47"/>
      <c r="G19" s="47"/>
      <c r="H19" s="47"/>
      <c r="I19" s="50">
        <f>'LI-YACY-06 (1)'!AE41</f>
        <v>342.76</v>
      </c>
      <c r="J19" s="48"/>
      <c r="K19" s="42"/>
      <c r="L19" s="42"/>
      <c r="M19" s="42"/>
      <c r="N19" s="42"/>
      <c r="O19" s="42"/>
      <c r="P19" s="42"/>
      <c r="Q19" s="42"/>
      <c r="R19" s="42"/>
      <c r="S19" s="42"/>
    </row>
    <row r="20" spans="2:19" s="34" customFormat="1" ht="19.5">
      <c r="B20" s="43"/>
      <c r="C20" s="49"/>
      <c r="D20" s="45">
        <v>13</v>
      </c>
      <c r="E20" s="51" t="s">
        <v>8</v>
      </c>
      <c r="F20" s="47"/>
      <c r="G20" s="47"/>
      <c r="H20" s="47"/>
      <c r="I20" s="50">
        <f>'LI-INTESAR-06 (1)'!AE41</f>
        <v>4816.26</v>
      </c>
      <c r="J20" s="48"/>
      <c r="K20" s="42"/>
      <c r="L20" s="42"/>
      <c r="M20" s="42"/>
      <c r="N20" s="42"/>
      <c r="O20" s="42"/>
      <c r="P20" s="42"/>
      <c r="Q20" s="42"/>
      <c r="R20" s="42"/>
      <c r="S20" s="42"/>
    </row>
    <row r="21" spans="2:19" s="34" customFormat="1" ht="19.5">
      <c r="B21" s="43"/>
      <c r="C21" s="49"/>
      <c r="D21" s="45">
        <v>14</v>
      </c>
      <c r="E21" s="51" t="s">
        <v>9</v>
      </c>
      <c r="F21" s="47"/>
      <c r="G21" s="47"/>
      <c r="H21" s="47"/>
      <c r="I21" s="50">
        <f>'LI-INTESAR2-06 (1)'!AE41</f>
        <v>712.77</v>
      </c>
      <c r="J21" s="48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.75" customHeight="1">
      <c r="A22" s="34"/>
      <c r="B22" s="55"/>
      <c r="C22" s="56"/>
      <c r="D22" s="45"/>
      <c r="E22" s="57"/>
      <c r="F22" s="58"/>
      <c r="G22" s="58"/>
      <c r="H22" s="58"/>
      <c r="I22" s="59"/>
      <c r="J22" s="60"/>
      <c r="K22" s="42"/>
      <c r="L22" s="11"/>
      <c r="M22" s="11"/>
      <c r="N22" s="11"/>
      <c r="O22" s="11"/>
      <c r="P22" s="11"/>
      <c r="Q22" s="11"/>
      <c r="R22" s="11"/>
      <c r="S22" s="11"/>
    </row>
    <row r="23" spans="2:19" s="34" customFormat="1" ht="19.5">
      <c r="B23" s="43"/>
      <c r="C23" s="49" t="s">
        <v>10</v>
      </c>
      <c r="D23" s="61" t="s">
        <v>11</v>
      </c>
      <c r="E23" s="62"/>
      <c r="F23" s="53"/>
      <c r="G23" s="53"/>
      <c r="H23" s="53"/>
      <c r="I23" s="54"/>
      <c r="J23" s="48"/>
      <c r="K23" s="42"/>
      <c r="L23" s="42"/>
      <c r="M23" s="42"/>
      <c r="N23" s="42"/>
      <c r="O23" s="42"/>
      <c r="P23" s="42"/>
      <c r="Q23" s="42"/>
      <c r="R23" s="42"/>
      <c r="S23" s="42"/>
    </row>
    <row r="24" spans="2:19" s="34" customFormat="1" ht="19.5">
      <c r="B24" s="43"/>
      <c r="C24" s="49"/>
      <c r="D24" s="45">
        <v>21</v>
      </c>
      <c r="E24" s="52" t="s">
        <v>12</v>
      </c>
      <c r="F24" s="53"/>
      <c r="G24" s="53"/>
      <c r="H24" s="53"/>
      <c r="I24" s="54"/>
      <c r="J24" s="48"/>
      <c r="K24" s="42"/>
      <c r="L24" s="42"/>
      <c r="M24" s="42"/>
      <c r="N24" s="42"/>
      <c r="O24" s="42"/>
      <c r="P24" s="42"/>
      <c r="Q24" s="42"/>
      <c r="R24" s="42"/>
      <c r="S24" s="42"/>
    </row>
    <row r="25" spans="2:19" s="34" customFormat="1" ht="19.5">
      <c r="B25" s="43"/>
      <c r="C25" s="49"/>
      <c r="D25" s="45"/>
      <c r="E25" s="63">
        <v>211</v>
      </c>
      <c r="F25" s="64" t="s">
        <v>6</v>
      </c>
      <c r="G25" s="53"/>
      <c r="H25" s="53"/>
      <c r="I25" s="54">
        <f>'TR-06 (1)'!AC43</f>
        <v>218307.9</v>
      </c>
      <c r="J25" s="48"/>
      <c r="K25" s="42"/>
      <c r="L25" s="42"/>
      <c r="M25" s="42"/>
      <c r="N25" s="42"/>
      <c r="O25" s="42"/>
      <c r="P25" s="42"/>
      <c r="Q25" s="42"/>
      <c r="R25" s="42"/>
      <c r="S25" s="42"/>
    </row>
    <row r="26" spans="2:19" s="34" customFormat="1" ht="19.5">
      <c r="B26" s="43"/>
      <c r="C26" s="49"/>
      <c r="D26" s="45"/>
      <c r="E26" s="63">
        <v>212</v>
      </c>
      <c r="F26" s="64" t="s">
        <v>383</v>
      </c>
      <c r="G26" s="53"/>
      <c r="H26" s="53"/>
      <c r="I26" s="54">
        <f>'TR-LITSA SG-06 (1)'!AD43</f>
        <v>801.29</v>
      </c>
      <c r="J26" s="48"/>
      <c r="K26" s="42"/>
      <c r="L26" s="42"/>
      <c r="M26" s="42"/>
      <c r="N26" s="42"/>
      <c r="O26" s="42"/>
      <c r="P26" s="42"/>
      <c r="Q26" s="42"/>
      <c r="R26" s="42"/>
      <c r="S26" s="42"/>
    </row>
    <row r="27" spans="2:19" s="34" customFormat="1" ht="19.5">
      <c r="B27" s="43"/>
      <c r="C27" s="49"/>
      <c r="D27" s="45"/>
      <c r="E27" s="63">
        <v>213</v>
      </c>
      <c r="F27" s="64" t="s">
        <v>13</v>
      </c>
      <c r="G27" s="53"/>
      <c r="H27" s="53"/>
      <c r="I27" s="54">
        <f>'TR-TIBA-04 (1)'!AC41</f>
        <v>2410.76</v>
      </c>
      <c r="J27" s="48"/>
      <c r="K27" s="42"/>
      <c r="L27" s="42"/>
      <c r="M27" s="42"/>
      <c r="N27" s="42"/>
      <c r="O27" s="42"/>
      <c r="P27" s="42"/>
      <c r="Q27" s="42"/>
      <c r="R27" s="42"/>
      <c r="S27" s="42"/>
    </row>
    <row r="28" spans="2:19" s="34" customFormat="1" ht="19.5">
      <c r="B28" s="43"/>
      <c r="C28" s="49"/>
      <c r="D28" s="45">
        <v>22</v>
      </c>
      <c r="E28" s="51" t="s">
        <v>14</v>
      </c>
      <c r="F28" s="47"/>
      <c r="G28" s="47"/>
      <c r="H28" s="47"/>
      <c r="I28" s="50"/>
      <c r="J28" s="48"/>
      <c r="K28" s="42"/>
      <c r="L28" s="42"/>
      <c r="M28" s="42"/>
      <c r="N28" s="42"/>
      <c r="O28" s="42"/>
      <c r="P28" s="42"/>
      <c r="Q28" s="42"/>
      <c r="R28" s="42"/>
      <c r="S28" s="42"/>
    </row>
    <row r="29" spans="2:19" s="34" customFormat="1" ht="19.5">
      <c r="B29" s="43"/>
      <c r="C29" s="49"/>
      <c r="D29" s="45"/>
      <c r="E29" s="65">
        <v>221</v>
      </c>
      <c r="F29" s="4" t="s">
        <v>6</v>
      </c>
      <c r="G29" s="47"/>
      <c r="H29" s="47"/>
      <c r="I29" s="50">
        <f>'SA-06 (1)'!V45</f>
        <v>60959.16</v>
      </c>
      <c r="J29" s="48"/>
      <c r="K29" s="42"/>
      <c r="L29" s="42"/>
      <c r="M29" s="42"/>
      <c r="N29" s="42"/>
      <c r="O29" s="42"/>
      <c r="P29" s="42"/>
      <c r="Q29" s="42"/>
      <c r="R29" s="42"/>
      <c r="S29" s="42"/>
    </row>
    <row r="30" spans="2:19" s="34" customFormat="1" ht="19.5">
      <c r="B30" s="43"/>
      <c r="C30" s="49"/>
      <c r="D30" s="45"/>
      <c r="E30" s="65">
        <v>222</v>
      </c>
      <c r="F30" s="4" t="s">
        <v>13</v>
      </c>
      <c r="G30" s="47"/>
      <c r="H30" s="47"/>
      <c r="I30" s="50">
        <f>'SA-TIBA-06 (1)'!V43</f>
        <v>8678.23</v>
      </c>
      <c r="J30" s="48"/>
      <c r="K30" s="42"/>
      <c r="L30" s="42"/>
      <c r="M30" s="42"/>
      <c r="N30" s="42"/>
      <c r="O30" s="42"/>
      <c r="P30" s="42"/>
      <c r="Q30" s="42"/>
      <c r="R30" s="42"/>
      <c r="S30" s="42"/>
    </row>
    <row r="31" spans="2:19" s="34" customFormat="1" ht="19.5">
      <c r="B31" s="43"/>
      <c r="C31" s="49"/>
      <c r="D31" s="45"/>
      <c r="E31" s="65">
        <v>223</v>
      </c>
      <c r="F31" s="4" t="s">
        <v>15</v>
      </c>
      <c r="G31" s="47"/>
      <c r="H31" s="47"/>
      <c r="I31" s="50">
        <f>'SA-LIMSA-06 (1)'!V45</f>
        <v>261.16</v>
      </c>
      <c r="J31" s="48"/>
      <c r="K31" s="42"/>
      <c r="L31" s="42"/>
      <c r="M31" s="42"/>
      <c r="N31" s="42"/>
      <c r="O31" s="42"/>
      <c r="P31" s="42"/>
      <c r="Q31" s="42"/>
      <c r="R31" s="42"/>
      <c r="S31" s="42"/>
    </row>
    <row r="32" spans="2:19" s="34" customFormat="1" ht="19.5">
      <c r="B32" s="43"/>
      <c r="C32" s="49"/>
      <c r="D32" s="45"/>
      <c r="E32" s="65" t="s">
        <v>384</v>
      </c>
      <c r="F32" s="4" t="s">
        <v>16</v>
      </c>
      <c r="G32" s="47"/>
      <c r="H32" s="47"/>
      <c r="I32" s="50">
        <f>'SA-LINSA-06 (1)'!V45</f>
        <v>5812.76</v>
      </c>
      <c r="J32" s="48"/>
      <c r="K32" s="42"/>
      <c r="L32" s="42"/>
      <c r="M32" s="42"/>
      <c r="N32" s="42"/>
      <c r="O32" s="42"/>
      <c r="P32" s="42"/>
      <c r="Q32" s="42"/>
      <c r="R32" s="42"/>
      <c r="S32" s="42"/>
    </row>
    <row r="33" spans="2:19" s="34" customFormat="1" ht="19.5">
      <c r="B33" s="43"/>
      <c r="C33" s="49"/>
      <c r="D33" s="45"/>
      <c r="E33" s="65" t="s">
        <v>385</v>
      </c>
      <c r="F33" s="4" t="s">
        <v>525</v>
      </c>
      <c r="G33" s="47"/>
      <c r="H33" s="47"/>
      <c r="I33" s="50">
        <f>'SA-TRANSPORTEL-06 (1)'!V41</f>
        <v>1673.24</v>
      </c>
      <c r="J33" s="48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.75" customHeight="1">
      <c r="A34" s="34"/>
      <c r="B34" s="55"/>
      <c r="C34" s="56"/>
      <c r="D34" s="45"/>
      <c r="E34" s="66"/>
      <c r="F34" s="67"/>
      <c r="G34" s="67"/>
      <c r="H34" s="67"/>
      <c r="I34" s="68"/>
      <c r="J34" s="60"/>
      <c r="K34" s="42"/>
      <c r="L34" s="11"/>
      <c r="M34" s="11"/>
      <c r="N34" s="11"/>
      <c r="O34" s="11"/>
      <c r="P34" s="11"/>
      <c r="Q34" s="11"/>
      <c r="R34" s="11"/>
      <c r="S34" s="11"/>
    </row>
    <row r="35" spans="2:19" s="34" customFormat="1" ht="19.5">
      <c r="B35" s="43"/>
      <c r="C35" s="49" t="s">
        <v>17</v>
      </c>
      <c r="D35" s="61" t="s">
        <v>18</v>
      </c>
      <c r="E35" s="46"/>
      <c r="F35" s="47"/>
      <c r="G35" s="47"/>
      <c r="H35" s="47"/>
      <c r="I35" s="50"/>
      <c r="J35" s="48"/>
      <c r="K35" s="42"/>
      <c r="L35" s="42"/>
      <c r="M35" s="42"/>
      <c r="N35" s="42"/>
      <c r="O35" s="42"/>
      <c r="P35" s="42"/>
      <c r="Q35" s="42"/>
      <c r="R35" s="42"/>
      <c r="S35" s="42"/>
    </row>
    <row r="36" spans="2:19" s="34" customFormat="1" ht="19.5">
      <c r="B36" s="43"/>
      <c r="C36" s="49"/>
      <c r="D36" s="45">
        <v>31</v>
      </c>
      <c r="E36" s="51" t="s">
        <v>6</v>
      </c>
      <c r="F36" s="47"/>
      <c r="G36" s="47"/>
      <c r="H36" s="47"/>
      <c r="I36" s="50">
        <f>'RE-06 (1)'!Z43</f>
        <v>291942.93</v>
      </c>
      <c r="J36" s="48"/>
      <c r="K36" s="42"/>
      <c r="L36" s="42"/>
      <c r="M36" s="42"/>
      <c r="N36" s="42"/>
      <c r="O36" s="42"/>
      <c r="P36" s="42"/>
      <c r="Q36" s="42"/>
      <c r="R36" s="42"/>
      <c r="S36" s="42"/>
    </row>
    <row r="37" spans="2:19" s="34" customFormat="1" ht="19.5">
      <c r="B37" s="43"/>
      <c r="C37" s="49"/>
      <c r="D37" s="45">
        <v>32</v>
      </c>
      <c r="E37" s="51" t="s">
        <v>7</v>
      </c>
      <c r="F37" s="47"/>
      <c r="G37" s="47"/>
      <c r="H37" s="47"/>
      <c r="I37" s="50">
        <f>'RE-YACY-08 (1)'!Z43</f>
        <v>4216.92</v>
      </c>
      <c r="J37" s="48"/>
      <c r="K37" s="42"/>
      <c r="L37" s="42"/>
      <c r="M37" s="42"/>
      <c r="N37" s="42"/>
      <c r="O37" s="42"/>
      <c r="P37" s="42"/>
      <c r="Q37" s="42"/>
      <c r="R37" s="42"/>
      <c r="S37" s="42"/>
    </row>
    <row r="38" spans="2:19" s="34" customFormat="1" ht="12.75" customHeight="1">
      <c r="B38" s="43"/>
      <c r="C38" s="49"/>
      <c r="D38" s="45"/>
      <c r="E38" s="51"/>
      <c r="F38" s="47"/>
      <c r="G38" s="47"/>
      <c r="H38" s="47"/>
      <c r="I38" s="50"/>
      <c r="J38" s="48"/>
      <c r="K38" s="42"/>
      <c r="L38" s="42"/>
      <c r="M38" s="42"/>
      <c r="N38" s="42"/>
      <c r="O38" s="42"/>
      <c r="P38" s="42"/>
      <c r="Q38" s="42"/>
      <c r="R38" s="42"/>
      <c r="S38" s="42"/>
    </row>
    <row r="39" spans="2:19" s="34" customFormat="1" ht="19.5">
      <c r="B39" s="43"/>
      <c r="C39" s="49" t="s">
        <v>19</v>
      </c>
      <c r="D39" s="61" t="s">
        <v>20</v>
      </c>
      <c r="E39" s="46"/>
      <c r="F39" s="47"/>
      <c r="G39" s="47"/>
      <c r="H39" s="47"/>
      <c r="I39" s="50"/>
      <c r="J39" s="48"/>
      <c r="K39" s="42"/>
      <c r="L39" s="42"/>
      <c r="M39" s="42"/>
      <c r="N39" s="42"/>
      <c r="O39" s="42"/>
      <c r="P39" s="42"/>
      <c r="Q39" s="42"/>
      <c r="R39" s="42"/>
      <c r="S39" s="42"/>
    </row>
    <row r="40" spans="2:19" s="34" customFormat="1" ht="19.5">
      <c r="B40" s="43"/>
      <c r="C40" s="49"/>
      <c r="D40" s="45">
        <v>41</v>
      </c>
      <c r="E40" s="51" t="s">
        <v>7</v>
      </c>
      <c r="F40" s="47"/>
      <c r="G40" s="47"/>
      <c r="H40" s="47"/>
      <c r="I40" s="50">
        <f>'SUP-YACYLEC'!K75</f>
        <v>2839.3928222143845</v>
      </c>
      <c r="J40" s="48"/>
      <c r="K40" s="42"/>
      <c r="L40" s="42"/>
      <c r="M40" s="42"/>
      <c r="N40" s="42"/>
      <c r="O40" s="42"/>
      <c r="P40" s="42"/>
      <c r="Q40" s="42"/>
      <c r="R40" s="42"/>
      <c r="S40" s="42"/>
    </row>
    <row r="41" spans="2:19" s="34" customFormat="1" ht="19.5">
      <c r="B41" s="43"/>
      <c r="C41" s="49"/>
      <c r="D41" s="45">
        <v>42</v>
      </c>
      <c r="E41" s="64" t="s">
        <v>383</v>
      </c>
      <c r="F41" s="47"/>
      <c r="G41" s="47"/>
      <c r="H41" s="47"/>
      <c r="I41" s="50">
        <f>'SUP-LITSA T. SG'!K77</f>
        <v>200.32200000000003</v>
      </c>
      <c r="J41" s="48"/>
      <c r="K41" s="42"/>
      <c r="L41" s="42"/>
      <c r="M41" s="42"/>
      <c r="N41" s="42"/>
      <c r="O41" s="42"/>
      <c r="P41" s="42"/>
      <c r="Q41" s="42"/>
      <c r="R41" s="42"/>
      <c r="S41" s="42"/>
    </row>
    <row r="42" spans="2:19" s="34" customFormat="1" ht="19.5">
      <c r="B42" s="43"/>
      <c r="C42" s="49"/>
      <c r="D42" s="45">
        <v>43</v>
      </c>
      <c r="E42" s="51" t="s">
        <v>21</v>
      </c>
      <c r="F42" s="47"/>
      <c r="G42" s="47"/>
      <c r="H42" s="47"/>
      <c r="I42" s="50">
        <f>'SUP-LINSA'!K95</f>
        <v>2345.2379250332683</v>
      </c>
      <c r="J42" s="48"/>
      <c r="K42" s="42"/>
      <c r="L42" s="42"/>
      <c r="M42" s="42"/>
      <c r="N42" s="42"/>
      <c r="O42" s="42"/>
      <c r="P42" s="42"/>
      <c r="Q42" s="42"/>
      <c r="R42" s="42"/>
      <c r="S42" s="42"/>
    </row>
    <row r="43" spans="2:19" s="34" customFormat="1" ht="19.5">
      <c r="B43" s="43"/>
      <c r="C43" s="49"/>
      <c r="D43" s="45">
        <v>44</v>
      </c>
      <c r="E43" s="51" t="s">
        <v>13</v>
      </c>
      <c r="F43" s="47"/>
      <c r="G43" s="47"/>
      <c r="H43" s="47"/>
      <c r="I43" s="50">
        <f>'SUP-TIBA'!J80</f>
        <v>2792.130652557341</v>
      </c>
      <c r="J43" s="48"/>
      <c r="K43" s="42"/>
      <c r="L43" s="42"/>
      <c r="M43" s="42"/>
      <c r="N43" s="42"/>
      <c r="O43" s="42"/>
      <c r="P43" s="42"/>
      <c r="Q43" s="42"/>
      <c r="R43" s="42"/>
      <c r="S43" s="42"/>
    </row>
    <row r="44" spans="2:19" s="34" customFormat="1" ht="19.5">
      <c r="B44" s="43"/>
      <c r="C44" s="49"/>
      <c r="D44" s="45" t="s">
        <v>386</v>
      </c>
      <c r="E44" s="51" t="s">
        <v>22</v>
      </c>
      <c r="F44" s="47"/>
      <c r="G44" s="47"/>
      <c r="H44" s="47"/>
      <c r="I44" s="50">
        <f>'SUP-LIMSA'!K82</f>
        <v>170.4057988068603</v>
      </c>
      <c r="J44" s="48"/>
      <c r="K44" s="42"/>
      <c r="L44" s="42"/>
      <c r="M44" s="42"/>
      <c r="N44" s="42"/>
      <c r="O44" s="42"/>
      <c r="P44" s="42"/>
      <c r="Q44" s="42"/>
      <c r="R44" s="42"/>
      <c r="S44" s="42"/>
    </row>
    <row r="45" spans="2:19" s="34" customFormat="1" ht="11.25" customHeight="1">
      <c r="B45" s="43"/>
      <c r="C45" s="49"/>
      <c r="D45" s="45"/>
      <c r="E45" s="51"/>
      <c r="F45" s="47"/>
      <c r="G45" s="47"/>
      <c r="H45" s="69"/>
      <c r="I45" s="50"/>
      <c r="J45" s="48"/>
      <c r="K45" s="42"/>
      <c r="L45" s="42"/>
      <c r="M45" s="42"/>
      <c r="N45" s="42"/>
      <c r="O45" s="42"/>
      <c r="P45" s="42"/>
      <c r="Q45" s="42"/>
      <c r="R45" s="42"/>
      <c r="S45" s="42"/>
    </row>
    <row r="46" spans="2:19" s="34" customFormat="1" ht="20.25" thickBot="1">
      <c r="B46" s="43"/>
      <c r="C46" s="44"/>
      <c r="D46" s="45"/>
      <c r="E46" s="46"/>
      <c r="F46" s="47"/>
      <c r="G46" s="47"/>
      <c r="H46" s="47"/>
      <c r="I46" s="42"/>
      <c r="J46" s="48"/>
      <c r="K46" s="42"/>
      <c r="L46" s="42"/>
      <c r="M46" s="42"/>
      <c r="N46" s="42"/>
      <c r="O46" s="42"/>
      <c r="P46" s="42"/>
      <c r="Q46" s="42"/>
      <c r="R46" s="42"/>
      <c r="S46" s="42"/>
    </row>
    <row r="47" spans="2:19" s="34" customFormat="1" ht="20.25" thickBot="1" thickTop="1">
      <c r="B47" s="43"/>
      <c r="C47" s="49"/>
      <c r="D47" s="49"/>
      <c r="F47" s="70" t="s">
        <v>23</v>
      </c>
      <c r="G47" s="71">
        <f>SUM(I16:I45)</f>
        <v>2337485.049198611</v>
      </c>
      <c r="H47" s="72"/>
      <c r="J47" s="48"/>
      <c r="K47" s="42"/>
      <c r="L47" s="42"/>
      <c r="M47" s="42"/>
      <c r="N47" s="42"/>
      <c r="O47" s="42"/>
      <c r="P47" s="42"/>
      <c r="Q47" s="42"/>
      <c r="R47" s="42"/>
      <c r="S47" s="42"/>
    </row>
    <row r="48" spans="2:19" s="34" customFormat="1" ht="9.75" customHeight="1" thickTop="1">
      <c r="B48" s="43"/>
      <c r="C48" s="49"/>
      <c r="D48" s="49"/>
      <c r="F48" s="73"/>
      <c r="G48" s="72"/>
      <c r="H48" s="72"/>
      <c r="J48" s="48"/>
      <c r="K48" s="42"/>
      <c r="L48" s="42"/>
      <c r="M48" s="42"/>
      <c r="N48" s="42"/>
      <c r="O48" s="42"/>
      <c r="P48" s="42"/>
      <c r="Q48" s="42"/>
      <c r="R48" s="42"/>
      <c r="S48" s="42"/>
    </row>
    <row r="49" spans="2:19" s="34" customFormat="1" ht="18.75">
      <c r="B49" s="43"/>
      <c r="C49" s="2437" t="s">
        <v>482</v>
      </c>
      <c r="D49" s="49"/>
      <c r="F49" s="73"/>
      <c r="G49" s="72"/>
      <c r="H49" s="72"/>
      <c r="I49" s="74"/>
      <c r="J49" s="48"/>
      <c r="K49" s="42"/>
      <c r="L49" s="42"/>
      <c r="M49" s="42"/>
      <c r="N49" s="42"/>
      <c r="O49" s="42"/>
      <c r="P49" s="42"/>
      <c r="Q49" s="42"/>
      <c r="R49" s="42"/>
      <c r="S49" s="42"/>
    </row>
    <row r="50" spans="2:19" s="27" customFormat="1" ht="10.5" customHeight="1" thickBot="1">
      <c r="B50" s="75"/>
      <c r="C50" s="76"/>
      <c r="D50" s="76"/>
      <c r="E50" s="77"/>
      <c r="F50" s="77"/>
      <c r="G50" s="77"/>
      <c r="H50" s="77"/>
      <c r="I50" s="77"/>
      <c r="J50" s="78"/>
      <c r="K50" s="29"/>
      <c r="L50" s="29"/>
      <c r="M50" s="79"/>
      <c r="N50" s="80"/>
      <c r="O50" s="80"/>
      <c r="P50" s="81"/>
      <c r="Q50" s="82"/>
      <c r="R50" s="29"/>
      <c r="S50" s="29"/>
    </row>
    <row r="51" spans="4:19" ht="13.5" thickTop="1">
      <c r="D51" s="11"/>
      <c r="F51" s="11"/>
      <c r="G51" s="11"/>
      <c r="H51" s="11"/>
      <c r="I51" s="11"/>
      <c r="J51" s="11"/>
      <c r="K51" s="11"/>
      <c r="L51" s="11"/>
      <c r="M51" s="83"/>
      <c r="N51" s="84"/>
      <c r="O51" s="84"/>
      <c r="P51" s="11"/>
      <c r="Q51" s="85"/>
      <c r="R51" s="11"/>
      <c r="S51" s="11"/>
    </row>
    <row r="52" spans="4:19" ht="12.75">
      <c r="D52" s="11"/>
      <c r="F52" s="11"/>
      <c r="G52" s="11"/>
      <c r="H52" s="11"/>
      <c r="I52" s="11"/>
      <c r="J52" s="11"/>
      <c r="K52" s="11"/>
      <c r="L52" s="11"/>
      <c r="M52" s="11"/>
      <c r="N52" s="86"/>
      <c r="O52" s="86"/>
      <c r="P52" s="87"/>
      <c r="Q52" s="85"/>
      <c r="R52" s="11"/>
      <c r="S52" s="11"/>
    </row>
    <row r="53" spans="4:19" ht="12.75"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86"/>
      <c r="O53" s="86"/>
      <c r="P53" s="87"/>
      <c r="Q53" s="85"/>
      <c r="R53" s="11"/>
      <c r="S53" s="11"/>
    </row>
    <row r="54" spans="4:19" ht="12.75">
      <c r="D54" s="11"/>
      <c r="E54" s="11"/>
      <c r="L54" s="11"/>
      <c r="M54" s="11"/>
      <c r="N54" s="11"/>
      <c r="O54" s="11"/>
      <c r="P54" s="11"/>
      <c r="Q54" s="11"/>
      <c r="R54" s="11"/>
      <c r="S54" s="11"/>
    </row>
    <row r="55" spans="4:19" ht="12.75">
      <c r="D55" s="11"/>
      <c r="E55" s="11"/>
      <c r="P55" s="11"/>
      <c r="Q55" s="11"/>
      <c r="R55" s="11"/>
      <c r="S55" s="11"/>
    </row>
    <row r="56" spans="4:19" ht="12.75">
      <c r="D56" s="11"/>
      <c r="E56" s="11"/>
      <c r="P56" s="11"/>
      <c r="Q56" s="11"/>
      <c r="R56" s="11"/>
      <c r="S56" s="11"/>
    </row>
    <row r="57" spans="4:19" ht="12.75">
      <c r="D57" s="11"/>
      <c r="E57" s="11"/>
      <c r="P57" s="11"/>
      <c r="Q57" s="11"/>
      <c r="R57" s="11"/>
      <c r="S57" s="11"/>
    </row>
    <row r="58" spans="4:19" ht="12.75">
      <c r="D58" s="11"/>
      <c r="E58" s="11"/>
      <c r="P58" s="11"/>
      <c r="Q58" s="11"/>
      <c r="R58" s="11"/>
      <c r="S58" s="11"/>
    </row>
    <row r="59" spans="4:19" ht="12.75">
      <c r="D59" s="11"/>
      <c r="E59" s="11"/>
      <c r="P59" s="11"/>
      <c r="Q59" s="11"/>
      <c r="R59" s="11"/>
      <c r="S59" s="11"/>
    </row>
    <row r="60" spans="16:19" ht="12.75">
      <c r="P60" s="11"/>
      <c r="Q60" s="11"/>
      <c r="R60" s="11"/>
      <c r="S60" s="11"/>
    </row>
    <row r="61" spans="16:19" ht="12.75">
      <c r="P61" s="11"/>
      <c r="Q61" s="11"/>
      <c r="R61" s="11"/>
      <c r="S61" s="11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orientation="portrait" paperSize="9" scale="5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Y159"/>
  <sheetViews>
    <sheetView zoomScale="75" zoomScaleNormal="75" zoomScalePageLayoutView="0" workbookViewId="0" topLeftCell="A1">
      <selection activeCell="A6" sqref="A6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5.7109375" style="9" hidden="1" customWidth="1"/>
    <col min="10" max="11" width="16.421875" style="9" customWidth="1"/>
    <col min="12" max="14" width="9.7109375" style="9" customWidth="1"/>
    <col min="15" max="15" width="6.421875" style="9" customWidth="1"/>
    <col min="16" max="16" width="4.00390625" style="9" hidden="1" customWidth="1"/>
    <col min="17" max="17" width="12.8515625" style="9" hidden="1" customWidth="1"/>
    <col min="18" max="19" width="6.00390625" style="9" hidden="1" customWidth="1"/>
    <col min="20" max="20" width="11.71093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+'TOT-0614'!B2</f>
        <v>ANEXO I al Memorándum D.T.E.E. N°         347   / 2015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18"/>
    </row>
    <row r="8" spans="2:23" s="18" customFormat="1" ht="20.25">
      <c r="B8" s="95"/>
      <c r="C8" s="23"/>
      <c r="D8" s="23"/>
      <c r="E8" s="23"/>
      <c r="F8" s="419" t="s">
        <v>24</v>
      </c>
      <c r="N8" s="282"/>
      <c r="O8" s="282"/>
      <c r="P8" s="284"/>
      <c r="Q8" s="23"/>
      <c r="R8" s="23"/>
      <c r="S8" s="23"/>
      <c r="T8" s="23"/>
      <c r="U8" s="23"/>
      <c r="V8" s="23"/>
      <c r="W8" s="420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21" t="s">
        <v>67</v>
      </c>
      <c r="G10" s="422"/>
      <c r="H10" s="282"/>
      <c r="I10" s="423"/>
      <c r="K10" s="423"/>
      <c r="L10" s="423"/>
      <c r="M10" s="423"/>
      <c r="N10" s="423"/>
      <c r="O10" s="423"/>
      <c r="P10" s="423"/>
      <c r="Q10" s="23"/>
      <c r="R10" s="23"/>
      <c r="S10" s="23"/>
      <c r="T10" s="23"/>
      <c r="U10" s="23"/>
      <c r="V10" s="23"/>
      <c r="W10" s="420"/>
    </row>
    <row r="11" spans="2:23" s="8" customFormat="1" ht="13.5">
      <c r="B11" s="55"/>
      <c r="C11" s="11"/>
      <c r="D11" s="11"/>
      <c r="E11" s="11"/>
      <c r="F11" s="424"/>
      <c r="G11" s="424"/>
      <c r="H11" s="89"/>
      <c r="I11" s="425"/>
      <c r="J11" s="67"/>
      <c r="K11" s="425"/>
      <c r="L11" s="425"/>
      <c r="M11" s="425"/>
      <c r="N11" s="425"/>
      <c r="O11" s="425"/>
      <c r="P11" s="425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21" t="s">
        <v>68</v>
      </c>
      <c r="G12" s="422"/>
      <c r="H12" s="282"/>
      <c r="I12" s="423"/>
      <c r="K12" s="423"/>
      <c r="L12" s="423"/>
      <c r="M12" s="423"/>
      <c r="N12" s="423"/>
      <c r="O12" s="423"/>
      <c r="P12" s="423"/>
      <c r="Q12" s="23"/>
      <c r="R12" s="23"/>
      <c r="S12" s="23"/>
      <c r="T12" s="23"/>
      <c r="U12" s="23"/>
      <c r="V12" s="23"/>
      <c r="W12" s="420"/>
    </row>
    <row r="13" spans="2:23" s="8" customFormat="1" ht="13.5">
      <c r="B13" s="55"/>
      <c r="C13" s="11"/>
      <c r="D13" s="11"/>
      <c r="E13" s="11"/>
      <c r="F13" s="424"/>
      <c r="G13" s="424"/>
      <c r="H13" s="89"/>
      <c r="I13" s="425"/>
      <c r="J13" s="67"/>
      <c r="K13" s="425"/>
      <c r="L13" s="425"/>
      <c r="M13" s="425"/>
      <c r="N13" s="425"/>
      <c r="O13" s="425"/>
      <c r="P13" s="425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'TOT-0614'!B14</f>
        <v>Desde el 01 al 30 de junio de 2014</v>
      </c>
      <c r="C14" s="39"/>
      <c r="D14" s="39"/>
      <c r="E14" s="39"/>
      <c r="F14" s="39"/>
      <c r="G14" s="39"/>
      <c r="H14" s="39"/>
      <c r="I14" s="426"/>
      <c r="J14" s="426"/>
      <c r="K14" s="426"/>
      <c r="L14" s="426"/>
      <c r="M14" s="426"/>
      <c r="N14" s="426"/>
      <c r="O14" s="426"/>
      <c r="P14" s="426"/>
      <c r="Q14" s="39"/>
      <c r="R14" s="39"/>
      <c r="S14" s="39"/>
      <c r="T14" s="39"/>
      <c r="U14" s="39"/>
      <c r="V14" s="39"/>
      <c r="W14" s="427"/>
    </row>
    <row r="15" spans="2:23" s="8" customFormat="1" ht="14.25" thickBot="1">
      <c r="B15" s="428"/>
      <c r="C15" s="429"/>
      <c r="D15" s="429"/>
      <c r="E15" s="429"/>
      <c r="F15" s="429"/>
      <c r="G15" s="429"/>
      <c r="H15" s="429"/>
      <c r="I15" s="430"/>
      <c r="J15" s="430"/>
      <c r="K15" s="430"/>
      <c r="L15" s="430"/>
      <c r="M15" s="430"/>
      <c r="N15" s="430"/>
      <c r="O15" s="430"/>
      <c r="P15" s="430"/>
      <c r="Q15" s="429"/>
      <c r="R15" s="429"/>
      <c r="S15" s="429"/>
      <c r="T15" s="429"/>
      <c r="U15" s="429"/>
      <c r="V15" s="429"/>
      <c r="W15" s="431"/>
    </row>
    <row r="16" spans="2:23" s="8" customFormat="1" ht="15" thickBot="1" thickTop="1">
      <c r="B16" s="55"/>
      <c r="C16" s="11"/>
      <c r="D16" s="11"/>
      <c r="E16" s="11"/>
      <c r="F16" s="432"/>
      <c r="G16" s="432"/>
      <c r="H16" s="433" t="s">
        <v>69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34" t="s">
        <v>70</v>
      </c>
      <c r="G17" s="435">
        <v>213.592</v>
      </c>
      <c r="H17" s="436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37" t="s">
        <v>71</v>
      </c>
      <c r="G18" s="438">
        <v>192.206</v>
      </c>
      <c r="H18" s="436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39" t="s">
        <v>72</v>
      </c>
      <c r="G19" s="438">
        <v>170.878</v>
      </c>
      <c r="H19" s="436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16" t="s">
        <v>29</v>
      </c>
      <c r="D21" s="111" t="s">
        <v>30</v>
      </c>
      <c r="E21" s="111" t="s">
        <v>31</v>
      </c>
      <c r="F21" s="114" t="s">
        <v>60</v>
      </c>
      <c r="G21" s="440" t="s">
        <v>61</v>
      </c>
      <c r="H21" s="441" t="s">
        <v>32</v>
      </c>
      <c r="I21" s="321" t="s">
        <v>36</v>
      </c>
      <c r="J21" s="112" t="s">
        <v>37</v>
      </c>
      <c r="K21" s="440" t="s">
        <v>38</v>
      </c>
      <c r="L21" s="442" t="s">
        <v>39</v>
      </c>
      <c r="M21" s="442" t="s">
        <v>40</v>
      </c>
      <c r="N21" s="119" t="s">
        <v>316</v>
      </c>
      <c r="O21" s="118" t="s">
        <v>43</v>
      </c>
      <c r="P21" s="443" t="s">
        <v>35</v>
      </c>
      <c r="Q21" s="444" t="s">
        <v>73</v>
      </c>
      <c r="R21" s="445" t="s">
        <v>74</v>
      </c>
      <c r="S21" s="446"/>
      <c r="T21" s="447" t="s">
        <v>48</v>
      </c>
      <c r="U21" s="130" t="s">
        <v>50</v>
      </c>
      <c r="V21" s="320" t="s">
        <v>51</v>
      </c>
      <c r="W21" s="60"/>
    </row>
    <row r="22" spans="2:23" s="8" customFormat="1" ht="16.5" customHeight="1" thickTop="1">
      <c r="B22" s="55"/>
      <c r="C22" s="330"/>
      <c r="D22" s="330"/>
      <c r="E22" s="330"/>
      <c r="F22" s="448"/>
      <c r="G22" s="448"/>
      <c r="H22" s="448"/>
      <c r="I22" s="272"/>
      <c r="J22" s="448"/>
      <c r="K22" s="448"/>
      <c r="L22" s="448"/>
      <c r="M22" s="448"/>
      <c r="N22" s="448"/>
      <c r="O22" s="448"/>
      <c r="P22" s="449"/>
      <c r="Q22" s="450"/>
      <c r="R22" s="451"/>
      <c r="S22" s="452"/>
      <c r="T22" s="453"/>
      <c r="U22" s="448"/>
      <c r="V22" s="454"/>
      <c r="W22" s="60"/>
    </row>
    <row r="23" spans="2:23" s="8" customFormat="1" ht="16.5" customHeight="1">
      <c r="B23" s="55"/>
      <c r="C23" s="150"/>
      <c r="D23" s="150"/>
      <c r="E23" s="150"/>
      <c r="F23" s="455"/>
      <c r="G23" s="455"/>
      <c r="H23" s="455"/>
      <c r="I23" s="456"/>
      <c r="J23" s="455"/>
      <c r="K23" s="455"/>
      <c r="L23" s="455"/>
      <c r="M23" s="455"/>
      <c r="N23" s="455"/>
      <c r="O23" s="455"/>
      <c r="P23" s="457"/>
      <c r="Q23" s="458"/>
      <c r="R23" s="459"/>
      <c r="S23" s="460"/>
      <c r="T23" s="461"/>
      <c r="U23" s="455"/>
      <c r="V23" s="462"/>
      <c r="W23" s="60"/>
    </row>
    <row r="24" spans="2:23" s="8" customFormat="1" ht="16.5" customHeight="1">
      <c r="B24" s="55"/>
      <c r="C24" s="150">
        <v>24</v>
      </c>
      <c r="D24" s="150">
        <v>275459</v>
      </c>
      <c r="E24" s="169">
        <v>146</v>
      </c>
      <c r="F24" s="463" t="s">
        <v>347</v>
      </c>
      <c r="G24" s="463" t="s">
        <v>348</v>
      </c>
      <c r="H24" s="464">
        <v>132</v>
      </c>
      <c r="I24" s="465">
        <f aca="true" t="shared" si="0" ref="I24:I43">IF(H24=500,$G$17,IF(H24=220,$G$18,$G$19))</f>
        <v>170.878</v>
      </c>
      <c r="J24" s="466">
        <v>41791.33541666667</v>
      </c>
      <c r="K24" s="467">
        <v>41791.399305555555</v>
      </c>
      <c r="L24" s="468">
        <f aca="true" t="shared" si="1" ref="L24:L43">IF(F24="","",(K24-J24)*24)</f>
        <v>1.5333333332673647</v>
      </c>
      <c r="M24" s="469">
        <f aca="true" t="shared" si="2" ref="M24:M43">IF(F24="","",ROUND((K24-J24)*24*60,0))</f>
        <v>92</v>
      </c>
      <c r="N24" s="178" t="s">
        <v>332</v>
      </c>
      <c r="O24" s="180" t="str">
        <f aca="true" t="shared" si="3" ref="O24:O43">IF(F24="","",IF(N24="P","--","NO"))</f>
        <v>--</v>
      </c>
      <c r="P24" s="470">
        <f aca="true" t="shared" si="4" ref="P24:P43">IF(H24=500,$H$17,IF(H24=220,$H$18,$H$19))</f>
        <v>40</v>
      </c>
      <c r="Q24" s="471">
        <f aca="true" t="shared" si="5" ref="Q24:Q43">IF(N24="P",I24*P24*ROUND(M24/60,2)*0.1,"--")</f>
        <v>1045.77336</v>
      </c>
      <c r="R24" s="459" t="str">
        <f aca="true" t="shared" si="6" ref="R24:R43">IF(AND(N24="F",O24="NO"),I24*P24,"--")</f>
        <v>--</v>
      </c>
      <c r="S24" s="460" t="str">
        <f aca="true" t="shared" si="7" ref="S24:S43">IF(N24="F",I24*P24*ROUND(M24/60,2),"--")</f>
        <v>--</v>
      </c>
      <c r="T24" s="461" t="str">
        <f aca="true" t="shared" si="8" ref="T24:T43">IF(N24="RF",I24*P24*ROUND(M24/60,2),"--")</f>
        <v>--</v>
      </c>
      <c r="U24" s="180" t="s">
        <v>84</v>
      </c>
      <c r="V24" s="472">
        <v>0</v>
      </c>
      <c r="W24" s="60"/>
    </row>
    <row r="25" spans="2:23" s="8" customFormat="1" ht="16.5" customHeight="1">
      <c r="B25" s="55"/>
      <c r="C25" s="150">
        <v>25</v>
      </c>
      <c r="D25" s="150">
        <v>275630</v>
      </c>
      <c r="E25" s="150">
        <v>4667</v>
      </c>
      <c r="F25" s="463" t="s">
        <v>349</v>
      </c>
      <c r="G25" s="463" t="s">
        <v>350</v>
      </c>
      <c r="H25" s="464">
        <v>132</v>
      </c>
      <c r="I25" s="465">
        <f t="shared" si="0"/>
        <v>170.878</v>
      </c>
      <c r="J25" s="466">
        <v>41797.475</v>
      </c>
      <c r="K25" s="467">
        <v>41797.70208333333</v>
      </c>
      <c r="L25" s="468">
        <f t="shared" si="1"/>
        <v>5.449999999953434</v>
      </c>
      <c r="M25" s="469">
        <f t="shared" si="2"/>
        <v>327</v>
      </c>
      <c r="N25" s="178" t="s">
        <v>332</v>
      </c>
      <c r="O25" s="180" t="str">
        <f t="shared" si="3"/>
        <v>--</v>
      </c>
      <c r="P25" s="470">
        <f t="shared" si="4"/>
        <v>40</v>
      </c>
      <c r="Q25" s="471">
        <f t="shared" si="5"/>
        <v>3725.1403999999998</v>
      </c>
      <c r="R25" s="459" t="str">
        <f t="shared" si="6"/>
        <v>--</v>
      </c>
      <c r="S25" s="460" t="str">
        <f t="shared" si="7"/>
        <v>--</v>
      </c>
      <c r="T25" s="461" t="str">
        <f t="shared" si="8"/>
        <v>--</v>
      </c>
      <c r="U25" s="180" t="s">
        <v>84</v>
      </c>
      <c r="V25" s="472">
        <v>0</v>
      </c>
      <c r="W25" s="60"/>
    </row>
    <row r="26" spans="2:23" s="8" customFormat="1" ht="16.5" customHeight="1">
      <c r="B26" s="55"/>
      <c r="C26" s="150">
        <v>26</v>
      </c>
      <c r="D26" s="150">
        <v>275632</v>
      </c>
      <c r="E26" s="169">
        <v>4667</v>
      </c>
      <c r="F26" s="463" t="s">
        <v>349</v>
      </c>
      <c r="G26" s="463" t="s">
        <v>350</v>
      </c>
      <c r="H26" s="464">
        <v>132</v>
      </c>
      <c r="I26" s="465">
        <f t="shared" si="0"/>
        <v>170.878</v>
      </c>
      <c r="J26" s="466">
        <v>41798.32638888889</v>
      </c>
      <c r="K26" s="467">
        <v>41798.58125</v>
      </c>
      <c r="L26" s="468">
        <f t="shared" si="1"/>
        <v>6.116666666697711</v>
      </c>
      <c r="M26" s="469">
        <f t="shared" si="2"/>
        <v>367</v>
      </c>
      <c r="N26" s="178" t="s">
        <v>332</v>
      </c>
      <c r="O26" s="180" t="str">
        <f t="shared" si="3"/>
        <v>--</v>
      </c>
      <c r="P26" s="470">
        <f t="shared" si="4"/>
        <v>40</v>
      </c>
      <c r="Q26" s="471">
        <f t="shared" si="5"/>
        <v>4183.09344</v>
      </c>
      <c r="R26" s="459" t="str">
        <f t="shared" si="6"/>
        <v>--</v>
      </c>
      <c r="S26" s="460" t="str">
        <f t="shared" si="7"/>
        <v>--</v>
      </c>
      <c r="T26" s="461" t="str">
        <f t="shared" si="8"/>
        <v>--</v>
      </c>
      <c r="U26" s="180" t="s">
        <v>84</v>
      </c>
      <c r="V26" s="472">
        <v>0</v>
      </c>
      <c r="W26" s="60"/>
    </row>
    <row r="27" spans="2:23" s="8" customFormat="1" ht="16.5" customHeight="1">
      <c r="B27" s="55"/>
      <c r="C27" s="150">
        <v>27</v>
      </c>
      <c r="D27" s="150">
        <v>275634</v>
      </c>
      <c r="E27" s="150">
        <v>3266</v>
      </c>
      <c r="F27" s="463" t="s">
        <v>351</v>
      </c>
      <c r="G27" s="463" t="s">
        <v>352</v>
      </c>
      <c r="H27" s="464">
        <v>132</v>
      </c>
      <c r="I27" s="465">
        <f t="shared" si="0"/>
        <v>170.878</v>
      </c>
      <c r="J27" s="466">
        <v>41798.34722222222</v>
      </c>
      <c r="K27" s="467">
        <v>41798.425</v>
      </c>
      <c r="L27" s="468">
        <f t="shared" si="1"/>
        <v>1.866666666814126</v>
      </c>
      <c r="M27" s="469">
        <f t="shared" si="2"/>
        <v>112</v>
      </c>
      <c r="N27" s="178" t="s">
        <v>332</v>
      </c>
      <c r="O27" s="180" t="str">
        <f t="shared" si="3"/>
        <v>--</v>
      </c>
      <c r="P27" s="470">
        <f t="shared" si="4"/>
        <v>40</v>
      </c>
      <c r="Q27" s="471">
        <f t="shared" si="5"/>
        <v>1278.16744</v>
      </c>
      <c r="R27" s="459" t="str">
        <f t="shared" si="6"/>
        <v>--</v>
      </c>
      <c r="S27" s="460" t="str">
        <f t="shared" si="7"/>
        <v>--</v>
      </c>
      <c r="T27" s="461" t="str">
        <f t="shared" si="8"/>
        <v>--</v>
      </c>
      <c r="U27" s="180" t="s">
        <v>84</v>
      </c>
      <c r="V27" s="472">
        <v>0</v>
      </c>
      <c r="W27" s="60"/>
    </row>
    <row r="28" spans="2:23" s="8" customFormat="1" ht="16.5" customHeight="1">
      <c r="B28" s="55"/>
      <c r="C28" s="150">
        <v>28</v>
      </c>
      <c r="D28" s="150">
        <v>275873</v>
      </c>
      <c r="E28" s="169">
        <v>4738</v>
      </c>
      <c r="F28" s="463" t="s">
        <v>473</v>
      </c>
      <c r="G28" s="463" t="s">
        <v>474</v>
      </c>
      <c r="H28" s="592">
        <v>500</v>
      </c>
      <c r="I28" s="465">
        <f t="shared" si="0"/>
        <v>213.592</v>
      </c>
      <c r="J28" s="466">
        <v>41804.32986111111</v>
      </c>
      <c r="K28" s="467">
        <v>41804.69236111111</v>
      </c>
      <c r="L28" s="468">
        <f t="shared" si="1"/>
        <v>8.70000000006985</v>
      </c>
      <c r="M28" s="469">
        <f t="shared" si="2"/>
        <v>522</v>
      </c>
      <c r="N28" s="178" t="s">
        <v>332</v>
      </c>
      <c r="O28" s="180" t="str">
        <f t="shared" si="3"/>
        <v>--</v>
      </c>
      <c r="P28" s="470">
        <f t="shared" si="4"/>
        <v>200</v>
      </c>
      <c r="Q28" s="471">
        <f t="shared" si="5"/>
        <v>37165.007999999994</v>
      </c>
      <c r="R28" s="459" t="str">
        <f t="shared" si="6"/>
        <v>--</v>
      </c>
      <c r="S28" s="460" t="str">
        <f t="shared" si="7"/>
        <v>--</v>
      </c>
      <c r="T28" s="461" t="str">
        <f t="shared" si="8"/>
        <v>--</v>
      </c>
      <c r="U28" s="180" t="s">
        <v>84</v>
      </c>
      <c r="V28" s="472">
        <f aca="true" t="shared" si="9" ref="V28:V43">IF(F28="","",SUM(Q28:T28)*IF(U28="SI",1,2))</f>
        <v>37165.007999999994</v>
      </c>
      <c r="W28" s="60"/>
    </row>
    <row r="29" spans="2:23" s="8" customFormat="1" ht="16.5" customHeight="1">
      <c r="B29" s="55"/>
      <c r="C29" s="150">
        <v>29</v>
      </c>
      <c r="D29" s="150">
        <v>276061</v>
      </c>
      <c r="E29" s="150">
        <v>110</v>
      </c>
      <c r="F29" s="463" t="s">
        <v>353</v>
      </c>
      <c r="G29" s="463" t="s">
        <v>354</v>
      </c>
      <c r="H29" s="464">
        <v>132</v>
      </c>
      <c r="I29" s="465">
        <f t="shared" si="0"/>
        <v>170.878</v>
      </c>
      <c r="J29" s="466">
        <v>41810.40347222222</v>
      </c>
      <c r="K29" s="467">
        <v>41810.566666666666</v>
      </c>
      <c r="L29" s="468">
        <f t="shared" si="1"/>
        <v>3.916666666686069</v>
      </c>
      <c r="M29" s="469">
        <f t="shared" si="2"/>
        <v>235</v>
      </c>
      <c r="N29" s="178" t="s">
        <v>332</v>
      </c>
      <c r="O29" s="180" t="str">
        <f t="shared" si="3"/>
        <v>--</v>
      </c>
      <c r="P29" s="470">
        <f t="shared" si="4"/>
        <v>40</v>
      </c>
      <c r="Q29" s="471">
        <f t="shared" si="5"/>
        <v>2679.3670399999996</v>
      </c>
      <c r="R29" s="459" t="str">
        <f t="shared" si="6"/>
        <v>--</v>
      </c>
      <c r="S29" s="460" t="str">
        <f t="shared" si="7"/>
        <v>--</v>
      </c>
      <c r="T29" s="461" t="str">
        <f t="shared" si="8"/>
        <v>--</v>
      </c>
      <c r="U29" s="180" t="s">
        <v>84</v>
      </c>
      <c r="V29" s="472">
        <v>0</v>
      </c>
      <c r="W29" s="60"/>
    </row>
    <row r="30" spans="2:23" s="8" customFormat="1" ht="16.5" customHeight="1">
      <c r="B30" s="55"/>
      <c r="C30" s="150">
        <v>30</v>
      </c>
      <c r="D30" s="150">
        <v>276065</v>
      </c>
      <c r="E30" s="169">
        <v>97</v>
      </c>
      <c r="F30" s="463" t="s">
        <v>355</v>
      </c>
      <c r="G30" s="463" t="s">
        <v>356</v>
      </c>
      <c r="H30" s="464">
        <v>500</v>
      </c>
      <c r="I30" s="465">
        <f t="shared" si="0"/>
        <v>213.592</v>
      </c>
      <c r="J30" s="466">
        <v>41812.436111111114</v>
      </c>
      <c r="K30" s="467">
        <v>41812.438888888886</v>
      </c>
      <c r="L30" s="468">
        <f t="shared" si="1"/>
        <v>0.0666666665347293</v>
      </c>
      <c r="M30" s="469">
        <f t="shared" si="2"/>
        <v>4</v>
      </c>
      <c r="N30" s="178" t="s">
        <v>332</v>
      </c>
      <c r="O30" s="180" t="str">
        <f t="shared" si="3"/>
        <v>--</v>
      </c>
      <c r="P30" s="470">
        <f t="shared" si="4"/>
        <v>200</v>
      </c>
      <c r="Q30" s="471">
        <f t="shared" si="5"/>
        <v>299.02880000000005</v>
      </c>
      <c r="R30" s="459" t="str">
        <f t="shared" si="6"/>
        <v>--</v>
      </c>
      <c r="S30" s="460" t="str">
        <f t="shared" si="7"/>
        <v>--</v>
      </c>
      <c r="T30" s="461" t="str">
        <f t="shared" si="8"/>
        <v>--</v>
      </c>
      <c r="U30" s="180" t="s">
        <v>84</v>
      </c>
      <c r="V30" s="472">
        <f t="shared" si="9"/>
        <v>299.02880000000005</v>
      </c>
      <c r="W30" s="60"/>
    </row>
    <row r="31" spans="2:23" s="8" customFormat="1" ht="16.5" customHeight="1">
      <c r="B31" s="55"/>
      <c r="C31" s="150">
        <v>31</v>
      </c>
      <c r="D31" s="150">
        <v>276234</v>
      </c>
      <c r="E31" s="150">
        <v>96</v>
      </c>
      <c r="F31" s="463" t="s">
        <v>345</v>
      </c>
      <c r="G31" s="463" t="s">
        <v>357</v>
      </c>
      <c r="H31" s="464">
        <v>132</v>
      </c>
      <c r="I31" s="465">
        <f t="shared" si="0"/>
        <v>170.878</v>
      </c>
      <c r="J31" s="466">
        <v>41815.34375</v>
      </c>
      <c r="K31" s="467">
        <v>41815.731944444444</v>
      </c>
      <c r="L31" s="468">
        <f t="shared" si="1"/>
        <v>9.316666666651145</v>
      </c>
      <c r="M31" s="469">
        <f t="shared" si="2"/>
        <v>559</v>
      </c>
      <c r="N31" s="178" t="s">
        <v>332</v>
      </c>
      <c r="O31" s="180" t="str">
        <f t="shared" si="3"/>
        <v>--</v>
      </c>
      <c r="P31" s="470">
        <f t="shared" si="4"/>
        <v>40</v>
      </c>
      <c r="Q31" s="471">
        <f t="shared" si="5"/>
        <v>6370.331839999999</v>
      </c>
      <c r="R31" s="459" t="str">
        <f t="shared" si="6"/>
        <v>--</v>
      </c>
      <c r="S31" s="460" t="str">
        <f t="shared" si="7"/>
        <v>--</v>
      </c>
      <c r="T31" s="461" t="str">
        <f t="shared" si="8"/>
        <v>--</v>
      </c>
      <c r="U31" s="180" t="s">
        <v>84</v>
      </c>
      <c r="V31" s="472">
        <v>0</v>
      </c>
      <c r="W31" s="60"/>
    </row>
    <row r="32" spans="2:23" s="8" customFormat="1" ht="16.5" customHeight="1">
      <c r="B32" s="55"/>
      <c r="C32" s="150">
        <v>32</v>
      </c>
      <c r="D32" s="150">
        <v>276241</v>
      </c>
      <c r="E32" s="169">
        <v>100</v>
      </c>
      <c r="F32" s="463" t="s">
        <v>358</v>
      </c>
      <c r="G32" s="463" t="s">
        <v>356</v>
      </c>
      <c r="H32" s="464">
        <v>500</v>
      </c>
      <c r="I32" s="465">
        <f t="shared" si="0"/>
        <v>213.592</v>
      </c>
      <c r="J32" s="466">
        <v>41817.42638888889</v>
      </c>
      <c r="K32" s="467">
        <v>41817.44930555556</v>
      </c>
      <c r="L32" s="468">
        <f t="shared" si="1"/>
        <v>0.5500000000465661</v>
      </c>
      <c r="M32" s="469">
        <f t="shared" si="2"/>
        <v>33</v>
      </c>
      <c r="N32" s="178" t="s">
        <v>329</v>
      </c>
      <c r="O32" s="180" t="s">
        <v>84</v>
      </c>
      <c r="P32" s="470">
        <f t="shared" si="4"/>
        <v>200</v>
      </c>
      <c r="Q32" s="471" t="str">
        <f t="shared" si="5"/>
        <v>--</v>
      </c>
      <c r="R32" s="459" t="str">
        <f t="shared" si="6"/>
        <v>--</v>
      </c>
      <c r="S32" s="460">
        <f t="shared" si="7"/>
        <v>23495.120000000003</v>
      </c>
      <c r="T32" s="461" t="str">
        <f t="shared" si="8"/>
        <v>--</v>
      </c>
      <c r="U32" s="180" t="s">
        <v>84</v>
      </c>
      <c r="V32" s="472">
        <f t="shared" si="9"/>
        <v>23495.120000000003</v>
      </c>
      <c r="W32" s="60"/>
    </row>
    <row r="33" spans="2:23" s="8" customFormat="1" ht="16.5" customHeight="1">
      <c r="B33" s="55"/>
      <c r="C33" s="150">
        <v>33</v>
      </c>
      <c r="D33" s="150">
        <v>276243</v>
      </c>
      <c r="E33" s="150">
        <v>136</v>
      </c>
      <c r="F33" s="463" t="s">
        <v>349</v>
      </c>
      <c r="G33" s="463" t="s">
        <v>359</v>
      </c>
      <c r="H33" s="464">
        <v>132</v>
      </c>
      <c r="I33" s="465">
        <f t="shared" si="0"/>
        <v>170.878</v>
      </c>
      <c r="J33" s="466">
        <v>41818.33611111111</v>
      </c>
      <c r="K33" s="467">
        <v>41818.61736111111</v>
      </c>
      <c r="L33" s="468">
        <f t="shared" si="1"/>
        <v>6.75</v>
      </c>
      <c r="M33" s="469">
        <f t="shared" si="2"/>
        <v>405</v>
      </c>
      <c r="N33" s="178" t="s">
        <v>332</v>
      </c>
      <c r="O33" s="180" t="str">
        <f t="shared" si="3"/>
        <v>--</v>
      </c>
      <c r="P33" s="470">
        <f t="shared" si="4"/>
        <v>40</v>
      </c>
      <c r="Q33" s="471">
        <f t="shared" si="5"/>
        <v>4613.705999999999</v>
      </c>
      <c r="R33" s="459" t="str">
        <f t="shared" si="6"/>
        <v>--</v>
      </c>
      <c r="S33" s="460" t="str">
        <f t="shared" si="7"/>
        <v>--</v>
      </c>
      <c r="T33" s="461" t="str">
        <f t="shared" si="8"/>
        <v>--</v>
      </c>
      <c r="U33" s="180" t="s">
        <v>84</v>
      </c>
      <c r="V33" s="472">
        <v>0</v>
      </c>
      <c r="W33" s="60"/>
    </row>
    <row r="34" spans="2:23" s="8" customFormat="1" ht="16.5" customHeight="1">
      <c r="B34" s="55"/>
      <c r="C34" s="150">
        <v>34</v>
      </c>
      <c r="D34" s="150">
        <v>276244</v>
      </c>
      <c r="E34" s="169">
        <v>119</v>
      </c>
      <c r="F34" s="463" t="s">
        <v>360</v>
      </c>
      <c r="G34" s="463" t="s">
        <v>361</v>
      </c>
      <c r="H34" s="464">
        <v>132</v>
      </c>
      <c r="I34" s="465">
        <f t="shared" si="0"/>
        <v>170.878</v>
      </c>
      <c r="J34" s="466">
        <v>41818.34861111111</v>
      </c>
      <c r="K34" s="467">
        <v>41818.60138888889</v>
      </c>
      <c r="L34" s="468">
        <f t="shared" si="1"/>
        <v>6.066666666709352</v>
      </c>
      <c r="M34" s="469">
        <f t="shared" si="2"/>
        <v>364</v>
      </c>
      <c r="N34" s="178" t="s">
        <v>332</v>
      </c>
      <c r="O34" s="180" t="str">
        <f t="shared" si="3"/>
        <v>--</v>
      </c>
      <c r="P34" s="470">
        <f t="shared" si="4"/>
        <v>40</v>
      </c>
      <c r="Q34" s="471">
        <f t="shared" si="5"/>
        <v>4148.91784</v>
      </c>
      <c r="R34" s="459" t="str">
        <f t="shared" si="6"/>
        <v>--</v>
      </c>
      <c r="S34" s="460" t="str">
        <f t="shared" si="7"/>
        <v>--</v>
      </c>
      <c r="T34" s="461" t="str">
        <f t="shared" si="8"/>
        <v>--</v>
      </c>
      <c r="U34" s="180" t="s">
        <v>84</v>
      </c>
      <c r="V34" s="472">
        <v>0</v>
      </c>
      <c r="W34" s="60"/>
    </row>
    <row r="35" spans="2:23" s="8" customFormat="1" ht="16.5" customHeight="1">
      <c r="B35" s="55"/>
      <c r="C35" s="150">
        <v>35</v>
      </c>
      <c r="D35" s="150">
        <v>276245</v>
      </c>
      <c r="E35" s="150">
        <v>120</v>
      </c>
      <c r="F35" s="463" t="s">
        <v>360</v>
      </c>
      <c r="G35" s="463" t="s">
        <v>362</v>
      </c>
      <c r="H35" s="464">
        <v>132</v>
      </c>
      <c r="I35" s="465">
        <f t="shared" si="0"/>
        <v>170.878</v>
      </c>
      <c r="J35" s="466">
        <v>41818.34861111111</v>
      </c>
      <c r="K35" s="467">
        <v>41818.60138888889</v>
      </c>
      <c r="L35" s="468">
        <f t="shared" si="1"/>
        <v>6.066666666709352</v>
      </c>
      <c r="M35" s="469">
        <f t="shared" si="2"/>
        <v>364</v>
      </c>
      <c r="N35" s="178" t="s">
        <v>332</v>
      </c>
      <c r="O35" s="180" t="str">
        <f t="shared" si="3"/>
        <v>--</v>
      </c>
      <c r="P35" s="470">
        <f t="shared" si="4"/>
        <v>40</v>
      </c>
      <c r="Q35" s="471">
        <f t="shared" si="5"/>
        <v>4148.91784</v>
      </c>
      <c r="R35" s="459" t="str">
        <f t="shared" si="6"/>
        <v>--</v>
      </c>
      <c r="S35" s="460" t="str">
        <f t="shared" si="7"/>
        <v>--</v>
      </c>
      <c r="T35" s="461" t="str">
        <f t="shared" si="8"/>
        <v>--</v>
      </c>
      <c r="U35" s="180" t="s">
        <v>84</v>
      </c>
      <c r="V35" s="472">
        <v>0</v>
      </c>
      <c r="W35" s="60"/>
    </row>
    <row r="36" spans="2:23" s="8" customFormat="1" ht="16.5" customHeight="1">
      <c r="B36" s="55"/>
      <c r="C36" s="150"/>
      <c r="D36" s="150"/>
      <c r="E36" s="169"/>
      <c r="F36" s="463"/>
      <c r="G36" s="463"/>
      <c r="H36" s="464"/>
      <c r="I36" s="465">
        <f t="shared" si="0"/>
        <v>170.878</v>
      </c>
      <c r="J36" s="466"/>
      <c r="K36" s="467"/>
      <c r="L36" s="468">
        <f t="shared" si="1"/>
      </c>
      <c r="M36" s="469">
        <f t="shared" si="2"/>
      </c>
      <c r="N36" s="178"/>
      <c r="O36" s="180">
        <f t="shared" si="3"/>
      </c>
      <c r="P36" s="470">
        <f t="shared" si="4"/>
        <v>40</v>
      </c>
      <c r="Q36" s="471" t="str">
        <f t="shared" si="5"/>
        <v>--</v>
      </c>
      <c r="R36" s="459" t="str">
        <f t="shared" si="6"/>
        <v>--</v>
      </c>
      <c r="S36" s="460" t="str">
        <f t="shared" si="7"/>
        <v>--</v>
      </c>
      <c r="T36" s="461" t="str">
        <f t="shared" si="8"/>
        <v>--</v>
      </c>
      <c r="U36" s="180">
        <f aca="true" t="shared" si="10" ref="U36:U43">IF(F36="","","SI")</f>
      </c>
      <c r="V36" s="472">
        <f t="shared" si="9"/>
      </c>
      <c r="W36" s="60"/>
    </row>
    <row r="37" spans="2:23" s="8" customFormat="1" ht="16.5" customHeight="1">
      <c r="B37" s="55"/>
      <c r="C37" s="150"/>
      <c r="D37" s="150"/>
      <c r="E37" s="150"/>
      <c r="F37" s="463"/>
      <c r="G37" s="463"/>
      <c r="H37" s="464"/>
      <c r="I37" s="465">
        <f t="shared" si="0"/>
        <v>170.878</v>
      </c>
      <c r="J37" s="466"/>
      <c r="K37" s="467"/>
      <c r="L37" s="468">
        <f t="shared" si="1"/>
      </c>
      <c r="M37" s="469">
        <f t="shared" si="2"/>
      </c>
      <c r="N37" s="178"/>
      <c r="O37" s="180">
        <f t="shared" si="3"/>
      </c>
      <c r="P37" s="470">
        <f t="shared" si="4"/>
        <v>40</v>
      </c>
      <c r="Q37" s="471" t="str">
        <f t="shared" si="5"/>
        <v>--</v>
      </c>
      <c r="R37" s="459" t="str">
        <f t="shared" si="6"/>
        <v>--</v>
      </c>
      <c r="S37" s="460" t="str">
        <f t="shared" si="7"/>
        <v>--</v>
      </c>
      <c r="T37" s="461" t="str">
        <f t="shared" si="8"/>
        <v>--</v>
      </c>
      <c r="U37" s="180">
        <f t="shared" si="10"/>
      </c>
      <c r="V37" s="472">
        <f t="shared" si="9"/>
      </c>
      <c r="W37" s="60"/>
    </row>
    <row r="38" spans="2:23" s="8" customFormat="1" ht="16.5" customHeight="1">
      <c r="B38" s="55"/>
      <c r="C38" s="150"/>
      <c r="D38" s="150"/>
      <c r="E38" s="169"/>
      <c r="F38" s="463"/>
      <c r="G38" s="463"/>
      <c r="H38" s="464"/>
      <c r="I38" s="465">
        <f t="shared" si="0"/>
        <v>170.878</v>
      </c>
      <c r="J38" s="466"/>
      <c r="K38" s="467"/>
      <c r="L38" s="468">
        <f t="shared" si="1"/>
      </c>
      <c r="M38" s="469">
        <f t="shared" si="2"/>
      </c>
      <c r="N38" s="178"/>
      <c r="O38" s="180">
        <f t="shared" si="3"/>
      </c>
      <c r="P38" s="470">
        <f t="shared" si="4"/>
        <v>40</v>
      </c>
      <c r="Q38" s="471" t="str">
        <f t="shared" si="5"/>
        <v>--</v>
      </c>
      <c r="R38" s="459" t="str">
        <f t="shared" si="6"/>
        <v>--</v>
      </c>
      <c r="S38" s="460" t="str">
        <f t="shared" si="7"/>
        <v>--</v>
      </c>
      <c r="T38" s="461" t="str">
        <f t="shared" si="8"/>
        <v>--</v>
      </c>
      <c r="U38" s="180">
        <f t="shared" si="10"/>
      </c>
      <c r="V38" s="472">
        <f t="shared" si="9"/>
      </c>
      <c r="W38" s="60"/>
    </row>
    <row r="39" spans="2:23" s="8" customFormat="1" ht="16.5" customHeight="1">
      <c r="B39" s="55"/>
      <c r="C39" s="150"/>
      <c r="D39" s="150"/>
      <c r="E39" s="150"/>
      <c r="F39" s="463"/>
      <c r="G39" s="463"/>
      <c r="H39" s="464"/>
      <c r="I39" s="465">
        <f t="shared" si="0"/>
        <v>170.878</v>
      </c>
      <c r="J39" s="466"/>
      <c r="K39" s="467"/>
      <c r="L39" s="468">
        <f t="shared" si="1"/>
      </c>
      <c r="M39" s="469">
        <f t="shared" si="2"/>
      </c>
      <c r="N39" s="178"/>
      <c r="O39" s="180">
        <f t="shared" si="3"/>
      </c>
      <c r="P39" s="470">
        <f t="shared" si="4"/>
        <v>40</v>
      </c>
      <c r="Q39" s="471" t="str">
        <f t="shared" si="5"/>
        <v>--</v>
      </c>
      <c r="R39" s="459" t="str">
        <f t="shared" si="6"/>
        <v>--</v>
      </c>
      <c r="S39" s="460" t="str">
        <f t="shared" si="7"/>
        <v>--</v>
      </c>
      <c r="T39" s="461" t="str">
        <f t="shared" si="8"/>
        <v>--</v>
      </c>
      <c r="U39" s="180">
        <f t="shared" si="10"/>
      </c>
      <c r="V39" s="472">
        <f t="shared" si="9"/>
      </c>
      <c r="W39" s="60"/>
    </row>
    <row r="40" spans="2:23" s="8" customFormat="1" ht="16.5" customHeight="1">
      <c r="B40" s="55"/>
      <c r="C40" s="150"/>
      <c r="D40" s="150"/>
      <c r="E40" s="169"/>
      <c r="F40" s="463"/>
      <c r="G40" s="463"/>
      <c r="H40" s="464"/>
      <c r="I40" s="465">
        <f t="shared" si="0"/>
        <v>170.878</v>
      </c>
      <c r="J40" s="466"/>
      <c r="K40" s="467"/>
      <c r="L40" s="468">
        <f t="shared" si="1"/>
      </c>
      <c r="M40" s="469">
        <f t="shared" si="2"/>
      </c>
      <c r="N40" s="178"/>
      <c r="O40" s="180">
        <f t="shared" si="3"/>
      </c>
      <c r="P40" s="470">
        <f t="shared" si="4"/>
        <v>40</v>
      </c>
      <c r="Q40" s="471" t="str">
        <f t="shared" si="5"/>
        <v>--</v>
      </c>
      <c r="R40" s="459" t="str">
        <f t="shared" si="6"/>
        <v>--</v>
      </c>
      <c r="S40" s="460" t="str">
        <f t="shared" si="7"/>
        <v>--</v>
      </c>
      <c r="T40" s="461" t="str">
        <f t="shared" si="8"/>
        <v>--</v>
      </c>
      <c r="U40" s="180">
        <f t="shared" si="10"/>
      </c>
      <c r="V40" s="472">
        <f t="shared" si="9"/>
      </c>
      <c r="W40" s="60"/>
    </row>
    <row r="41" spans="2:23" s="8" customFormat="1" ht="16.5" customHeight="1">
      <c r="B41" s="55"/>
      <c r="C41" s="150"/>
      <c r="D41" s="150"/>
      <c r="E41" s="150"/>
      <c r="F41" s="463"/>
      <c r="G41" s="463"/>
      <c r="H41" s="464"/>
      <c r="I41" s="465">
        <f t="shared" si="0"/>
        <v>170.878</v>
      </c>
      <c r="J41" s="466"/>
      <c r="K41" s="467"/>
      <c r="L41" s="468">
        <f t="shared" si="1"/>
      </c>
      <c r="M41" s="469">
        <f t="shared" si="2"/>
      </c>
      <c r="N41" s="178"/>
      <c r="O41" s="180">
        <f t="shared" si="3"/>
      </c>
      <c r="P41" s="470">
        <f t="shared" si="4"/>
        <v>40</v>
      </c>
      <c r="Q41" s="471" t="str">
        <f t="shared" si="5"/>
        <v>--</v>
      </c>
      <c r="R41" s="459" t="str">
        <f t="shared" si="6"/>
        <v>--</v>
      </c>
      <c r="S41" s="460" t="str">
        <f t="shared" si="7"/>
        <v>--</v>
      </c>
      <c r="T41" s="461" t="str">
        <f t="shared" si="8"/>
        <v>--</v>
      </c>
      <c r="U41" s="180">
        <f t="shared" si="10"/>
      </c>
      <c r="V41" s="472">
        <f t="shared" si="9"/>
      </c>
      <c r="W41" s="60"/>
    </row>
    <row r="42" spans="2:23" s="8" customFormat="1" ht="16.5" customHeight="1">
      <c r="B42" s="55"/>
      <c r="C42" s="150"/>
      <c r="D42" s="150"/>
      <c r="E42" s="169"/>
      <c r="F42" s="463"/>
      <c r="G42" s="463"/>
      <c r="H42" s="464"/>
      <c r="I42" s="465">
        <f t="shared" si="0"/>
        <v>170.878</v>
      </c>
      <c r="J42" s="466"/>
      <c r="K42" s="467"/>
      <c r="L42" s="468">
        <f t="shared" si="1"/>
      </c>
      <c r="M42" s="469">
        <f t="shared" si="2"/>
      </c>
      <c r="N42" s="178"/>
      <c r="O42" s="180">
        <f t="shared" si="3"/>
      </c>
      <c r="P42" s="470">
        <f t="shared" si="4"/>
        <v>40</v>
      </c>
      <c r="Q42" s="471" t="str">
        <f t="shared" si="5"/>
        <v>--</v>
      </c>
      <c r="R42" s="459" t="str">
        <f t="shared" si="6"/>
        <v>--</v>
      </c>
      <c r="S42" s="460" t="str">
        <f t="shared" si="7"/>
        <v>--</v>
      </c>
      <c r="T42" s="461" t="str">
        <f t="shared" si="8"/>
        <v>--</v>
      </c>
      <c r="U42" s="180">
        <f t="shared" si="10"/>
      </c>
      <c r="V42" s="472">
        <f t="shared" si="9"/>
      </c>
      <c r="W42" s="60"/>
    </row>
    <row r="43" spans="2:23" s="8" customFormat="1" ht="16.5" customHeight="1">
      <c r="B43" s="55"/>
      <c r="C43" s="150"/>
      <c r="D43" s="150"/>
      <c r="E43" s="150"/>
      <c r="F43" s="463"/>
      <c r="G43" s="463"/>
      <c r="H43" s="464"/>
      <c r="I43" s="465">
        <f t="shared" si="0"/>
        <v>170.878</v>
      </c>
      <c r="J43" s="466"/>
      <c r="K43" s="467"/>
      <c r="L43" s="468">
        <f t="shared" si="1"/>
      </c>
      <c r="M43" s="469">
        <f t="shared" si="2"/>
      </c>
      <c r="N43" s="178"/>
      <c r="O43" s="180">
        <f t="shared" si="3"/>
      </c>
      <c r="P43" s="470">
        <f t="shared" si="4"/>
        <v>40</v>
      </c>
      <c r="Q43" s="471" t="str">
        <f t="shared" si="5"/>
        <v>--</v>
      </c>
      <c r="R43" s="459" t="str">
        <f t="shared" si="6"/>
        <v>--</v>
      </c>
      <c r="S43" s="460" t="str">
        <f t="shared" si="7"/>
        <v>--</v>
      </c>
      <c r="T43" s="461" t="str">
        <f t="shared" si="8"/>
        <v>--</v>
      </c>
      <c r="U43" s="180">
        <f t="shared" si="10"/>
      </c>
      <c r="V43" s="472">
        <f t="shared" si="9"/>
      </c>
      <c r="W43" s="60"/>
    </row>
    <row r="44" spans="2:23" s="8" customFormat="1" ht="16.5" customHeight="1" thickBot="1">
      <c r="B44" s="55"/>
      <c r="C44" s="208"/>
      <c r="D44" s="208"/>
      <c r="E44" s="208"/>
      <c r="F44" s="208"/>
      <c r="G44" s="208"/>
      <c r="H44" s="208"/>
      <c r="I44" s="381"/>
      <c r="J44" s="473"/>
      <c r="K44" s="473"/>
      <c r="L44" s="474"/>
      <c r="M44" s="474"/>
      <c r="N44" s="473"/>
      <c r="O44" s="215"/>
      <c r="P44" s="475"/>
      <c r="Q44" s="476"/>
      <c r="R44" s="477"/>
      <c r="S44" s="478"/>
      <c r="T44" s="479"/>
      <c r="U44" s="215"/>
      <c r="V44" s="480"/>
      <c r="W44" s="60"/>
    </row>
    <row r="45" spans="2:23" s="8" customFormat="1" ht="16.5" customHeight="1" thickBot="1" thickTop="1">
      <c r="B45" s="55"/>
      <c r="C45" s="229" t="s">
        <v>317</v>
      </c>
      <c r="D45" s="270" t="s">
        <v>424</v>
      </c>
      <c r="E45" s="229"/>
      <c r="F45" s="230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481">
        <f>SUM(Q22:Q44)</f>
        <v>69657.45199999999</v>
      </c>
      <c r="R45" s="482">
        <f>SUM(R22:R44)</f>
        <v>0</v>
      </c>
      <c r="S45" s="483">
        <f>SUM(S22:S44)</f>
        <v>23495.120000000003</v>
      </c>
      <c r="T45" s="484">
        <f>SUM(T22:T44)</f>
        <v>0</v>
      </c>
      <c r="U45" s="485"/>
      <c r="V45" s="486">
        <f>ROUND(SUM(V22:V44),2)</f>
        <v>60959.16</v>
      </c>
      <c r="W45" s="60"/>
    </row>
    <row r="46" spans="2:23" s="8" customFormat="1" ht="16.5" customHeight="1" thickBot="1" thickTop="1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23:25" ht="16.5" customHeight="1" thickTop="1">
      <c r="W47" s="412"/>
      <c r="X47" s="412"/>
      <c r="Y47" s="412"/>
    </row>
    <row r="48" spans="23:25" ht="16.5" customHeight="1">
      <c r="W48" s="412"/>
      <c r="X48" s="412"/>
      <c r="Y48" s="412"/>
    </row>
    <row r="49" spans="23:25" ht="16.5" customHeight="1">
      <c r="W49" s="412"/>
      <c r="X49" s="412"/>
      <c r="Y49" s="412"/>
    </row>
    <row r="50" spans="23:25" ht="16.5" customHeight="1">
      <c r="W50" s="412"/>
      <c r="X50" s="412"/>
      <c r="Y50" s="412"/>
    </row>
    <row r="51" spans="23:25" ht="16.5" customHeight="1">
      <c r="W51" s="412"/>
      <c r="X51" s="412"/>
      <c r="Y51" s="412"/>
    </row>
    <row r="52" spans="6:25" ht="16.5" customHeight="1"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</row>
    <row r="53" spans="6:25" ht="16.5" customHeight="1"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</row>
    <row r="54" spans="6:25" ht="16.5" customHeight="1"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</row>
    <row r="55" spans="6:25" ht="16.5" customHeight="1"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</row>
    <row r="56" spans="6:25" ht="16.5" customHeight="1"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</row>
    <row r="57" spans="6:25" ht="16.5" customHeight="1"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</row>
    <row r="58" spans="6:25" ht="16.5" customHeight="1"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</row>
    <row r="59" spans="6:25" ht="16.5" customHeight="1"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</row>
    <row r="60" spans="6:25" ht="16.5" customHeight="1"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</row>
    <row r="61" spans="6:25" ht="16.5" customHeight="1"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</row>
    <row r="62" spans="6:25" ht="16.5" customHeight="1"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</row>
    <row r="63" spans="6:25" ht="16.5" customHeight="1"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</row>
    <row r="64" spans="6:25" ht="16.5" customHeight="1"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</row>
    <row r="65" spans="6:25" ht="16.5" customHeight="1"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</row>
    <row r="66" spans="6:25" ht="16.5" customHeight="1"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</row>
    <row r="67" spans="6:25" ht="16.5" customHeight="1"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</row>
    <row r="68" spans="6:25" ht="16.5" customHeight="1"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</row>
    <row r="69" spans="6:25" ht="16.5" customHeight="1"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</row>
    <row r="70" spans="6:25" ht="16.5" customHeight="1"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</row>
    <row r="71" spans="6:25" ht="16.5" customHeight="1"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</row>
    <row r="72" spans="6:25" ht="16.5" customHeight="1"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</row>
    <row r="73" spans="6:25" ht="16.5" customHeight="1"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</row>
    <row r="74" spans="6:25" ht="16.5" customHeight="1"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</row>
    <row r="75" spans="6:25" ht="16.5" customHeight="1"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6:25" ht="16.5" customHeight="1"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</row>
    <row r="77" spans="6:25" ht="16.5" customHeight="1"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</row>
    <row r="78" spans="6:25" ht="16.5" customHeight="1"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</row>
    <row r="79" spans="6:25" ht="16.5" customHeight="1"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</row>
    <row r="80" spans="6:25" ht="16.5" customHeight="1"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</row>
    <row r="81" spans="6:25" ht="16.5" customHeight="1"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</row>
    <row r="82" spans="6:25" ht="16.5" customHeight="1"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</row>
    <row r="83" spans="6:25" ht="16.5" customHeight="1"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</row>
    <row r="84" spans="6:25" ht="16.5" customHeight="1"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</row>
    <row r="85" spans="6:25" ht="16.5" customHeight="1"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</row>
    <row r="86" spans="6:25" ht="16.5" customHeight="1"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</row>
    <row r="87" spans="6:25" ht="16.5" customHeight="1"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</row>
    <row r="88" spans="6:25" ht="16.5" customHeight="1"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</row>
    <row r="89" spans="6:25" ht="16.5" customHeight="1"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</row>
    <row r="90" spans="6:25" ht="16.5" customHeight="1"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</row>
    <row r="91" spans="6:25" ht="16.5" customHeight="1"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</row>
    <row r="92" spans="6:25" ht="16.5" customHeight="1"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</row>
    <row r="93" spans="6:25" ht="16.5" customHeight="1"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</row>
    <row r="94" spans="6:25" ht="16.5" customHeight="1"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</row>
    <row r="95" spans="6:25" ht="16.5" customHeight="1"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</row>
    <row r="96" spans="6:25" ht="16.5" customHeight="1"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</row>
    <row r="97" spans="6:25" ht="16.5" customHeight="1"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</row>
    <row r="98" spans="6:25" ht="16.5" customHeight="1"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</row>
    <row r="99" spans="6:25" ht="16.5" customHeight="1"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</row>
    <row r="100" spans="6:25" ht="16.5" customHeight="1"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</row>
    <row r="101" spans="6:25" ht="16.5" customHeight="1"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</row>
    <row r="102" spans="6:25" ht="16.5" customHeight="1"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</row>
    <row r="103" spans="6:25" ht="16.5" customHeight="1"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</row>
    <row r="104" spans="6:25" ht="16.5" customHeight="1"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</row>
    <row r="105" spans="6:25" ht="16.5" customHeight="1"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</row>
    <row r="106" spans="6:25" ht="16.5" customHeight="1"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</row>
    <row r="107" spans="6:25" ht="16.5" customHeight="1"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</row>
    <row r="108" spans="6:25" ht="16.5" customHeight="1"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</row>
    <row r="109" spans="6:25" ht="16.5" customHeight="1"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6:25" ht="16.5" customHeight="1"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</row>
    <row r="111" spans="6:25" ht="16.5" customHeight="1"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</row>
    <row r="112" spans="6:25" ht="16.5" customHeight="1"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</row>
    <row r="113" spans="6:25" ht="16.5" customHeight="1"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</row>
    <row r="114" spans="6:25" ht="16.5" customHeight="1"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</row>
    <row r="115" spans="6:25" ht="16.5" customHeight="1"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</row>
    <row r="116" spans="6:25" ht="16.5" customHeight="1"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</row>
    <row r="117" spans="6:25" ht="16.5" customHeight="1"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</row>
    <row r="118" spans="6:25" ht="16.5" customHeight="1"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</row>
    <row r="119" spans="6:25" ht="16.5" customHeight="1"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</row>
    <row r="120" spans="6:25" ht="16.5" customHeight="1"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</row>
    <row r="121" spans="6:25" ht="16.5" customHeight="1"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</row>
    <row r="122" spans="6:25" ht="16.5" customHeight="1"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</row>
    <row r="123" spans="6:25" ht="16.5" customHeight="1"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</row>
    <row r="124" spans="6:25" ht="16.5" customHeight="1"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</row>
    <row r="125" spans="6:25" ht="16.5" customHeight="1"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</row>
    <row r="126" spans="6:25" ht="16.5" customHeight="1"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</row>
    <row r="127" spans="6:25" ht="16.5" customHeight="1"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</row>
    <row r="128" spans="6:25" ht="16.5" customHeight="1"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</row>
    <row r="129" spans="6:25" ht="16.5" customHeight="1"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</row>
    <row r="130" spans="6:25" ht="16.5" customHeight="1"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</row>
    <row r="131" spans="6:25" ht="16.5" customHeight="1"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</row>
    <row r="132" spans="6:25" ht="16.5" customHeight="1"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</row>
    <row r="133" spans="6:25" ht="16.5" customHeight="1"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</row>
    <row r="134" spans="6:25" ht="16.5" customHeight="1"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</row>
    <row r="135" spans="6:25" ht="16.5" customHeight="1"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</row>
    <row r="136" spans="6:25" ht="16.5" customHeight="1"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</row>
    <row r="137" spans="6:25" ht="16.5" customHeight="1"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</row>
    <row r="138" spans="6:25" ht="16.5" customHeight="1"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</row>
    <row r="139" spans="6:25" ht="16.5" customHeight="1"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</row>
    <row r="140" spans="6:25" ht="16.5" customHeight="1"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</row>
    <row r="141" spans="6:25" ht="16.5" customHeight="1"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</row>
    <row r="142" spans="6:25" ht="16.5" customHeight="1"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</row>
    <row r="143" spans="6:25" ht="16.5" customHeight="1"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</row>
    <row r="144" spans="6:25" ht="16.5" customHeight="1"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</row>
    <row r="145" spans="6:25" ht="16.5" customHeight="1"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</row>
    <row r="146" spans="6:25" ht="16.5" customHeight="1"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</row>
    <row r="147" spans="6:25" ht="16.5" customHeight="1"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</row>
    <row r="148" spans="6:25" ht="16.5" customHeight="1"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</row>
    <row r="149" spans="6:25" ht="16.5" customHeight="1"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</row>
    <row r="150" spans="6:25" ht="16.5" customHeight="1"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</row>
    <row r="151" spans="6:25" ht="16.5" customHeight="1">
      <c r="F151" s="412"/>
      <c r="G151" s="412"/>
      <c r="H151" s="412"/>
      <c r="I151" s="412"/>
      <c r="J151" s="412"/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</row>
    <row r="152" spans="6:25" ht="16.5" customHeight="1"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</row>
    <row r="153" spans="6:25" ht="16.5" customHeight="1"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</row>
    <row r="154" spans="6:25" ht="16.5" customHeight="1"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</row>
    <row r="155" spans="6:25" ht="16.5" customHeight="1"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</row>
    <row r="156" spans="6:25" ht="16.5" customHeight="1"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</row>
    <row r="157" spans="6:25" ht="16.5" customHeight="1"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</row>
    <row r="158" spans="6:25" ht="16.5" customHeight="1"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</row>
    <row r="159" spans="6:25" ht="16.5" customHeight="1"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Y157"/>
  <sheetViews>
    <sheetView zoomScale="75" zoomScaleNormal="75" zoomScalePageLayoutView="0" workbookViewId="0" topLeftCell="A1">
      <selection activeCell="A6" sqref="A6"/>
    </sheetView>
  </sheetViews>
  <sheetFormatPr defaultColWidth="11.421875" defaultRowHeight="16.5" customHeight="1"/>
  <cols>
    <col min="1" max="2" width="4.140625" style="9" customWidth="1"/>
    <col min="3" max="3" width="5.57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14.28125" style="9" hidden="1" customWidth="1"/>
    <col min="10" max="10" width="16.421875" style="9" customWidth="1"/>
    <col min="11" max="11" width="16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+'TOT-0614'!B2</f>
        <v>ANEXO I al Memorándum D.T.E.E. N°         347   / 2015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18"/>
    </row>
    <row r="8" spans="2:23" s="18" customFormat="1" ht="20.25">
      <c r="B8" s="95"/>
      <c r="C8" s="23"/>
      <c r="D8" s="23"/>
      <c r="E8" s="23"/>
      <c r="F8" s="419" t="s">
        <v>24</v>
      </c>
      <c r="N8" s="282"/>
      <c r="O8" s="282"/>
      <c r="P8" s="284"/>
      <c r="Q8" s="23"/>
      <c r="R8" s="23"/>
      <c r="S8" s="23"/>
      <c r="T8" s="23"/>
      <c r="U8" s="23"/>
      <c r="V8" s="23"/>
      <c r="W8" s="420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248" customFormat="1" ht="33" customHeight="1">
      <c r="B10" s="249"/>
      <c r="C10" s="250"/>
      <c r="D10" s="250"/>
      <c r="E10" s="250"/>
      <c r="F10" s="487" t="s">
        <v>67</v>
      </c>
      <c r="G10" s="488"/>
      <c r="H10" s="417"/>
      <c r="I10" s="489"/>
      <c r="K10" s="489"/>
      <c r="L10" s="489"/>
      <c r="M10" s="489"/>
      <c r="N10" s="489"/>
      <c r="O10" s="489"/>
      <c r="P10" s="489"/>
      <c r="Q10" s="250"/>
      <c r="R10" s="250"/>
      <c r="S10" s="250"/>
      <c r="T10" s="250"/>
      <c r="U10" s="250"/>
      <c r="V10" s="250"/>
      <c r="W10" s="490"/>
    </row>
    <row r="11" spans="2:23" s="253" customFormat="1" ht="33" customHeight="1">
      <c r="B11" s="254"/>
      <c r="C11" s="255"/>
      <c r="D11" s="255"/>
      <c r="E11" s="255"/>
      <c r="F11" s="487" t="s">
        <v>75</v>
      </c>
      <c r="G11" s="491"/>
      <c r="H11" s="413"/>
      <c r="I11" s="492"/>
      <c r="J11" s="493"/>
      <c r="K11" s="492"/>
      <c r="L11" s="492"/>
      <c r="M11" s="492"/>
      <c r="N11" s="492"/>
      <c r="O11" s="492"/>
      <c r="P11" s="492"/>
      <c r="Q11" s="255"/>
      <c r="R11" s="255"/>
      <c r="S11" s="255"/>
      <c r="T11" s="255"/>
      <c r="U11" s="255"/>
      <c r="V11" s="255"/>
      <c r="W11" s="494"/>
    </row>
    <row r="12" spans="2:23" s="8" customFormat="1" ht="19.5">
      <c r="B12" s="35" t="str">
        <f>'TOT-0614'!B14</f>
        <v>Desde el 01 al 30 de junio de 2014</v>
      </c>
      <c r="C12" s="39"/>
      <c r="D12" s="39"/>
      <c r="E12" s="39"/>
      <c r="F12" s="39"/>
      <c r="G12" s="39"/>
      <c r="H12" s="39"/>
      <c r="I12" s="426"/>
      <c r="J12" s="426"/>
      <c r="K12" s="426"/>
      <c r="L12" s="426"/>
      <c r="M12" s="426"/>
      <c r="N12" s="426"/>
      <c r="O12" s="426"/>
      <c r="P12" s="426"/>
      <c r="Q12" s="39"/>
      <c r="R12" s="39"/>
      <c r="S12" s="39"/>
      <c r="T12" s="39"/>
      <c r="U12" s="39"/>
      <c r="V12" s="39"/>
      <c r="W12" s="427"/>
    </row>
    <row r="13" spans="2:23" s="8" customFormat="1" ht="14.25" thickBot="1">
      <c r="B13" s="428"/>
      <c r="C13" s="429"/>
      <c r="D13" s="429"/>
      <c r="E13" s="429"/>
      <c r="F13" s="429"/>
      <c r="G13" s="429"/>
      <c r="H13" s="429"/>
      <c r="I13" s="430"/>
      <c r="J13" s="430"/>
      <c r="K13" s="430"/>
      <c r="L13" s="430"/>
      <c r="M13" s="430"/>
      <c r="N13" s="430"/>
      <c r="O13" s="430"/>
      <c r="P13" s="430"/>
      <c r="Q13" s="429"/>
      <c r="R13" s="429"/>
      <c r="S13" s="429"/>
      <c r="T13" s="429"/>
      <c r="U13" s="429"/>
      <c r="V13" s="429"/>
      <c r="W13" s="431"/>
    </row>
    <row r="14" spans="2:23" s="8" customFormat="1" ht="15" thickBot="1" thickTop="1">
      <c r="B14" s="55"/>
      <c r="C14" s="11"/>
      <c r="D14" s="11"/>
      <c r="E14" s="11"/>
      <c r="F14" s="432"/>
      <c r="G14" s="432"/>
      <c r="H14" s="433" t="s">
        <v>69</v>
      </c>
      <c r="I14" s="11"/>
      <c r="J14" s="67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60"/>
    </row>
    <row r="15" spans="2:23" s="8" customFormat="1" ht="16.5" customHeight="1" thickBot="1" thickTop="1">
      <c r="B15" s="55"/>
      <c r="C15" s="11"/>
      <c r="D15" s="11"/>
      <c r="E15" s="11"/>
      <c r="F15" s="434" t="s">
        <v>70</v>
      </c>
      <c r="G15" s="435">
        <v>73.891</v>
      </c>
      <c r="H15" s="436">
        <v>200</v>
      </c>
      <c r="V15" s="109"/>
      <c r="W15" s="60"/>
    </row>
    <row r="16" spans="2:23" s="8" customFormat="1" ht="16.5" customHeight="1" thickBot="1" thickTop="1">
      <c r="B16" s="55"/>
      <c r="C16" s="11"/>
      <c r="D16" s="11"/>
      <c r="E16" s="11"/>
      <c r="F16" s="437" t="s">
        <v>71</v>
      </c>
      <c r="G16" s="438" t="s">
        <v>76</v>
      </c>
      <c r="H16" s="436">
        <v>100</v>
      </c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39" t="s">
        <v>72</v>
      </c>
      <c r="G17" s="495">
        <v>59.116</v>
      </c>
      <c r="H17" s="436">
        <v>40</v>
      </c>
      <c r="O17" s="11"/>
      <c r="Q17" s="11"/>
      <c r="R17" s="11"/>
      <c r="S17" s="11"/>
      <c r="T17" s="11"/>
      <c r="U17" s="11"/>
      <c r="V17" s="11"/>
      <c r="W17" s="60"/>
    </row>
    <row r="18" spans="2:23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60"/>
    </row>
    <row r="19" spans="2:23" s="8" customFormat="1" ht="33.75" customHeight="1" thickBot="1" thickTop="1">
      <c r="B19" s="55"/>
      <c r="C19" s="316" t="s">
        <v>29</v>
      </c>
      <c r="D19" s="111" t="s">
        <v>30</v>
      </c>
      <c r="E19" s="111" t="s">
        <v>31</v>
      </c>
      <c r="F19" s="114" t="s">
        <v>60</v>
      </c>
      <c r="G19" s="440" t="s">
        <v>61</v>
      </c>
      <c r="H19" s="441" t="s">
        <v>32</v>
      </c>
      <c r="I19" s="321" t="s">
        <v>36</v>
      </c>
      <c r="J19" s="112" t="s">
        <v>37</v>
      </c>
      <c r="K19" s="440" t="s">
        <v>38</v>
      </c>
      <c r="L19" s="442" t="s">
        <v>39</v>
      </c>
      <c r="M19" s="442" t="s">
        <v>40</v>
      </c>
      <c r="N19" s="119" t="s">
        <v>316</v>
      </c>
      <c r="O19" s="118" t="s">
        <v>43</v>
      </c>
      <c r="P19" s="443" t="s">
        <v>35</v>
      </c>
      <c r="Q19" s="444" t="s">
        <v>73</v>
      </c>
      <c r="R19" s="445" t="s">
        <v>74</v>
      </c>
      <c r="S19" s="446"/>
      <c r="T19" s="447" t="s">
        <v>48</v>
      </c>
      <c r="U19" s="130" t="s">
        <v>50</v>
      </c>
      <c r="V19" s="320" t="s">
        <v>51</v>
      </c>
      <c r="W19" s="60"/>
    </row>
    <row r="20" spans="2:23" s="8" customFormat="1" ht="16.5" customHeight="1" thickTop="1">
      <c r="B20" s="55"/>
      <c r="C20" s="330"/>
      <c r="D20" s="330"/>
      <c r="E20" s="330"/>
      <c r="F20" s="448"/>
      <c r="G20" s="448"/>
      <c r="H20" s="448"/>
      <c r="I20" s="272"/>
      <c r="J20" s="448"/>
      <c r="K20" s="448"/>
      <c r="L20" s="448"/>
      <c r="M20" s="448"/>
      <c r="N20" s="448"/>
      <c r="O20" s="448"/>
      <c r="P20" s="449"/>
      <c r="Q20" s="450"/>
      <c r="R20" s="451"/>
      <c r="S20" s="452"/>
      <c r="T20" s="453"/>
      <c r="U20" s="448"/>
      <c r="V20" s="454"/>
      <c r="W20" s="60"/>
    </row>
    <row r="21" spans="2:23" s="8" customFormat="1" ht="16.5" customHeight="1">
      <c r="B21" s="55"/>
      <c r="C21" s="150"/>
      <c r="D21" s="150"/>
      <c r="E21" s="150"/>
      <c r="F21" s="455"/>
      <c r="G21" s="455"/>
      <c r="H21" s="455"/>
      <c r="I21" s="456"/>
      <c r="J21" s="455"/>
      <c r="K21" s="455"/>
      <c r="L21" s="455"/>
      <c r="M21" s="455"/>
      <c r="N21" s="455"/>
      <c r="O21" s="455"/>
      <c r="P21" s="457"/>
      <c r="Q21" s="458"/>
      <c r="R21" s="459"/>
      <c r="S21" s="460"/>
      <c r="T21" s="461"/>
      <c r="U21" s="455"/>
      <c r="V21" s="462"/>
      <c r="W21" s="60"/>
    </row>
    <row r="22" spans="2:23" s="8" customFormat="1" ht="16.5" customHeight="1">
      <c r="B22" s="55"/>
      <c r="C22" s="150">
        <v>36</v>
      </c>
      <c r="D22" s="150">
        <v>275622</v>
      </c>
      <c r="E22" s="169">
        <v>2586</v>
      </c>
      <c r="F22" s="463" t="s">
        <v>363</v>
      </c>
      <c r="G22" s="463" t="s">
        <v>364</v>
      </c>
      <c r="H22" s="464">
        <v>132</v>
      </c>
      <c r="I22" s="465">
        <f aca="true" t="shared" si="0" ref="I22:I41">IF(H22=500,$G$15,IF(H22=220,$G$16,$G$17))</f>
        <v>59.116</v>
      </c>
      <c r="J22" s="466">
        <v>41792.42638888889</v>
      </c>
      <c r="K22" s="467">
        <v>41792.61041666667</v>
      </c>
      <c r="L22" s="468">
        <f aca="true" t="shared" si="1" ref="L22:L41">IF(F22="","",(K22-J22)*24)</f>
        <v>4.416666666744277</v>
      </c>
      <c r="M22" s="469">
        <f aca="true" t="shared" si="2" ref="M22:M41">IF(F22="","",ROUND((K22-J22)*24*60,0))</f>
        <v>265</v>
      </c>
      <c r="N22" s="178" t="s">
        <v>332</v>
      </c>
      <c r="O22" s="180" t="str">
        <f aca="true" t="shared" si="3" ref="O22:O41">IF(F22="","",IF(N22="P","--","NO"))</f>
        <v>--</v>
      </c>
      <c r="P22" s="470">
        <f aca="true" t="shared" si="4" ref="P22:P41">IF(H22=500,$H$15,IF(H22=220,$H$16,$H$17))</f>
        <v>40</v>
      </c>
      <c r="Q22" s="471">
        <f aca="true" t="shared" si="5" ref="Q22:Q41">IF(N22="P",I22*P22*ROUND(M22/60,2)*0.1,"--")</f>
        <v>1045.17088</v>
      </c>
      <c r="R22" s="459" t="str">
        <f aca="true" t="shared" si="6" ref="R22:R41">IF(AND(N22="F",O22="NO"),I22*P22,"--")</f>
        <v>--</v>
      </c>
      <c r="S22" s="460" t="str">
        <f aca="true" t="shared" si="7" ref="S22:S41">IF(N22="F",I22*P22*ROUND(M22/60,2),"--")</f>
        <v>--</v>
      </c>
      <c r="T22" s="461" t="str">
        <f aca="true" t="shared" si="8" ref="T22:T41">IF(N22="RF",I22*P22*ROUND(M22/60,2),"--")</f>
        <v>--</v>
      </c>
      <c r="U22" s="180" t="s">
        <v>84</v>
      </c>
      <c r="V22" s="472">
        <f aca="true" t="shared" si="9" ref="V22:V41">IF(F22="","",SUM(Q22:T22)*IF(U22="SI",1,2))</f>
        <v>1045.17088</v>
      </c>
      <c r="W22" s="60"/>
    </row>
    <row r="23" spans="2:23" s="8" customFormat="1" ht="16.5" customHeight="1">
      <c r="B23" s="55"/>
      <c r="C23" s="150">
        <v>37</v>
      </c>
      <c r="D23" s="150">
        <v>275628</v>
      </c>
      <c r="E23" s="150">
        <v>2598</v>
      </c>
      <c r="F23" s="463" t="s">
        <v>355</v>
      </c>
      <c r="G23" s="463" t="s">
        <v>365</v>
      </c>
      <c r="H23" s="464">
        <v>132</v>
      </c>
      <c r="I23" s="465">
        <f t="shared" si="0"/>
        <v>59.116</v>
      </c>
      <c r="J23" s="466">
        <v>41797.361805555556</v>
      </c>
      <c r="K23" s="467">
        <v>41797.7125</v>
      </c>
      <c r="L23" s="468">
        <f t="shared" si="1"/>
        <v>8.41666666668607</v>
      </c>
      <c r="M23" s="469">
        <f t="shared" si="2"/>
        <v>505</v>
      </c>
      <c r="N23" s="178" t="s">
        <v>332</v>
      </c>
      <c r="O23" s="180" t="str">
        <f t="shared" si="3"/>
        <v>--</v>
      </c>
      <c r="P23" s="470">
        <f t="shared" si="4"/>
        <v>40</v>
      </c>
      <c r="Q23" s="471">
        <f t="shared" si="5"/>
        <v>1991.02688</v>
      </c>
      <c r="R23" s="459" t="str">
        <f t="shared" si="6"/>
        <v>--</v>
      </c>
      <c r="S23" s="460" t="str">
        <f t="shared" si="7"/>
        <v>--</v>
      </c>
      <c r="T23" s="461" t="str">
        <f t="shared" si="8"/>
        <v>--</v>
      </c>
      <c r="U23" s="180" t="s">
        <v>84</v>
      </c>
      <c r="V23" s="472">
        <f t="shared" si="9"/>
        <v>1991.02688</v>
      </c>
      <c r="W23" s="60"/>
    </row>
    <row r="24" spans="2:23" s="8" customFormat="1" ht="16.5" customHeight="1">
      <c r="B24" s="55"/>
      <c r="C24" s="150">
        <v>38</v>
      </c>
      <c r="D24" s="150">
        <v>275865</v>
      </c>
      <c r="E24" s="169">
        <v>2596</v>
      </c>
      <c r="F24" s="463" t="s">
        <v>355</v>
      </c>
      <c r="G24" s="463" t="s">
        <v>366</v>
      </c>
      <c r="H24" s="464">
        <v>132</v>
      </c>
      <c r="I24" s="465">
        <f t="shared" si="0"/>
        <v>59.116</v>
      </c>
      <c r="J24" s="466">
        <v>41800.37777777778</v>
      </c>
      <c r="K24" s="467">
        <v>41800.729166666664</v>
      </c>
      <c r="L24" s="468">
        <f t="shared" si="1"/>
        <v>8.43333333323244</v>
      </c>
      <c r="M24" s="469">
        <f t="shared" si="2"/>
        <v>506</v>
      </c>
      <c r="N24" s="178" t="s">
        <v>332</v>
      </c>
      <c r="O24" s="180" t="str">
        <f t="shared" si="3"/>
        <v>--</v>
      </c>
      <c r="P24" s="470">
        <f t="shared" si="4"/>
        <v>40</v>
      </c>
      <c r="Q24" s="471">
        <f t="shared" si="5"/>
        <v>1993.3915200000001</v>
      </c>
      <c r="R24" s="459" t="str">
        <f t="shared" si="6"/>
        <v>--</v>
      </c>
      <c r="S24" s="460" t="str">
        <f t="shared" si="7"/>
        <v>--</v>
      </c>
      <c r="T24" s="461" t="str">
        <f t="shared" si="8"/>
        <v>--</v>
      </c>
      <c r="U24" s="180" t="s">
        <v>84</v>
      </c>
      <c r="V24" s="472">
        <f t="shared" si="9"/>
        <v>1993.3915200000001</v>
      </c>
      <c r="W24" s="60"/>
    </row>
    <row r="25" spans="2:23" s="8" customFormat="1" ht="16.5" customHeight="1">
      <c r="B25" s="55"/>
      <c r="C25" s="150">
        <v>39</v>
      </c>
      <c r="D25" s="150">
        <v>275868</v>
      </c>
      <c r="E25" s="150">
        <v>2588</v>
      </c>
      <c r="F25" s="463" t="s">
        <v>367</v>
      </c>
      <c r="G25" s="463" t="s">
        <v>368</v>
      </c>
      <c r="H25" s="464">
        <v>132</v>
      </c>
      <c r="I25" s="465">
        <f t="shared" si="0"/>
        <v>59.116</v>
      </c>
      <c r="J25" s="466">
        <v>41801.42986111111</v>
      </c>
      <c r="K25" s="467">
        <v>41801.63125</v>
      </c>
      <c r="L25" s="468">
        <f t="shared" si="1"/>
        <v>4.833333333372138</v>
      </c>
      <c r="M25" s="469">
        <f t="shared" si="2"/>
        <v>290</v>
      </c>
      <c r="N25" s="178" t="s">
        <v>332</v>
      </c>
      <c r="O25" s="180" t="str">
        <f t="shared" si="3"/>
        <v>--</v>
      </c>
      <c r="P25" s="470">
        <f t="shared" si="4"/>
        <v>40</v>
      </c>
      <c r="Q25" s="471">
        <f t="shared" si="5"/>
        <v>1142.12112</v>
      </c>
      <c r="R25" s="459" t="str">
        <f t="shared" si="6"/>
        <v>--</v>
      </c>
      <c r="S25" s="460" t="str">
        <f t="shared" si="7"/>
        <v>--</v>
      </c>
      <c r="T25" s="461" t="str">
        <f t="shared" si="8"/>
        <v>--</v>
      </c>
      <c r="U25" s="180" t="s">
        <v>84</v>
      </c>
      <c r="V25" s="472">
        <f t="shared" si="9"/>
        <v>1142.12112</v>
      </c>
      <c r="W25" s="60"/>
    </row>
    <row r="26" spans="2:23" s="8" customFormat="1" ht="16.5" customHeight="1">
      <c r="B26" s="55"/>
      <c r="C26" s="150">
        <v>40</v>
      </c>
      <c r="D26" s="150">
        <v>276046</v>
      </c>
      <c r="E26" s="169">
        <v>2587</v>
      </c>
      <c r="F26" s="463" t="s">
        <v>367</v>
      </c>
      <c r="G26" s="463" t="s">
        <v>369</v>
      </c>
      <c r="H26" s="464">
        <v>132</v>
      </c>
      <c r="I26" s="465">
        <f t="shared" si="0"/>
        <v>59.116</v>
      </c>
      <c r="J26" s="466">
        <v>41806.43402777778</v>
      </c>
      <c r="K26" s="467">
        <v>41806.71875</v>
      </c>
      <c r="L26" s="468">
        <f t="shared" si="1"/>
        <v>6.833333333255723</v>
      </c>
      <c r="M26" s="469">
        <f t="shared" si="2"/>
        <v>410</v>
      </c>
      <c r="N26" s="178" t="s">
        <v>332</v>
      </c>
      <c r="O26" s="180" t="str">
        <f t="shared" si="3"/>
        <v>--</v>
      </c>
      <c r="P26" s="470">
        <f t="shared" si="4"/>
        <v>40</v>
      </c>
      <c r="Q26" s="471">
        <f t="shared" si="5"/>
        <v>1615.04912</v>
      </c>
      <c r="R26" s="459" t="str">
        <f t="shared" si="6"/>
        <v>--</v>
      </c>
      <c r="S26" s="460" t="str">
        <f t="shared" si="7"/>
        <v>--</v>
      </c>
      <c r="T26" s="461" t="str">
        <f t="shared" si="8"/>
        <v>--</v>
      </c>
      <c r="U26" s="180" t="s">
        <v>84</v>
      </c>
      <c r="V26" s="472">
        <f t="shared" si="9"/>
        <v>1615.04912</v>
      </c>
      <c r="W26" s="60"/>
    </row>
    <row r="27" spans="2:23" s="8" customFormat="1" ht="16.5" customHeight="1">
      <c r="B27" s="55"/>
      <c r="C27" s="150">
        <v>41</v>
      </c>
      <c r="D27" s="150">
        <v>276247</v>
      </c>
      <c r="E27" s="150">
        <v>2603</v>
      </c>
      <c r="F27" s="463" t="s">
        <v>370</v>
      </c>
      <c r="G27" s="463" t="s">
        <v>371</v>
      </c>
      <c r="H27" s="464">
        <v>132</v>
      </c>
      <c r="I27" s="465">
        <f t="shared" si="0"/>
        <v>59.116</v>
      </c>
      <c r="J27" s="466">
        <v>41819.38263888889</v>
      </c>
      <c r="K27" s="467">
        <v>41819.53958333333</v>
      </c>
      <c r="L27" s="468">
        <f t="shared" si="1"/>
        <v>3.766666666546371</v>
      </c>
      <c r="M27" s="469">
        <f t="shared" si="2"/>
        <v>226</v>
      </c>
      <c r="N27" s="178" t="s">
        <v>332</v>
      </c>
      <c r="O27" s="180" t="str">
        <f t="shared" si="3"/>
        <v>--</v>
      </c>
      <c r="P27" s="470">
        <f t="shared" si="4"/>
        <v>40</v>
      </c>
      <c r="Q27" s="471">
        <f t="shared" si="5"/>
        <v>891.4692799999999</v>
      </c>
      <c r="R27" s="459" t="str">
        <f t="shared" si="6"/>
        <v>--</v>
      </c>
      <c r="S27" s="460" t="str">
        <f t="shared" si="7"/>
        <v>--</v>
      </c>
      <c r="T27" s="461" t="str">
        <f t="shared" si="8"/>
        <v>--</v>
      </c>
      <c r="U27" s="180" t="s">
        <v>84</v>
      </c>
      <c r="V27" s="472">
        <f t="shared" si="9"/>
        <v>891.4692799999999</v>
      </c>
      <c r="W27" s="60"/>
    </row>
    <row r="28" spans="2:23" s="8" customFormat="1" ht="16.5" customHeight="1">
      <c r="B28" s="55"/>
      <c r="C28" s="150"/>
      <c r="D28" s="150"/>
      <c r="E28" s="169"/>
      <c r="F28" s="463"/>
      <c r="G28" s="463"/>
      <c r="H28" s="464"/>
      <c r="I28" s="465">
        <f t="shared" si="0"/>
        <v>59.116</v>
      </c>
      <c r="J28" s="466"/>
      <c r="K28" s="467"/>
      <c r="L28" s="468">
        <f t="shared" si="1"/>
      </c>
      <c r="M28" s="469">
        <f t="shared" si="2"/>
      </c>
      <c r="N28" s="178"/>
      <c r="O28" s="180">
        <f t="shared" si="3"/>
      </c>
      <c r="P28" s="470">
        <f t="shared" si="4"/>
        <v>40</v>
      </c>
      <c r="Q28" s="471" t="str">
        <f t="shared" si="5"/>
        <v>--</v>
      </c>
      <c r="R28" s="459" t="str">
        <f t="shared" si="6"/>
        <v>--</v>
      </c>
      <c r="S28" s="460" t="str">
        <f t="shared" si="7"/>
        <v>--</v>
      </c>
      <c r="T28" s="461" t="str">
        <f t="shared" si="8"/>
        <v>--</v>
      </c>
      <c r="U28" s="180">
        <f aca="true" t="shared" si="10" ref="U28:U41">IF(F28="","","SI")</f>
      </c>
      <c r="V28" s="472">
        <f t="shared" si="9"/>
      </c>
      <c r="W28" s="60"/>
    </row>
    <row r="29" spans="2:23" s="8" customFormat="1" ht="16.5" customHeight="1">
      <c r="B29" s="55"/>
      <c r="C29" s="150"/>
      <c r="D29" s="150"/>
      <c r="E29" s="150"/>
      <c r="F29" s="463"/>
      <c r="G29" s="463"/>
      <c r="H29" s="464"/>
      <c r="I29" s="465">
        <f t="shared" si="0"/>
        <v>59.116</v>
      </c>
      <c r="J29" s="466"/>
      <c r="K29" s="467"/>
      <c r="L29" s="468">
        <f t="shared" si="1"/>
      </c>
      <c r="M29" s="469">
        <f t="shared" si="2"/>
      </c>
      <c r="N29" s="178"/>
      <c r="O29" s="180">
        <f t="shared" si="3"/>
      </c>
      <c r="P29" s="470">
        <f t="shared" si="4"/>
        <v>40</v>
      </c>
      <c r="Q29" s="471" t="str">
        <f t="shared" si="5"/>
        <v>--</v>
      </c>
      <c r="R29" s="459" t="str">
        <f t="shared" si="6"/>
        <v>--</v>
      </c>
      <c r="S29" s="460" t="str">
        <f t="shared" si="7"/>
        <v>--</v>
      </c>
      <c r="T29" s="461" t="str">
        <f t="shared" si="8"/>
        <v>--</v>
      </c>
      <c r="U29" s="180">
        <f t="shared" si="10"/>
      </c>
      <c r="V29" s="472">
        <f t="shared" si="9"/>
      </c>
      <c r="W29" s="60"/>
    </row>
    <row r="30" spans="2:23" s="8" customFormat="1" ht="16.5" customHeight="1">
      <c r="B30" s="55"/>
      <c r="C30" s="150"/>
      <c r="D30" s="150"/>
      <c r="E30" s="169"/>
      <c r="F30" s="463"/>
      <c r="G30" s="463"/>
      <c r="H30" s="464"/>
      <c r="I30" s="465">
        <f t="shared" si="0"/>
        <v>59.116</v>
      </c>
      <c r="J30" s="466"/>
      <c r="K30" s="467"/>
      <c r="L30" s="468">
        <f t="shared" si="1"/>
      </c>
      <c r="M30" s="469">
        <f t="shared" si="2"/>
      </c>
      <c r="N30" s="178"/>
      <c r="O30" s="180">
        <f t="shared" si="3"/>
      </c>
      <c r="P30" s="470">
        <f t="shared" si="4"/>
        <v>40</v>
      </c>
      <c r="Q30" s="471" t="str">
        <f t="shared" si="5"/>
        <v>--</v>
      </c>
      <c r="R30" s="459" t="str">
        <f t="shared" si="6"/>
        <v>--</v>
      </c>
      <c r="S30" s="460" t="str">
        <f t="shared" si="7"/>
        <v>--</v>
      </c>
      <c r="T30" s="461" t="str">
        <f t="shared" si="8"/>
        <v>--</v>
      </c>
      <c r="U30" s="180">
        <f t="shared" si="10"/>
      </c>
      <c r="V30" s="472">
        <f t="shared" si="9"/>
      </c>
      <c r="W30" s="60"/>
    </row>
    <row r="31" spans="2:23" s="8" customFormat="1" ht="16.5" customHeight="1">
      <c r="B31" s="55"/>
      <c r="C31" s="150"/>
      <c r="D31" s="150"/>
      <c r="E31" s="150"/>
      <c r="F31" s="463"/>
      <c r="G31" s="463"/>
      <c r="H31" s="464"/>
      <c r="I31" s="465">
        <f t="shared" si="0"/>
        <v>59.116</v>
      </c>
      <c r="J31" s="466"/>
      <c r="K31" s="467"/>
      <c r="L31" s="468">
        <f t="shared" si="1"/>
      </c>
      <c r="M31" s="469">
        <f t="shared" si="2"/>
      </c>
      <c r="N31" s="178"/>
      <c r="O31" s="180">
        <f t="shared" si="3"/>
      </c>
      <c r="P31" s="470">
        <f t="shared" si="4"/>
        <v>40</v>
      </c>
      <c r="Q31" s="471" t="str">
        <f t="shared" si="5"/>
        <v>--</v>
      </c>
      <c r="R31" s="459" t="str">
        <f t="shared" si="6"/>
        <v>--</v>
      </c>
      <c r="S31" s="460" t="str">
        <f t="shared" si="7"/>
        <v>--</v>
      </c>
      <c r="T31" s="461" t="str">
        <f t="shared" si="8"/>
        <v>--</v>
      </c>
      <c r="U31" s="180">
        <f t="shared" si="10"/>
      </c>
      <c r="V31" s="472">
        <f t="shared" si="9"/>
      </c>
      <c r="W31" s="60"/>
    </row>
    <row r="32" spans="2:23" s="8" customFormat="1" ht="16.5" customHeight="1">
      <c r="B32" s="55"/>
      <c r="C32" s="150"/>
      <c r="D32" s="150"/>
      <c r="E32" s="169"/>
      <c r="F32" s="463"/>
      <c r="G32" s="463"/>
      <c r="H32" s="464"/>
      <c r="I32" s="465">
        <f t="shared" si="0"/>
        <v>59.116</v>
      </c>
      <c r="J32" s="466"/>
      <c r="K32" s="467"/>
      <c r="L32" s="468">
        <f t="shared" si="1"/>
      </c>
      <c r="M32" s="469">
        <f t="shared" si="2"/>
      </c>
      <c r="N32" s="178"/>
      <c r="O32" s="180">
        <f t="shared" si="3"/>
      </c>
      <c r="P32" s="470">
        <f t="shared" si="4"/>
        <v>40</v>
      </c>
      <c r="Q32" s="471" t="str">
        <f t="shared" si="5"/>
        <v>--</v>
      </c>
      <c r="R32" s="459" t="str">
        <f t="shared" si="6"/>
        <v>--</v>
      </c>
      <c r="S32" s="460" t="str">
        <f t="shared" si="7"/>
        <v>--</v>
      </c>
      <c r="T32" s="461" t="str">
        <f t="shared" si="8"/>
        <v>--</v>
      </c>
      <c r="U32" s="180">
        <f t="shared" si="10"/>
      </c>
      <c r="V32" s="472">
        <f t="shared" si="9"/>
      </c>
      <c r="W32" s="60"/>
    </row>
    <row r="33" spans="2:23" s="8" customFormat="1" ht="16.5" customHeight="1">
      <c r="B33" s="55"/>
      <c r="C33" s="150"/>
      <c r="D33" s="150"/>
      <c r="E33" s="150"/>
      <c r="F33" s="463"/>
      <c r="G33" s="463"/>
      <c r="H33" s="464"/>
      <c r="I33" s="465">
        <f t="shared" si="0"/>
        <v>59.116</v>
      </c>
      <c r="J33" s="466"/>
      <c r="K33" s="467"/>
      <c r="L33" s="468">
        <f t="shared" si="1"/>
      </c>
      <c r="M33" s="469">
        <f t="shared" si="2"/>
      </c>
      <c r="N33" s="178"/>
      <c r="O33" s="180">
        <f t="shared" si="3"/>
      </c>
      <c r="P33" s="470">
        <f t="shared" si="4"/>
        <v>40</v>
      </c>
      <c r="Q33" s="471" t="str">
        <f t="shared" si="5"/>
        <v>--</v>
      </c>
      <c r="R33" s="459" t="str">
        <f t="shared" si="6"/>
        <v>--</v>
      </c>
      <c r="S33" s="460" t="str">
        <f t="shared" si="7"/>
        <v>--</v>
      </c>
      <c r="T33" s="461" t="str">
        <f t="shared" si="8"/>
        <v>--</v>
      </c>
      <c r="U33" s="180">
        <f t="shared" si="10"/>
      </c>
      <c r="V33" s="472">
        <f t="shared" si="9"/>
      </c>
      <c r="W33" s="60"/>
    </row>
    <row r="34" spans="2:23" s="8" customFormat="1" ht="16.5" customHeight="1">
      <c r="B34" s="55"/>
      <c r="C34" s="150"/>
      <c r="D34" s="150"/>
      <c r="E34" s="169"/>
      <c r="F34" s="463"/>
      <c r="G34" s="463"/>
      <c r="H34" s="464"/>
      <c r="I34" s="465">
        <f t="shared" si="0"/>
        <v>59.116</v>
      </c>
      <c r="J34" s="466"/>
      <c r="K34" s="467"/>
      <c r="L34" s="468">
        <f t="shared" si="1"/>
      </c>
      <c r="M34" s="469">
        <f t="shared" si="2"/>
      </c>
      <c r="N34" s="178"/>
      <c r="O34" s="180">
        <f t="shared" si="3"/>
      </c>
      <c r="P34" s="470">
        <f t="shared" si="4"/>
        <v>40</v>
      </c>
      <c r="Q34" s="471" t="str">
        <f t="shared" si="5"/>
        <v>--</v>
      </c>
      <c r="R34" s="459" t="str">
        <f t="shared" si="6"/>
        <v>--</v>
      </c>
      <c r="S34" s="460" t="str">
        <f t="shared" si="7"/>
        <v>--</v>
      </c>
      <c r="T34" s="461" t="str">
        <f t="shared" si="8"/>
        <v>--</v>
      </c>
      <c r="U34" s="180">
        <f t="shared" si="10"/>
      </c>
      <c r="V34" s="472">
        <f t="shared" si="9"/>
      </c>
      <c r="W34" s="60"/>
    </row>
    <row r="35" spans="2:23" s="8" customFormat="1" ht="16.5" customHeight="1">
      <c r="B35" s="55"/>
      <c r="C35" s="150"/>
      <c r="D35" s="150"/>
      <c r="E35" s="150"/>
      <c r="F35" s="463"/>
      <c r="G35" s="463"/>
      <c r="H35" s="464"/>
      <c r="I35" s="465">
        <f t="shared" si="0"/>
        <v>59.116</v>
      </c>
      <c r="J35" s="466"/>
      <c r="K35" s="467"/>
      <c r="L35" s="468">
        <f t="shared" si="1"/>
      </c>
      <c r="M35" s="469">
        <f t="shared" si="2"/>
      </c>
      <c r="N35" s="178"/>
      <c r="O35" s="180">
        <f t="shared" si="3"/>
      </c>
      <c r="P35" s="470">
        <f t="shared" si="4"/>
        <v>40</v>
      </c>
      <c r="Q35" s="471" t="str">
        <f t="shared" si="5"/>
        <v>--</v>
      </c>
      <c r="R35" s="459" t="str">
        <f t="shared" si="6"/>
        <v>--</v>
      </c>
      <c r="S35" s="460" t="str">
        <f t="shared" si="7"/>
        <v>--</v>
      </c>
      <c r="T35" s="461" t="str">
        <f t="shared" si="8"/>
        <v>--</v>
      </c>
      <c r="U35" s="180">
        <f t="shared" si="10"/>
      </c>
      <c r="V35" s="472">
        <f t="shared" si="9"/>
      </c>
      <c r="W35" s="60"/>
    </row>
    <row r="36" spans="2:23" s="8" customFormat="1" ht="16.5" customHeight="1">
      <c r="B36" s="55"/>
      <c r="C36" s="150"/>
      <c r="D36" s="150"/>
      <c r="E36" s="169"/>
      <c r="F36" s="463"/>
      <c r="G36" s="463"/>
      <c r="H36" s="464"/>
      <c r="I36" s="465">
        <f t="shared" si="0"/>
        <v>59.116</v>
      </c>
      <c r="J36" s="466"/>
      <c r="K36" s="467"/>
      <c r="L36" s="468">
        <f t="shared" si="1"/>
      </c>
      <c r="M36" s="469">
        <f t="shared" si="2"/>
      </c>
      <c r="N36" s="178"/>
      <c r="O36" s="180">
        <f t="shared" si="3"/>
      </c>
      <c r="P36" s="470">
        <f t="shared" si="4"/>
        <v>40</v>
      </c>
      <c r="Q36" s="471" t="str">
        <f t="shared" si="5"/>
        <v>--</v>
      </c>
      <c r="R36" s="459" t="str">
        <f t="shared" si="6"/>
        <v>--</v>
      </c>
      <c r="S36" s="460" t="str">
        <f t="shared" si="7"/>
        <v>--</v>
      </c>
      <c r="T36" s="461" t="str">
        <f t="shared" si="8"/>
        <v>--</v>
      </c>
      <c r="U36" s="180">
        <f t="shared" si="10"/>
      </c>
      <c r="V36" s="472">
        <f t="shared" si="9"/>
      </c>
      <c r="W36" s="60"/>
    </row>
    <row r="37" spans="2:23" s="8" customFormat="1" ht="16.5" customHeight="1">
      <c r="B37" s="55"/>
      <c r="C37" s="150"/>
      <c r="D37" s="150"/>
      <c r="E37" s="150"/>
      <c r="F37" s="463"/>
      <c r="G37" s="463"/>
      <c r="H37" s="464"/>
      <c r="I37" s="465">
        <f t="shared" si="0"/>
        <v>59.116</v>
      </c>
      <c r="J37" s="466"/>
      <c r="K37" s="467"/>
      <c r="L37" s="468">
        <f t="shared" si="1"/>
      </c>
      <c r="M37" s="469">
        <f t="shared" si="2"/>
      </c>
      <c r="N37" s="178"/>
      <c r="O37" s="180">
        <f t="shared" si="3"/>
      </c>
      <c r="P37" s="470">
        <f t="shared" si="4"/>
        <v>40</v>
      </c>
      <c r="Q37" s="471" t="str">
        <f t="shared" si="5"/>
        <v>--</v>
      </c>
      <c r="R37" s="459" t="str">
        <f t="shared" si="6"/>
        <v>--</v>
      </c>
      <c r="S37" s="460" t="str">
        <f t="shared" si="7"/>
        <v>--</v>
      </c>
      <c r="T37" s="461" t="str">
        <f t="shared" si="8"/>
        <v>--</v>
      </c>
      <c r="U37" s="180">
        <f t="shared" si="10"/>
      </c>
      <c r="V37" s="472">
        <f t="shared" si="9"/>
      </c>
      <c r="W37" s="60"/>
    </row>
    <row r="38" spans="2:23" s="8" customFormat="1" ht="16.5" customHeight="1">
      <c r="B38" s="55"/>
      <c r="C38" s="150"/>
      <c r="D38" s="150"/>
      <c r="E38" s="169"/>
      <c r="F38" s="463"/>
      <c r="G38" s="463"/>
      <c r="H38" s="464"/>
      <c r="I38" s="465">
        <f t="shared" si="0"/>
        <v>59.116</v>
      </c>
      <c r="J38" s="466"/>
      <c r="K38" s="467"/>
      <c r="L38" s="468">
        <f t="shared" si="1"/>
      </c>
      <c r="M38" s="469">
        <f t="shared" si="2"/>
      </c>
      <c r="N38" s="178"/>
      <c r="O38" s="180">
        <f t="shared" si="3"/>
      </c>
      <c r="P38" s="470">
        <f t="shared" si="4"/>
        <v>40</v>
      </c>
      <c r="Q38" s="471" t="str">
        <f t="shared" si="5"/>
        <v>--</v>
      </c>
      <c r="R38" s="459" t="str">
        <f t="shared" si="6"/>
        <v>--</v>
      </c>
      <c r="S38" s="460" t="str">
        <f t="shared" si="7"/>
        <v>--</v>
      </c>
      <c r="T38" s="461" t="str">
        <f t="shared" si="8"/>
        <v>--</v>
      </c>
      <c r="U38" s="180">
        <f t="shared" si="10"/>
      </c>
      <c r="V38" s="472">
        <f t="shared" si="9"/>
      </c>
      <c r="W38" s="60"/>
    </row>
    <row r="39" spans="2:23" s="8" customFormat="1" ht="16.5" customHeight="1">
      <c r="B39" s="55"/>
      <c r="C39" s="150"/>
      <c r="D39" s="150"/>
      <c r="E39" s="150"/>
      <c r="F39" s="463"/>
      <c r="G39" s="463"/>
      <c r="H39" s="464"/>
      <c r="I39" s="465">
        <f t="shared" si="0"/>
        <v>59.116</v>
      </c>
      <c r="J39" s="466"/>
      <c r="K39" s="467"/>
      <c r="L39" s="468">
        <f t="shared" si="1"/>
      </c>
      <c r="M39" s="469">
        <f t="shared" si="2"/>
      </c>
      <c r="N39" s="178"/>
      <c r="O39" s="180">
        <f t="shared" si="3"/>
      </c>
      <c r="P39" s="470">
        <f t="shared" si="4"/>
        <v>40</v>
      </c>
      <c r="Q39" s="471" t="str">
        <f t="shared" si="5"/>
        <v>--</v>
      </c>
      <c r="R39" s="459" t="str">
        <f t="shared" si="6"/>
        <v>--</v>
      </c>
      <c r="S39" s="460" t="str">
        <f t="shared" si="7"/>
        <v>--</v>
      </c>
      <c r="T39" s="461" t="str">
        <f t="shared" si="8"/>
        <v>--</v>
      </c>
      <c r="U39" s="180">
        <f t="shared" si="10"/>
      </c>
      <c r="V39" s="472">
        <f t="shared" si="9"/>
      </c>
      <c r="W39" s="60"/>
    </row>
    <row r="40" spans="2:23" s="8" customFormat="1" ht="16.5" customHeight="1">
      <c r="B40" s="55"/>
      <c r="C40" s="150"/>
      <c r="D40" s="150"/>
      <c r="E40" s="169"/>
      <c r="F40" s="463"/>
      <c r="G40" s="463"/>
      <c r="H40" s="464"/>
      <c r="I40" s="465">
        <f t="shared" si="0"/>
        <v>59.116</v>
      </c>
      <c r="J40" s="466"/>
      <c r="K40" s="467"/>
      <c r="L40" s="468">
        <f t="shared" si="1"/>
      </c>
      <c r="M40" s="469">
        <f t="shared" si="2"/>
      </c>
      <c r="N40" s="178"/>
      <c r="O40" s="180">
        <f t="shared" si="3"/>
      </c>
      <c r="P40" s="470">
        <f t="shared" si="4"/>
        <v>40</v>
      </c>
      <c r="Q40" s="471" t="str">
        <f t="shared" si="5"/>
        <v>--</v>
      </c>
      <c r="R40" s="459" t="str">
        <f t="shared" si="6"/>
        <v>--</v>
      </c>
      <c r="S40" s="460" t="str">
        <f t="shared" si="7"/>
        <v>--</v>
      </c>
      <c r="T40" s="461" t="str">
        <f t="shared" si="8"/>
        <v>--</v>
      </c>
      <c r="U40" s="180">
        <f t="shared" si="10"/>
      </c>
      <c r="V40" s="472">
        <f t="shared" si="9"/>
      </c>
      <c r="W40" s="60"/>
    </row>
    <row r="41" spans="2:23" s="8" customFormat="1" ht="16.5" customHeight="1">
      <c r="B41" s="55"/>
      <c r="C41" s="150"/>
      <c r="D41" s="150"/>
      <c r="E41" s="150"/>
      <c r="F41" s="463"/>
      <c r="G41" s="463"/>
      <c r="H41" s="464"/>
      <c r="I41" s="465">
        <f t="shared" si="0"/>
        <v>59.116</v>
      </c>
      <c r="J41" s="466"/>
      <c r="K41" s="467"/>
      <c r="L41" s="468">
        <f t="shared" si="1"/>
      </c>
      <c r="M41" s="469">
        <f t="shared" si="2"/>
      </c>
      <c r="N41" s="178"/>
      <c r="O41" s="180">
        <f t="shared" si="3"/>
      </c>
      <c r="P41" s="470">
        <f t="shared" si="4"/>
        <v>40</v>
      </c>
      <c r="Q41" s="471" t="str">
        <f t="shared" si="5"/>
        <v>--</v>
      </c>
      <c r="R41" s="459" t="str">
        <f t="shared" si="6"/>
        <v>--</v>
      </c>
      <c r="S41" s="460" t="str">
        <f t="shared" si="7"/>
        <v>--</v>
      </c>
      <c r="T41" s="461" t="str">
        <f t="shared" si="8"/>
        <v>--</v>
      </c>
      <c r="U41" s="180">
        <f t="shared" si="10"/>
      </c>
      <c r="V41" s="472">
        <f t="shared" si="9"/>
      </c>
      <c r="W41" s="60"/>
    </row>
    <row r="42" spans="2:23" s="8" customFormat="1" ht="16.5" customHeight="1" thickBot="1">
      <c r="B42" s="55"/>
      <c r="C42" s="208"/>
      <c r="D42" s="208"/>
      <c r="E42" s="208"/>
      <c r="F42" s="208"/>
      <c r="G42" s="208"/>
      <c r="H42" s="208"/>
      <c r="I42" s="381"/>
      <c r="J42" s="473"/>
      <c r="K42" s="473"/>
      <c r="L42" s="474"/>
      <c r="M42" s="474"/>
      <c r="N42" s="473"/>
      <c r="O42" s="215"/>
      <c r="P42" s="475"/>
      <c r="Q42" s="476"/>
      <c r="R42" s="477"/>
      <c r="S42" s="478"/>
      <c r="T42" s="479"/>
      <c r="U42" s="215"/>
      <c r="V42" s="480"/>
      <c r="W42" s="60"/>
    </row>
    <row r="43" spans="2:23" s="8" customFormat="1" ht="16.5" customHeight="1" thickBot="1" thickTop="1">
      <c r="B43" s="55"/>
      <c r="C43" s="229" t="s">
        <v>317</v>
      </c>
      <c r="D43" s="1528" t="s">
        <v>420</v>
      </c>
      <c r="E43" s="229"/>
      <c r="F43" s="230"/>
      <c r="G43" s="9"/>
      <c r="H43" s="11"/>
      <c r="I43" s="11"/>
      <c r="J43" s="11"/>
      <c r="K43" s="11"/>
      <c r="L43" s="11"/>
      <c r="M43" s="11"/>
      <c r="N43" s="11"/>
      <c r="O43" s="11"/>
      <c r="P43" s="11"/>
      <c r="Q43" s="481">
        <f>SUM(Q20:Q42)</f>
        <v>8678.228799999999</v>
      </c>
      <c r="R43" s="482">
        <f>SUM(R20:R42)</f>
        <v>0</v>
      </c>
      <c r="S43" s="483">
        <f>SUM(S20:S42)</f>
        <v>0</v>
      </c>
      <c r="T43" s="484">
        <f>SUM(T20:T42)</f>
        <v>0</v>
      </c>
      <c r="U43" s="485"/>
      <c r="V43" s="486">
        <f>ROUND(SUM(V20:V42),2)</f>
        <v>8678.23</v>
      </c>
      <c r="W43" s="60"/>
    </row>
    <row r="44" spans="2:23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6"/>
    </row>
    <row r="45" spans="23:25" ht="16.5" customHeight="1" thickTop="1">
      <c r="W45" s="412"/>
      <c r="X45" s="412"/>
      <c r="Y45" s="412"/>
    </row>
    <row r="46" spans="23:25" ht="16.5" customHeight="1">
      <c r="W46" s="412"/>
      <c r="X46" s="412"/>
      <c r="Y46" s="412"/>
    </row>
    <row r="47" spans="23:25" ht="16.5" customHeight="1">
      <c r="W47" s="412"/>
      <c r="X47" s="412"/>
      <c r="Y47" s="412"/>
    </row>
    <row r="48" spans="23:25" ht="16.5" customHeight="1">
      <c r="W48" s="412"/>
      <c r="X48" s="412"/>
      <c r="Y48" s="412"/>
    </row>
    <row r="49" spans="23:25" ht="16.5" customHeight="1">
      <c r="W49" s="412"/>
      <c r="X49" s="412"/>
      <c r="Y49" s="412"/>
    </row>
    <row r="50" spans="6:25" ht="16.5" customHeight="1"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</row>
    <row r="51" spans="6:25" ht="16.5" customHeight="1"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</row>
    <row r="52" spans="6:25" ht="16.5" customHeight="1"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</row>
    <row r="53" spans="6:25" ht="16.5" customHeight="1"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</row>
    <row r="54" spans="6:25" ht="16.5" customHeight="1"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</row>
    <row r="55" spans="6:25" ht="16.5" customHeight="1"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</row>
    <row r="56" spans="6:25" ht="16.5" customHeight="1"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</row>
    <row r="57" spans="6:25" ht="16.5" customHeight="1"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</row>
    <row r="58" spans="6:25" ht="16.5" customHeight="1"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</row>
    <row r="59" spans="6:25" ht="16.5" customHeight="1"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</row>
    <row r="60" spans="6:25" ht="16.5" customHeight="1"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</row>
    <row r="61" spans="6:25" ht="16.5" customHeight="1"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</row>
    <row r="62" spans="6:25" ht="16.5" customHeight="1"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</row>
    <row r="63" spans="6:25" ht="16.5" customHeight="1"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</row>
    <row r="64" spans="6:25" ht="16.5" customHeight="1"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</row>
    <row r="65" spans="6:25" ht="16.5" customHeight="1"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</row>
    <row r="66" spans="6:25" ht="16.5" customHeight="1"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</row>
    <row r="67" spans="6:25" ht="16.5" customHeight="1"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</row>
    <row r="68" spans="6:25" ht="16.5" customHeight="1"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</row>
    <row r="69" spans="6:25" ht="16.5" customHeight="1"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</row>
    <row r="70" spans="6:25" ht="16.5" customHeight="1"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</row>
    <row r="71" spans="6:25" ht="16.5" customHeight="1"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</row>
    <row r="72" spans="6:25" ht="16.5" customHeight="1"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</row>
    <row r="73" spans="6:25" ht="16.5" customHeight="1"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</row>
    <row r="74" spans="6:25" ht="16.5" customHeight="1"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</row>
    <row r="75" spans="6:25" ht="16.5" customHeight="1"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6:25" ht="16.5" customHeight="1"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</row>
    <row r="77" spans="6:25" ht="16.5" customHeight="1"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</row>
    <row r="78" spans="6:25" ht="16.5" customHeight="1"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</row>
    <row r="79" spans="6:25" ht="16.5" customHeight="1"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</row>
    <row r="80" spans="6:25" ht="16.5" customHeight="1"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</row>
    <row r="81" spans="6:25" ht="16.5" customHeight="1"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</row>
    <row r="82" spans="6:25" ht="16.5" customHeight="1"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</row>
    <row r="83" spans="6:25" ht="16.5" customHeight="1"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</row>
    <row r="84" spans="6:25" ht="16.5" customHeight="1"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</row>
    <row r="85" spans="6:25" ht="16.5" customHeight="1"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</row>
    <row r="86" spans="6:25" ht="16.5" customHeight="1"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</row>
    <row r="87" spans="6:25" ht="16.5" customHeight="1"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</row>
    <row r="88" spans="6:25" ht="16.5" customHeight="1"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</row>
    <row r="89" spans="6:25" ht="16.5" customHeight="1"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</row>
    <row r="90" spans="6:25" ht="16.5" customHeight="1"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</row>
    <row r="91" spans="6:25" ht="16.5" customHeight="1"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</row>
    <row r="92" spans="6:25" ht="16.5" customHeight="1"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</row>
    <row r="93" spans="6:25" ht="16.5" customHeight="1"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</row>
    <row r="94" spans="6:25" ht="16.5" customHeight="1"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</row>
    <row r="95" spans="6:25" ht="16.5" customHeight="1"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</row>
    <row r="96" spans="6:25" ht="16.5" customHeight="1"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</row>
    <row r="97" spans="6:25" ht="16.5" customHeight="1"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</row>
    <row r="98" spans="6:25" ht="16.5" customHeight="1"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</row>
    <row r="99" spans="6:25" ht="16.5" customHeight="1"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</row>
    <row r="100" spans="6:25" ht="16.5" customHeight="1"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</row>
    <row r="101" spans="6:25" ht="16.5" customHeight="1"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</row>
    <row r="102" spans="6:25" ht="16.5" customHeight="1"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</row>
    <row r="103" spans="6:25" ht="16.5" customHeight="1"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</row>
    <row r="104" spans="6:25" ht="16.5" customHeight="1"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</row>
    <row r="105" spans="6:25" ht="16.5" customHeight="1"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</row>
    <row r="106" spans="6:25" ht="16.5" customHeight="1"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</row>
    <row r="107" spans="6:25" ht="16.5" customHeight="1"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</row>
    <row r="108" spans="6:25" ht="16.5" customHeight="1"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</row>
    <row r="109" spans="6:25" ht="16.5" customHeight="1"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6:25" ht="16.5" customHeight="1"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</row>
    <row r="111" spans="6:25" ht="16.5" customHeight="1"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</row>
    <row r="112" spans="6:25" ht="16.5" customHeight="1"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</row>
    <row r="113" spans="6:25" ht="16.5" customHeight="1"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</row>
    <row r="114" spans="6:25" ht="16.5" customHeight="1"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</row>
    <row r="115" spans="6:25" ht="16.5" customHeight="1"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</row>
    <row r="116" spans="6:25" ht="16.5" customHeight="1"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</row>
    <row r="117" spans="6:25" ht="16.5" customHeight="1"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</row>
    <row r="118" spans="6:25" ht="16.5" customHeight="1"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</row>
    <row r="119" spans="6:25" ht="16.5" customHeight="1"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</row>
    <row r="120" spans="6:25" ht="16.5" customHeight="1"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</row>
    <row r="121" spans="6:25" ht="16.5" customHeight="1"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</row>
    <row r="122" spans="6:25" ht="16.5" customHeight="1"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</row>
    <row r="123" spans="6:25" ht="16.5" customHeight="1"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</row>
    <row r="124" spans="6:25" ht="16.5" customHeight="1"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</row>
    <row r="125" spans="6:25" ht="16.5" customHeight="1"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</row>
    <row r="126" spans="6:25" ht="16.5" customHeight="1"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</row>
    <row r="127" spans="6:25" ht="16.5" customHeight="1"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</row>
    <row r="128" spans="6:25" ht="16.5" customHeight="1"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</row>
    <row r="129" spans="6:25" ht="16.5" customHeight="1"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</row>
    <row r="130" spans="6:25" ht="16.5" customHeight="1"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</row>
    <row r="131" spans="6:25" ht="16.5" customHeight="1"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</row>
    <row r="132" spans="6:25" ht="16.5" customHeight="1"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</row>
    <row r="133" spans="6:25" ht="16.5" customHeight="1"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</row>
    <row r="134" spans="6:25" ht="16.5" customHeight="1"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</row>
    <row r="135" spans="6:25" ht="16.5" customHeight="1"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</row>
    <row r="136" spans="6:25" ht="16.5" customHeight="1"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</row>
    <row r="137" spans="6:25" ht="16.5" customHeight="1"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</row>
    <row r="138" spans="6:25" ht="16.5" customHeight="1"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</row>
    <row r="139" spans="6:25" ht="16.5" customHeight="1"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</row>
    <row r="140" spans="6:25" ht="16.5" customHeight="1"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</row>
    <row r="141" spans="6:25" ht="16.5" customHeight="1"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</row>
    <row r="142" spans="6:25" ht="16.5" customHeight="1"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</row>
    <row r="143" spans="6:25" ht="16.5" customHeight="1"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</row>
    <row r="144" spans="6:25" ht="16.5" customHeight="1"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</row>
    <row r="145" spans="6:25" ht="16.5" customHeight="1"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</row>
    <row r="146" spans="6:25" ht="16.5" customHeight="1"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</row>
    <row r="147" spans="6:25" ht="16.5" customHeight="1"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</row>
    <row r="148" spans="6:25" ht="16.5" customHeight="1"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</row>
    <row r="149" spans="6:25" ht="16.5" customHeight="1"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</row>
    <row r="150" spans="6:25" ht="16.5" customHeight="1"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</row>
    <row r="151" spans="6:25" ht="16.5" customHeight="1">
      <c r="F151" s="412"/>
      <c r="G151" s="412"/>
      <c r="H151" s="412"/>
      <c r="I151" s="412"/>
      <c r="J151" s="412"/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</row>
    <row r="152" spans="6:25" ht="16.5" customHeight="1"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</row>
    <row r="153" spans="6:25" ht="16.5" customHeight="1"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</row>
    <row r="154" spans="6:25" ht="16.5" customHeight="1"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</row>
    <row r="155" spans="6:25" ht="16.5" customHeight="1"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</row>
    <row r="156" spans="6:25" ht="16.5" customHeight="1"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</row>
    <row r="157" spans="6:25" ht="16.5" customHeight="1"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</row>
    <row r="160" ht="12.75"/>
    <row r="161" ht="12.75"/>
    <row r="162" ht="12.75"/>
    <row r="163" ht="12.75"/>
    <row r="164" ht="12.75"/>
  </sheetData>
  <sheetProtection/>
  <printOptions/>
  <pageMargins left="0.7480314960629921" right="0.5511811023622047" top="0.7874015748031497" bottom="0.7086614173228347" header="0" footer="0"/>
  <pageSetup horizontalDpi="600" verticalDpi="600" orientation="landscape" paperSize="9" scale="60" r:id="rId3"/>
  <headerFooter alignWithMargins="0">
    <oddFooter>&amp;L&amp;F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Y159"/>
  <sheetViews>
    <sheetView zoomScale="75" zoomScaleNormal="75" zoomScalePageLayoutView="0" workbookViewId="0" topLeftCell="A1">
      <selection activeCell="A6" sqref="A6"/>
    </sheetView>
  </sheetViews>
  <sheetFormatPr defaultColWidth="11.421875" defaultRowHeight="16.5" customHeight="1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40.7109375" style="9" customWidth="1"/>
    <col min="8" max="8" width="9.7109375" style="9" customWidth="1"/>
    <col min="9" max="9" width="6.00390625" style="9" hidden="1" customWidth="1"/>
    <col min="10" max="11" width="15.7109375" style="9" customWidth="1"/>
    <col min="12" max="14" width="9.7109375" style="9" customWidth="1"/>
    <col min="15" max="15" width="6.421875" style="9" customWidth="1"/>
    <col min="16" max="16" width="12.00390625" style="9" hidden="1" customWidth="1"/>
    <col min="17" max="17" width="16.28125" style="9" hidden="1" customWidth="1"/>
    <col min="18" max="18" width="17.140625" style="9" hidden="1" customWidth="1"/>
    <col min="19" max="20" width="15.421875" style="9" hidden="1" customWidth="1"/>
    <col min="21" max="21" width="9.7109375" style="9" customWidth="1"/>
    <col min="22" max="22" width="15.7109375" style="9" customWidth="1"/>
    <col min="23" max="23" width="4.140625" style="9" customWidth="1"/>
    <col min="24" max="16384" width="11.421875" style="9" customWidth="1"/>
  </cols>
  <sheetData>
    <row r="1" s="3" customFormat="1" ht="26.25">
      <c r="W1" s="5"/>
    </row>
    <row r="2" spans="1:23" s="3" customFormat="1" ht="26.25">
      <c r="A2" s="88"/>
      <c r="B2" s="2" t="str">
        <f>+'TOT-0614'!B2</f>
        <v>ANEXO I al Memorándum D.T.E.E. N°         347   / 2015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3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418"/>
    </row>
    <row r="8" spans="2:23" s="18" customFormat="1" ht="20.25">
      <c r="B8" s="95"/>
      <c r="C8" s="23"/>
      <c r="D8" s="23"/>
      <c r="E8" s="23"/>
      <c r="F8" s="419" t="s">
        <v>24</v>
      </c>
      <c r="N8" s="282"/>
      <c r="O8" s="282"/>
      <c r="P8" s="284"/>
      <c r="Q8" s="23"/>
      <c r="R8" s="23"/>
      <c r="S8" s="23"/>
      <c r="T8" s="23"/>
      <c r="U8" s="23"/>
      <c r="V8" s="23"/>
      <c r="W8" s="420"/>
    </row>
    <row r="9" spans="2:23" s="8" customFormat="1" ht="12.75">
      <c r="B9" s="55"/>
      <c r="C9" s="11"/>
      <c r="D9" s="11"/>
      <c r="E9" s="11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11"/>
      <c r="R9" s="11"/>
      <c r="S9" s="11"/>
      <c r="T9" s="11"/>
      <c r="U9" s="11"/>
      <c r="V9" s="11"/>
      <c r="W9" s="60"/>
    </row>
    <row r="10" spans="2:23" s="18" customFormat="1" ht="20.25">
      <c r="B10" s="95"/>
      <c r="C10" s="23"/>
      <c r="D10" s="23"/>
      <c r="E10" s="23"/>
      <c r="F10" s="421" t="s">
        <v>67</v>
      </c>
      <c r="G10" s="422"/>
      <c r="H10" s="282"/>
      <c r="I10" s="423"/>
      <c r="K10" s="423"/>
      <c r="L10" s="423"/>
      <c r="M10" s="423"/>
      <c r="N10" s="423"/>
      <c r="O10" s="423"/>
      <c r="P10" s="423"/>
      <c r="Q10" s="23"/>
      <c r="R10" s="23"/>
      <c r="S10" s="23"/>
      <c r="T10" s="23"/>
      <c r="U10" s="23"/>
      <c r="V10" s="23"/>
      <c r="W10" s="420"/>
    </row>
    <row r="11" spans="2:23" s="8" customFormat="1" ht="13.5">
      <c r="B11" s="55"/>
      <c r="C11" s="11"/>
      <c r="D11" s="11"/>
      <c r="E11" s="11"/>
      <c r="F11" s="424"/>
      <c r="G11" s="424"/>
      <c r="H11" s="89"/>
      <c r="I11" s="425"/>
      <c r="J11" s="67"/>
      <c r="K11" s="425"/>
      <c r="L11" s="425"/>
      <c r="M11" s="425"/>
      <c r="N11" s="425"/>
      <c r="O11" s="425"/>
      <c r="P11" s="425"/>
      <c r="Q11" s="11"/>
      <c r="R11" s="11"/>
      <c r="S11" s="11"/>
      <c r="T11" s="11"/>
      <c r="U11" s="11"/>
      <c r="V11" s="11"/>
      <c r="W11" s="60"/>
    </row>
    <row r="12" spans="2:23" s="18" customFormat="1" ht="20.25">
      <c r="B12" s="95"/>
      <c r="C12" s="23"/>
      <c r="D12" s="23"/>
      <c r="E12" s="23"/>
      <c r="F12" s="421" t="s">
        <v>77</v>
      </c>
      <c r="G12" s="422"/>
      <c r="H12" s="282"/>
      <c r="I12" s="423"/>
      <c r="K12" s="423"/>
      <c r="L12" s="423"/>
      <c r="M12" s="423"/>
      <c r="N12" s="423"/>
      <c r="O12" s="423"/>
      <c r="P12" s="423"/>
      <c r="Q12" s="23"/>
      <c r="R12" s="23"/>
      <c r="S12" s="23"/>
      <c r="T12" s="23"/>
      <c r="U12" s="23"/>
      <c r="V12" s="23"/>
      <c r="W12" s="420"/>
    </row>
    <row r="13" spans="2:23" s="8" customFormat="1" ht="13.5">
      <c r="B13" s="55"/>
      <c r="C13" s="11"/>
      <c r="D13" s="11"/>
      <c r="E13" s="11"/>
      <c r="F13" s="424"/>
      <c r="G13" s="424"/>
      <c r="H13" s="89"/>
      <c r="I13" s="425"/>
      <c r="J13" s="67"/>
      <c r="K13" s="425"/>
      <c r="L13" s="425"/>
      <c r="M13" s="425"/>
      <c r="N13" s="425"/>
      <c r="O13" s="425"/>
      <c r="P13" s="425"/>
      <c r="Q13" s="11"/>
      <c r="R13" s="11"/>
      <c r="S13" s="11"/>
      <c r="T13" s="11"/>
      <c r="U13" s="11"/>
      <c r="V13" s="11"/>
      <c r="W13" s="60"/>
    </row>
    <row r="14" spans="2:23" s="8" customFormat="1" ht="19.5">
      <c r="B14" s="35" t="str">
        <f>'TOT-0614'!B14</f>
        <v>Desde el 01 al 30 de junio de 2014</v>
      </c>
      <c r="C14" s="39"/>
      <c r="D14" s="39"/>
      <c r="E14" s="39"/>
      <c r="F14" s="39"/>
      <c r="G14" s="39"/>
      <c r="H14" s="39"/>
      <c r="I14" s="426"/>
      <c r="J14" s="426"/>
      <c r="K14" s="426"/>
      <c r="L14" s="426"/>
      <c r="M14" s="426"/>
      <c r="N14" s="426"/>
      <c r="O14" s="426"/>
      <c r="P14" s="426"/>
      <c r="Q14" s="39"/>
      <c r="R14" s="39"/>
      <c r="S14" s="39"/>
      <c r="T14" s="39"/>
      <c r="U14" s="39"/>
      <c r="V14" s="39"/>
      <c r="W14" s="427"/>
    </row>
    <row r="15" spans="2:23" s="8" customFormat="1" ht="14.25" thickBot="1">
      <c r="B15" s="428"/>
      <c r="C15" s="429"/>
      <c r="D15" s="429"/>
      <c r="E15" s="429"/>
      <c r="F15" s="429"/>
      <c r="G15" s="429"/>
      <c r="H15" s="429"/>
      <c r="I15" s="430"/>
      <c r="J15" s="430"/>
      <c r="K15" s="430"/>
      <c r="L15" s="430"/>
      <c r="M15" s="430"/>
      <c r="N15" s="430"/>
      <c r="O15" s="430"/>
      <c r="P15" s="430"/>
      <c r="Q15" s="429"/>
      <c r="R15" s="429"/>
      <c r="S15" s="429"/>
      <c r="T15" s="429"/>
      <c r="U15" s="429"/>
      <c r="V15" s="429"/>
      <c r="W15" s="431"/>
    </row>
    <row r="16" spans="2:23" s="8" customFormat="1" ht="15" thickBot="1" thickTop="1">
      <c r="B16" s="55"/>
      <c r="C16" s="11"/>
      <c r="D16" s="11"/>
      <c r="E16" s="11"/>
      <c r="F16" s="432"/>
      <c r="G16" s="432"/>
      <c r="H16" s="433" t="s">
        <v>69</v>
      </c>
      <c r="I16" s="11"/>
      <c r="J16" s="67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60"/>
    </row>
    <row r="17" spans="2:23" s="8" customFormat="1" ht="16.5" customHeight="1" thickBot="1" thickTop="1">
      <c r="B17" s="55"/>
      <c r="C17" s="11"/>
      <c r="D17" s="11"/>
      <c r="E17" s="11"/>
      <c r="F17" s="434" t="s">
        <v>70</v>
      </c>
      <c r="G17" s="435" t="s">
        <v>76</v>
      </c>
      <c r="H17" s="436">
        <v>200</v>
      </c>
      <c r="V17" s="109"/>
      <c r="W17" s="60"/>
    </row>
    <row r="18" spans="2:23" s="8" customFormat="1" ht="16.5" customHeight="1" thickBot="1" thickTop="1">
      <c r="B18" s="55"/>
      <c r="C18" s="11"/>
      <c r="D18" s="11"/>
      <c r="E18" s="11"/>
      <c r="F18" s="437" t="s">
        <v>71</v>
      </c>
      <c r="G18" s="438" t="s">
        <v>76</v>
      </c>
      <c r="H18" s="436">
        <v>100</v>
      </c>
      <c r="O18" s="11"/>
      <c r="P18" s="11"/>
      <c r="Q18" s="11"/>
      <c r="R18" s="11"/>
      <c r="S18" s="11"/>
      <c r="T18" s="11"/>
      <c r="U18" s="11"/>
      <c r="V18" s="11"/>
      <c r="W18" s="60"/>
    </row>
    <row r="19" spans="2:23" s="8" customFormat="1" ht="16.5" customHeight="1" thickBot="1" thickTop="1">
      <c r="B19" s="55"/>
      <c r="C19" s="11"/>
      <c r="D19" s="11"/>
      <c r="E19" s="11"/>
      <c r="F19" s="439" t="s">
        <v>72</v>
      </c>
      <c r="G19" s="438">
        <v>55.33</v>
      </c>
      <c r="H19" s="436">
        <v>40</v>
      </c>
      <c r="K19" s="107"/>
      <c r="L19" s="108"/>
      <c r="M19" s="11"/>
      <c r="O19" s="11"/>
      <c r="Q19" s="11"/>
      <c r="R19" s="11"/>
      <c r="S19" s="11"/>
      <c r="T19" s="11"/>
      <c r="U19" s="11"/>
      <c r="V19" s="11"/>
      <c r="W19" s="60"/>
    </row>
    <row r="20" spans="2:23" s="8" customFormat="1" ht="16.5" customHeight="1" thickBot="1" thickTop="1">
      <c r="B20" s="55"/>
      <c r="C20" s="110">
        <v>3</v>
      </c>
      <c r="D20" s="110">
        <v>4</v>
      </c>
      <c r="E20" s="110">
        <v>5</v>
      </c>
      <c r="F20" s="110">
        <v>6</v>
      </c>
      <c r="G20" s="110">
        <v>7</v>
      </c>
      <c r="H20" s="110">
        <v>8</v>
      </c>
      <c r="I20" s="110">
        <v>9</v>
      </c>
      <c r="J20" s="110">
        <v>10</v>
      </c>
      <c r="K20" s="110">
        <v>11</v>
      </c>
      <c r="L20" s="110">
        <v>12</v>
      </c>
      <c r="M20" s="110">
        <v>13</v>
      </c>
      <c r="N20" s="110">
        <v>14</v>
      </c>
      <c r="O20" s="110">
        <v>15</v>
      </c>
      <c r="P20" s="110">
        <v>16</v>
      </c>
      <c r="Q20" s="110">
        <v>17</v>
      </c>
      <c r="R20" s="110">
        <v>18</v>
      </c>
      <c r="S20" s="110">
        <v>19</v>
      </c>
      <c r="T20" s="110">
        <v>20</v>
      </c>
      <c r="U20" s="110">
        <v>21</v>
      </c>
      <c r="V20" s="110">
        <v>22</v>
      </c>
      <c r="W20" s="60"/>
    </row>
    <row r="21" spans="2:23" s="8" customFormat="1" ht="33.75" customHeight="1" thickBot="1" thickTop="1">
      <c r="B21" s="55"/>
      <c r="C21" s="316" t="s">
        <v>29</v>
      </c>
      <c r="D21" s="111" t="s">
        <v>30</v>
      </c>
      <c r="E21" s="111" t="s">
        <v>31</v>
      </c>
      <c r="F21" s="114" t="s">
        <v>60</v>
      </c>
      <c r="G21" s="440" t="s">
        <v>61</v>
      </c>
      <c r="H21" s="441" t="s">
        <v>32</v>
      </c>
      <c r="I21" s="321" t="s">
        <v>36</v>
      </c>
      <c r="J21" s="112" t="s">
        <v>37</v>
      </c>
      <c r="K21" s="440" t="s">
        <v>38</v>
      </c>
      <c r="L21" s="442" t="s">
        <v>39</v>
      </c>
      <c r="M21" s="442" t="s">
        <v>40</v>
      </c>
      <c r="N21" s="119" t="s">
        <v>316</v>
      </c>
      <c r="O21" s="118" t="s">
        <v>43</v>
      </c>
      <c r="P21" s="443" t="s">
        <v>35</v>
      </c>
      <c r="Q21" s="444" t="s">
        <v>73</v>
      </c>
      <c r="R21" s="445" t="s">
        <v>74</v>
      </c>
      <c r="S21" s="446"/>
      <c r="T21" s="447" t="s">
        <v>48</v>
      </c>
      <c r="U21" s="130" t="s">
        <v>50</v>
      </c>
      <c r="V21" s="320" t="s">
        <v>51</v>
      </c>
      <c r="W21" s="60"/>
    </row>
    <row r="22" spans="2:23" s="8" customFormat="1" ht="16.5" customHeight="1" thickTop="1">
      <c r="B22" s="55"/>
      <c r="C22" s="330"/>
      <c r="D22" s="330"/>
      <c r="E22" s="330"/>
      <c r="F22" s="448"/>
      <c r="G22" s="448"/>
      <c r="H22" s="448"/>
      <c r="I22" s="272"/>
      <c r="J22" s="448"/>
      <c r="K22" s="448"/>
      <c r="L22" s="448"/>
      <c r="M22" s="448"/>
      <c r="N22" s="448"/>
      <c r="O22" s="448"/>
      <c r="P22" s="449"/>
      <c r="Q22" s="450"/>
      <c r="R22" s="451"/>
      <c r="S22" s="452"/>
      <c r="T22" s="453"/>
      <c r="U22" s="448"/>
      <c r="V22" s="454"/>
      <c r="W22" s="60"/>
    </row>
    <row r="23" spans="2:23" s="8" customFormat="1" ht="16.5" customHeight="1">
      <c r="B23" s="55"/>
      <c r="C23" s="150"/>
      <c r="D23" s="150"/>
      <c r="E23" s="150"/>
      <c r="F23" s="455"/>
      <c r="G23" s="455"/>
      <c r="H23" s="455"/>
      <c r="I23" s="456"/>
      <c r="J23" s="455"/>
      <c r="K23" s="455"/>
      <c r="L23" s="455"/>
      <c r="M23" s="455"/>
      <c r="N23" s="455"/>
      <c r="O23" s="455"/>
      <c r="P23" s="457"/>
      <c r="Q23" s="458"/>
      <c r="R23" s="459"/>
      <c r="S23" s="460"/>
      <c r="T23" s="461"/>
      <c r="U23" s="455"/>
      <c r="V23" s="462"/>
      <c r="W23" s="60"/>
    </row>
    <row r="24" spans="2:23" s="8" customFormat="1" ht="16.5" customHeight="1">
      <c r="B24" s="55"/>
      <c r="C24" s="150">
        <v>42</v>
      </c>
      <c r="D24" s="150">
        <v>275870</v>
      </c>
      <c r="E24" s="169">
        <v>4868</v>
      </c>
      <c r="F24" s="463" t="s">
        <v>372</v>
      </c>
      <c r="G24" s="463" t="s">
        <v>373</v>
      </c>
      <c r="H24" s="464">
        <v>132</v>
      </c>
      <c r="I24" s="465">
        <f aca="true" t="shared" si="0" ref="I24:I43">IF(H24=500,$G$17,IF(H24=220,$G$18,$G$19))</f>
        <v>55.33</v>
      </c>
      <c r="J24" s="466">
        <v>41802.62013888889</v>
      </c>
      <c r="K24" s="467">
        <v>41802.669444444444</v>
      </c>
      <c r="L24" s="468">
        <f aca="true" t="shared" si="1" ref="L24:L43">IF(F24="","",(K24-J24)*24)</f>
        <v>1.1833333333488554</v>
      </c>
      <c r="M24" s="469">
        <f aca="true" t="shared" si="2" ref="M24:M43">IF(F24="","",ROUND((K24-J24)*24*60,0))</f>
        <v>71</v>
      </c>
      <c r="N24" s="178" t="s">
        <v>332</v>
      </c>
      <c r="O24" s="180" t="str">
        <f aca="true" t="shared" si="3" ref="O24:O43">IF(F24="","",IF(N24="P","--","NO"))</f>
        <v>--</v>
      </c>
      <c r="P24" s="470">
        <f aca="true" t="shared" si="4" ref="P24:P43">IF(H24=500,$H$17,IF(H24=220,$H$18,$H$19))</f>
        <v>40</v>
      </c>
      <c r="Q24" s="471">
        <f aca="true" t="shared" si="5" ref="Q24:Q43">IF(N24="P",I24*P24*ROUND(M24/60,2)*0.1,"--")</f>
        <v>261.15759999999995</v>
      </c>
      <c r="R24" s="459" t="str">
        <f aca="true" t="shared" si="6" ref="R24:R43">IF(AND(N24="F",O24="NO"),I24*P24,"--")</f>
        <v>--</v>
      </c>
      <c r="S24" s="460" t="str">
        <f aca="true" t="shared" si="7" ref="S24:S43">IF(N24="F",I24*P24*ROUND(M24/60,2),"--")</f>
        <v>--</v>
      </c>
      <c r="T24" s="461" t="str">
        <f aca="true" t="shared" si="8" ref="T24:T43">IF(N24="RF",I24*P24*ROUND(M24/60,2),"--")</f>
        <v>--</v>
      </c>
      <c r="U24" s="180" t="s">
        <v>84</v>
      </c>
      <c r="V24" s="472">
        <f aca="true" t="shared" si="9" ref="V24:V43">IF(F24="","",SUM(Q24:T24)*IF(U24="SI",1,2))</f>
        <v>261.15759999999995</v>
      </c>
      <c r="W24" s="60"/>
    </row>
    <row r="25" spans="2:23" s="8" customFormat="1" ht="16.5" customHeight="1">
      <c r="B25" s="55"/>
      <c r="C25" s="150"/>
      <c r="D25" s="150"/>
      <c r="E25" s="150"/>
      <c r="F25" s="463"/>
      <c r="G25" s="463"/>
      <c r="H25" s="464"/>
      <c r="I25" s="465">
        <f t="shared" si="0"/>
        <v>55.33</v>
      </c>
      <c r="J25" s="466"/>
      <c r="K25" s="467"/>
      <c r="L25" s="468">
        <f t="shared" si="1"/>
      </c>
      <c r="M25" s="469">
        <f t="shared" si="2"/>
      </c>
      <c r="N25" s="178"/>
      <c r="O25" s="180">
        <f t="shared" si="3"/>
      </c>
      <c r="P25" s="470">
        <f t="shared" si="4"/>
        <v>40</v>
      </c>
      <c r="Q25" s="471" t="str">
        <f t="shared" si="5"/>
        <v>--</v>
      </c>
      <c r="R25" s="459" t="str">
        <f t="shared" si="6"/>
        <v>--</v>
      </c>
      <c r="S25" s="460" t="str">
        <f t="shared" si="7"/>
        <v>--</v>
      </c>
      <c r="T25" s="461" t="str">
        <f t="shared" si="8"/>
        <v>--</v>
      </c>
      <c r="U25" s="180">
        <f aca="true" t="shared" si="10" ref="U25:U43">IF(F25="","","SI")</f>
      </c>
      <c r="V25" s="472">
        <f t="shared" si="9"/>
      </c>
      <c r="W25" s="60"/>
    </row>
    <row r="26" spans="2:23" s="8" customFormat="1" ht="16.5" customHeight="1">
      <c r="B26" s="55"/>
      <c r="C26" s="150"/>
      <c r="D26" s="150"/>
      <c r="E26" s="169"/>
      <c r="F26" s="463"/>
      <c r="G26" s="463"/>
      <c r="H26" s="464"/>
      <c r="I26" s="465">
        <f t="shared" si="0"/>
        <v>55.33</v>
      </c>
      <c r="J26" s="466"/>
      <c r="K26" s="467"/>
      <c r="L26" s="468">
        <f t="shared" si="1"/>
      </c>
      <c r="M26" s="469">
        <f t="shared" si="2"/>
      </c>
      <c r="N26" s="178"/>
      <c r="O26" s="180">
        <f t="shared" si="3"/>
      </c>
      <c r="P26" s="470">
        <f t="shared" si="4"/>
        <v>40</v>
      </c>
      <c r="Q26" s="471" t="str">
        <f t="shared" si="5"/>
        <v>--</v>
      </c>
      <c r="R26" s="459" t="str">
        <f t="shared" si="6"/>
        <v>--</v>
      </c>
      <c r="S26" s="460" t="str">
        <f t="shared" si="7"/>
        <v>--</v>
      </c>
      <c r="T26" s="461" t="str">
        <f t="shared" si="8"/>
        <v>--</v>
      </c>
      <c r="U26" s="180">
        <f t="shared" si="10"/>
      </c>
      <c r="V26" s="472">
        <f t="shared" si="9"/>
      </c>
      <c r="W26" s="60"/>
    </row>
    <row r="27" spans="2:23" s="8" customFormat="1" ht="16.5" customHeight="1">
      <c r="B27" s="55"/>
      <c r="C27" s="150"/>
      <c r="D27" s="150"/>
      <c r="E27" s="150"/>
      <c r="F27" s="463"/>
      <c r="G27" s="463"/>
      <c r="H27" s="464"/>
      <c r="I27" s="465">
        <f t="shared" si="0"/>
        <v>55.33</v>
      </c>
      <c r="J27" s="466"/>
      <c r="K27" s="467"/>
      <c r="L27" s="468">
        <f t="shared" si="1"/>
      </c>
      <c r="M27" s="469">
        <f t="shared" si="2"/>
      </c>
      <c r="N27" s="178"/>
      <c r="O27" s="180">
        <f t="shared" si="3"/>
      </c>
      <c r="P27" s="470">
        <f t="shared" si="4"/>
        <v>40</v>
      </c>
      <c r="Q27" s="471" t="str">
        <f t="shared" si="5"/>
        <v>--</v>
      </c>
      <c r="R27" s="459" t="str">
        <f t="shared" si="6"/>
        <v>--</v>
      </c>
      <c r="S27" s="460" t="str">
        <f t="shared" si="7"/>
        <v>--</v>
      </c>
      <c r="T27" s="461" t="str">
        <f t="shared" si="8"/>
        <v>--</v>
      </c>
      <c r="U27" s="180">
        <f t="shared" si="10"/>
      </c>
      <c r="V27" s="472">
        <f t="shared" si="9"/>
      </c>
      <c r="W27" s="60"/>
    </row>
    <row r="28" spans="2:23" s="8" customFormat="1" ht="16.5" customHeight="1">
      <c r="B28" s="55"/>
      <c r="C28" s="150"/>
      <c r="D28" s="150"/>
      <c r="E28" s="169"/>
      <c r="F28" s="463"/>
      <c r="G28" s="463"/>
      <c r="H28" s="464"/>
      <c r="I28" s="465">
        <f t="shared" si="0"/>
        <v>55.33</v>
      </c>
      <c r="J28" s="466"/>
      <c r="K28" s="467"/>
      <c r="L28" s="468">
        <f t="shared" si="1"/>
      </c>
      <c r="M28" s="469">
        <f t="shared" si="2"/>
      </c>
      <c r="N28" s="178"/>
      <c r="O28" s="180">
        <f t="shared" si="3"/>
      </c>
      <c r="P28" s="470">
        <f t="shared" si="4"/>
        <v>40</v>
      </c>
      <c r="Q28" s="471" t="str">
        <f t="shared" si="5"/>
        <v>--</v>
      </c>
      <c r="R28" s="459" t="str">
        <f t="shared" si="6"/>
        <v>--</v>
      </c>
      <c r="S28" s="460" t="str">
        <f t="shared" si="7"/>
        <v>--</v>
      </c>
      <c r="T28" s="461" t="str">
        <f t="shared" si="8"/>
        <v>--</v>
      </c>
      <c r="U28" s="180">
        <f t="shared" si="10"/>
      </c>
      <c r="V28" s="472">
        <f t="shared" si="9"/>
      </c>
      <c r="W28" s="60"/>
    </row>
    <row r="29" spans="2:23" s="8" customFormat="1" ht="16.5" customHeight="1">
      <c r="B29" s="55"/>
      <c r="C29" s="150"/>
      <c r="D29" s="150"/>
      <c r="E29" s="150"/>
      <c r="F29" s="463"/>
      <c r="G29" s="463"/>
      <c r="H29" s="464"/>
      <c r="I29" s="465">
        <f t="shared" si="0"/>
        <v>55.33</v>
      </c>
      <c r="J29" s="466"/>
      <c r="K29" s="467"/>
      <c r="L29" s="468">
        <f t="shared" si="1"/>
      </c>
      <c r="M29" s="469">
        <f t="shared" si="2"/>
      </c>
      <c r="N29" s="178"/>
      <c r="O29" s="180">
        <f t="shared" si="3"/>
      </c>
      <c r="P29" s="470">
        <f t="shared" si="4"/>
        <v>40</v>
      </c>
      <c r="Q29" s="471" t="str">
        <f t="shared" si="5"/>
        <v>--</v>
      </c>
      <c r="R29" s="459" t="str">
        <f t="shared" si="6"/>
        <v>--</v>
      </c>
      <c r="S29" s="460" t="str">
        <f t="shared" si="7"/>
        <v>--</v>
      </c>
      <c r="T29" s="461" t="str">
        <f t="shared" si="8"/>
        <v>--</v>
      </c>
      <c r="U29" s="180">
        <f t="shared" si="10"/>
      </c>
      <c r="V29" s="472">
        <f t="shared" si="9"/>
      </c>
      <c r="W29" s="60"/>
    </row>
    <row r="30" spans="2:23" s="8" customFormat="1" ht="16.5" customHeight="1">
      <c r="B30" s="55"/>
      <c r="C30" s="150"/>
      <c r="D30" s="150"/>
      <c r="E30" s="169"/>
      <c r="F30" s="463"/>
      <c r="G30" s="463"/>
      <c r="H30" s="464"/>
      <c r="I30" s="465">
        <f t="shared" si="0"/>
        <v>55.33</v>
      </c>
      <c r="J30" s="466"/>
      <c r="K30" s="467"/>
      <c r="L30" s="468">
        <f t="shared" si="1"/>
      </c>
      <c r="M30" s="469">
        <f t="shared" si="2"/>
      </c>
      <c r="N30" s="178"/>
      <c r="O30" s="180">
        <f t="shared" si="3"/>
      </c>
      <c r="P30" s="470">
        <f t="shared" si="4"/>
        <v>40</v>
      </c>
      <c r="Q30" s="471" t="str">
        <f t="shared" si="5"/>
        <v>--</v>
      </c>
      <c r="R30" s="459" t="str">
        <f t="shared" si="6"/>
        <v>--</v>
      </c>
      <c r="S30" s="460" t="str">
        <f t="shared" si="7"/>
        <v>--</v>
      </c>
      <c r="T30" s="461" t="str">
        <f t="shared" si="8"/>
        <v>--</v>
      </c>
      <c r="U30" s="180">
        <f t="shared" si="10"/>
      </c>
      <c r="V30" s="472">
        <f t="shared" si="9"/>
      </c>
      <c r="W30" s="60"/>
    </row>
    <row r="31" spans="2:23" s="8" customFormat="1" ht="16.5" customHeight="1">
      <c r="B31" s="55"/>
      <c r="C31" s="150"/>
      <c r="D31" s="150"/>
      <c r="E31" s="150"/>
      <c r="F31" s="463"/>
      <c r="G31" s="463"/>
      <c r="H31" s="464"/>
      <c r="I31" s="465">
        <f t="shared" si="0"/>
        <v>55.33</v>
      </c>
      <c r="J31" s="466"/>
      <c r="K31" s="467"/>
      <c r="L31" s="468">
        <f t="shared" si="1"/>
      </c>
      <c r="M31" s="469">
        <f t="shared" si="2"/>
      </c>
      <c r="N31" s="178"/>
      <c r="O31" s="180">
        <f t="shared" si="3"/>
      </c>
      <c r="P31" s="470">
        <f t="shared" si="4"/>
        <v>40</v>
      </c>
      <c r="Q31" s="471" t="str">
        <f t="shared" si="5"/>
        <v>--</v>
      </c>
      <c r="R31" s="459" t="str">
        <f t="shared" si="6"/>
        <v>--</v>
      </c>
      <c r="S31" s="460" t="str">
        <f t="shared" si="7"/>
        <v>--</v>
      </c>
      <c r="T31" s="461" t="str">
        <f t="shared" si="8"/>
        <v>--</v>
      </c>
      <c r="U31" s="180">
        <f t="shared" si="10"/>
      </c>
      <c r="V31" s="472">
        <f t="shared" si="9"/>
      </c>
      <c r="W31" s="60"/>
    </row>
    <row r="32" spans="2:23" s="8" customFormat="1" ht="16.5" customHeight="1">
      <c r="B32" s="55"/>
      <c r="C32" s="150"/>
      <c r="D32" s="150"/>
      <c r="E32" s="169"/>
      <c r="F32" s="463"/>
      <c r="G32" s="463"/>
      <c r="H32" s="464"/>
      <c r="I32" s="465">
        <f t="shared" si="0"/>
        <v>55.33</v>
      </c>
      <c r="J32" s="466"/>
      <c r="K32" s="467"/>
      <c r="L32" s="468">
        <f t="shared" si="1"/>
      </c>
      <c r="M32" s="469">
        <f t="shared" si="2"/>
      </c>
      <c r="N32" s="178"/>
      <c r="O32" s="180">
        <f t="shared" si="3"/>
      </c>
      <c r="P32" s="470">
        <f t="shared" si="4"/>
        <v>40</v>
      </c>
      <c r="Q32" s="471" t="str">
        <f t="shared" si="5"/>
        <v>--</v>
      </c>
      <c r="R32" s="459" t="str">
        <f t="shared" si="6"/>
        <v>--</v>
      </c>
      <c r="S32" s="460" t="str">
        <f t="shared" si="7"/>
        <v>--</v>
      </c>
      <c r="T32" s="461" t="str">
        <f t="shared" si="8"/>
        <v>--</v>
      </c>
      <c r="U32" s="180">
        <f t="shared" si="10"/>
      </c>
      <c r="V32" s="472">
        <f t="shared" si="9"/>
      </c>
      <c r="W32" s="60"/>
    </row>
    <row r="33" spans="2:23" s="8" customFormat="1" ht="16.5" customHeight="1">
      <c r="B33" s="55"/>
      <c r="C33" s="150"/>
      <c r="D33" s="150"/>
      <c r="E33" s="150"/>
      <c r="F33" s="463"/>
      <c r="G33" s="463"/>
      <c r="H33" s="464"/>
      <c r="I33" s="465">
        <f t="shared" si="0"/>
        <v>55.33</v>
      </c>
      <c r="J33" s="466"/>
      <c r="K33" s="467"/>
      <c r="L33" s="468">
        <f t="shared" si="1"/>
      </c>
      <c r="M33" s="469">
        <f t="shared" si="2"/>
      </c>
      <c r="N33" s="178"/>
      <c r="O33" s="180">
        <f t="shared" si="3"/>
      </c>
      <c r="P33" s="470">
        <f t="shared" si="4"/>
        <v>40</v>
      </c>
      <c r="Q33" s="471" t="str">
        <f t="shared" si="5"/>
        <v>--</v>
      </c>
      <c r="R33" s="459" t="str">
        <f t="shared" si="6"/>
        <v>--</v>
      </c>
      <c r="S33" s="460" t="str">
        <f t="shared" si="7"/>
        <v>--</v>
      </c>
      <c r="T33" s="461" t="str">
        <f t="shared" si="8"/>
        <v>--</v>
      </c>
      <c r="U33" s="180">
        <f t="shared" si="10"/>
      </c>
      <c r="V33" s="472">
        <f t="shared" si="9"/>
      </c>
      <c r="W33" s="60"/>
    </row>
    <row r="34" spans="2:23" s="8" customFormat="1" ht="16.5" customHeight="1">
      <c r="B34" s="55"/>
      <c r="C34" s="150"/>
      <c r="D34" s="150"/>
      <c r="E34" s="169"/>
      <c r="F34" s="463"/>
      <c r="G34" s="463"/>
      <c r="H34" s="464"/>
      <c r="I34" s="465">
        <f t="shared" si="0"/>
        <v>55.33</v>
      </c>
      <c r="J34" s="466"/>
      <c r="K34" s="467"/>
      <c r="L34" s="468">
        <f t="shared" si="1"/>
      </c>
      <c r="M34" s="469">
        <f t="shared" si="2"/>
      </c>
      <c r="N34" s="178"/>
      <c r="O34" s="180">
        <f t="shared" si="3"/>
      </c>
      <c r="P34" s="470">
        <f t="shared" si="4"/>
        <v>40</v>
      </c>
      <c r="Q34" s="471" t="str">
        <f t="shared" si="5"/>
        <v>--</v>
      </c>
      <c r="R34" s="459" t="str">
        <f t="shared" si="6"/>
        <v>--</v>
      </c>
      <c r="S34" s="460" t="str">
        <f t="shared" si="7"/>
        <v>--</v>
      </c>
      <c r="T34" s="461" t="str">
        <f t="shared" si="8"/>
        <v>--</v>
      </c>
      <c r="U34" s="180">
        <f t="shared" si="10"/>
      </c>
      <c r="V34" s="472">
        <f t="shared" si="9"/>
      </c>
      <c r="W34" s="60"/>
    </row>
    <row r="35" spans="2:23" s="8" customFormat="1" ht="16.5" customHeight="1">
      <c r="B35" s="55"/>
      <c r="C35" s="150"/>
      <c r="D35" s="150"/>
      <c r="E35" s="150"/>
      <c r="F35" s="463"/>
      <c r="G35" s="463"/>
      <c r="H35" s="464"/>
      <c r="I35" s="465">
        <f t="shared" si="0"/>
        <v>55.33</v>
      </c>
      <c r="J35" s="466"/>
      <c r="K35" s="467"/>
      <c r="L35" s="468">
        <f t="shared" si="1"/>
      </c>
      <c r="M35" s="469">
        <f t="shared" si="2"/>
      </c>
      <c r="N35" s="178"/>
      <c r="O35" s="180">
        <f t="shared" si="3"/>
      </c>
      <c r="P35" s="470">
        <f t="shared" si="4"/>
        <v>40</v>
      </c>
      <c r="Q35" s="471" t="str">
        <f t="shared" si="5"/>
        <v>--</v>
      </c>
      <c r="R35" s="459" t="str">
        <f t="shared" si="6"/>
        <v>--</v>
      </c>
      <c r="S35" s="460" t="str">
        <f t="shared" si="7"/>
        <v>--</v>
      </c>
      <c r="T35" s="461" t="str">
        <f t="shared" si="8"/>
        <v>--</v>
      </c>
      <c r="U35" s="180">
        <f t="shared" si="10"/>
      </c>
      <c r="V35" s="472">
        <f t="shared" si="9"/>
      </c>
      <c r="W35" s="60"/>
    </row>
    <row r="36" spans="2:23" s="8" customFormat="1" ht="16.5" customHeight="1">
      <c r="B36" s="55"/>
      <c r="C36" s="150"/>
      <c r="D36" s="150"/>
      <c r="E36" s="169"/>
      <c r="F36" s="463"/>
      <c r="G36" s="463"/>
      <c r="H36" s="464"/>
      <c r="I36" s="465">
        <f t="shared" si="0"/>
        <v>55.33</v>
      </c>
      <c r="J36" s="466"/>
      <c r="K36" s="467"/>
      <c r="L36" s="468">
        <f t="shared" si="1"/>
      </c>
      <c r="M36" s="469">
        <f t="shared" si="2"/>
      </c>
      <c r="N36" s="178"/>
      <c r="O36" s="180">
        <f t="shared" si="3"/>
      </c>
      <c r="P36" s="470">
        <f t="shared" si="4"/>
        <v>40</v>
      </c>
      <c r="Q36" s="471" t="str">
        <f t="shared" si="5"/>
        <v>--</v>
      </c>
      <c r="R36" s="459" t="str">
        <f t="shared" si="6"/>
        <v>--</v>
      </c>
      <c r="S36" s="460" t="str">
        <f t="shared" si="7"/>
        <v>--</v>
      </c>
      <c r="T36" s="461" t="str">
        <f t="shared" si="8"/>
        <v>--</v>
      </c>
      <c r="U36" s="180">
        <f t="shared" si="10"/>
      </c>
      <c r="V36" s="472">
        <f t="shared" si="9"/>
      </c>
      <c r="W36" s="60"/>
    </row>
    <row r="37" spans="2:23" s="8" customFormat="1" ht="16.5" customHeight="1">
      <c r="B37" s="55"/>
      <c r="C37" s="150"/>
      <c r="D37" s="150"/>
      <c r="E37" s="150"/>
      <c r="F37" s="463"/>
      <c r="G37" s="463"/>
      <c r="H37" s="464"/>
      <c r="I37" s="465">
        <f t="shared" si="0"/>
        <v>55.33</v>
      </c>
      <c r="J37" s="466"/>
      <c r="K37" s="467"/>
      <c r="L37" s="468">
        <f t="shared" si="1"/>
      </c>
      <c r="M37" s="469">
        <f t="shared" si="2"/>
      </c>
      <c r="N37" s="178"/>
      <c r="O37" s="180">
        <f t="shared" si="3"/>
      </c>
      <c r="P37" s="470">
        <f t="shared" si="4"/>
        <v>40</v>
      </c>
      <c r="Q37" s="471" t="str">
        <f t="shared" si="5"/>
        <v>--</v>
      </c>
      <c r="R37" s="459" t="str">
        <f t="shared" si="6"/>
        <v>--</v>
      </c>
      <c r="S37" s="460" t="str">
        <f t="shared" si="7"/>
        <v>--</v>
      </c>
      <c r="T37" s="461" t="str">
        <f t="shared" si="8"/>
        <v>--</v>
      </c>
      <c r="U37" s="180">
        <f t="shared" si="10"/>
      </c>
      <c r="V37" s="472">
        <f t="shared" si="9"/>
      </c>
      <c r="W37" s="60"/>
    </row>
    <row r="38" spans="2:23" s="8" customFormat="1" ht="16.5" customHeight="1">
      <c r="B38" s="55"/>
      <c r="C38" s="150"/>
      <c r="D38" s="150"/>
      <c r="E38" s="169"/>
      <c r="F38" s="463"/>
      <c r="G38" s="463"/>
      <c r="H38" s="464"/>
      <c r="I38" s="465">
        <f t="shared" si="0"/>
        <v>55.33</v>
      </c>
      <c r="J38" s="466"/>
      <c r="K38" s="467"/>
      <c r="L38" s="468">
        <f t="shared" si="1"/>
      </c>
      <c r="M38" s="469">
        <f t="shared" si="2"/>
      </c>
      <c r="N38" s="178"/>
      <c r="O38" s="180">
        <f t="shared" si="3"/>
      </c>
      <c r="P38" s="470">
        <f t="shared" si="4"/>
        <v>40</v>
      </c>
      <c r="Q38" s="471" t="str">
        <f t="shared" si="5"/>
        <v>--</v>
      </c>
      <c r="R38" s="459" t="str">
        <f t="shared" si="6"/>
        <v>--</v>
      </c>
      <c r="S38" s="460" t="str">
        <f t="shared" si="7"/>
        <v>--</v>
      </c>
      <c r="T38" s="461" t="str">
        <f t="shared" si="8"/>
        <v>--</v>
      </c>
      <c r="U38" s="180">
        <f t="shared" si="10"/>
      </c>
      <c r="V38" s="472">
        <f t="shared" si="9"/>
      </c>
      <c r="W38" s="60"/>
    </row>
    <row r="39" spans="2:23" s="8" customFormat="1" ht="16.5" customHeight="1">
      <c r="B39" s="55"/>
      <c r="C39" s="150"/>
      <c r="D39" s="150"/>
      <c r="E39" s="150"/>
      <c r="F39" s="463"/>
      <c r="G39" s="463"/>
      <c r="H39" s="464"/>
      <c r="I39" s="465">
        <f t="shared" si="0"/>
        <v>55.33</v>
      </c>
      <c r="J39" s="466"/>
      <c r="K39" s="467"/>
      <c r="L39" s="468">
        <f t="shared" si="1"/>
      </c>
      <c r="M39" s="469">
        <f t="shared" si="2"/>
      </c>
      <c r="N39" s="178"/>
      <c r="O39" s="180">
        <f t="shared" si="3"/>
      </c>
      <c r="P39" s="470">
        <f t="shared" si="4"/>
        <v>40</v>
      </c>
      <c r="Q39" s="471" t="str">
        <f t="shared" si="5"/>
        <v>--</v>
      </c>
      <c r="R39" s="459" t="str">
        <f t="shared" si="6"/>
        <v>--</v>
      </c>
      <c r="S39" s="460" t="str">
        <f t="shared" si="7"/>
        <v>--</v>
      </c>
      <c r="T39" s="461" t="str">
        <f t="shared" si="8"/>
        <v>--</v>
      </c>
      <c r="U39" s="180">
        <f t="shared" si="10"/>
      </c>
      <c r="V39" s="472">
        <f t="shared" si="9"/>
      </c>
      <c r="W39" s="60"/>
    </row>
    <row r="40" spans="2:23" s="8" customFormat="1" ht="16.5" customHeight="1">
      <c r="B40" s="55"/>
      <c r="C40" s="150"/>
      <c r="D40" s="150"/>
      <c r="E40" s="169"/>
      <c r="F40" s="463"/>
      <c r="G40" s="463"/>
      <c r="H40" s="464"/>
      <c r="I40" s="465">
        <f t="shared" si="0"/>
        <v>55.33</v>
      </c>
      <c r="J40" s="466"/>
      <c r="K40" s="467"/>
      <c r="L40" s="468">
        <f t="shared" si="1"/>
      </c>
      <c r="M40" s="469">
        <f t="shared" si="2"/>
      </c>
      <c r="N40" s="178"/>
      <c r="O40" s="180">
        <f t="shared" si="3"/>
      </c>
      <c r="P40" s="470">
        <f t="shared" si="4"/>
        <v>40</v>
      </c>
      <c r="Q40" s="471" t="str">
        <f t="shared" si="5"/>
        <v>--</v>
      </c>
      <c r="R40" s="459" t="str">
        <f t="shared" si="6"/>
        <v>--</v>
      </c>
      <c r="S40" s="460" t="str">
        <f t="shared" si="7"/>
        <v>--</v>
      </c>
      <c r="T40" s="461" t="str">
        <f t="shared" si="8"/>
        <v>--</v>
      </c>
      <c r="U40" s="180">
        <f t="shared" si="10"/>
      </c>
      <c r="V40" s="472">
        <f t="shared" si="9"/>
      </c>
      <c r="W40" s="60"/>
    </row>
    <row r="41" spans="2:23" s="8" customFormat="1" ht="16.5" customHeight="1">
      <c r="B41" s="55"/>
      <c r="C41" s="150"/>
      <c r="D41" s="150"/>
      <c r="E41" s="150"/>
      <c r="F41" s="463"/>
      <c r="G41" s="463"/>
      <c r="H41" s="464"/>
      <c r="I41" s="465">
        <f t="shared" si="0"/>
        <v>55.33</v>
      </c>
      <c r="J41" s="466"/>
      <c r="K41" s="467"/>
      <c r="L41" s="468">
        <f t="shared" si="1"/>
      </c>
      <c r="M41" s="469">
        <f t="shared" si="2"/>
      </c>
      <c r="N41" s="178"/>
      <c r="O41" s="180">
        <f t="shared" si="3"/>
      </c>
      <c r="P41" s="470">
        <f t="shared" si="4"/>
        <v>40</v>
      </c>
      <c r="Q41" s="471" t="str">
        <f t="shared" si="5"/>
        <v>--</v>
      </c>
      <c r="R41" s="459" t="str">
        <f t="shared" si="6"/>
        <v>--</v>
      </c>
      <c r="S41" s="460" t="str">
        <f t="shared" si="7"/>
        <v>--</v>
      </c>
      <c r="T41" s="461" t="str">
        <f t="shared" si="8"/>
        <v>--</v>
      </c>
      <c r="U41" s="180">
        <f t="shared" si="10"/>
      </c>
      <c r="V41" s="472">
        <f t="shared" si="9"/>
      </c>
      <c r="W41" s="60"/>
    </row>
    <row r="42" spans="2:23" s="8" customFormat="1" ht="16.5" customHeight="1">
      <c r="B42" s="55"/>
      <c r="C42" s="150"/>
      <c r="D42" s="150"/>
      <c r="E42" s="169"/>
      <c r="F42" s="463"/>
      <c r="G42" s="463"/>
      <c r="H42" s="464"/>
      <c r="I42" s="465">
        <f t="shared" si="0"/>
        <v>55.33</v>
      </c>
      <c r="J42" s="466"/>
      <c r="K42" s="467"/>
      <c r="L42" s="468">
        <f t="shared" si="1"/>
      </c>
      <c r="M42" s="469">
        <f t="shared" si="2"/>
      </c>
      <c r="N42" s="178"/>
      <c r="O42" s="180">
        <f t="shared" si="3"/>
      </c>
      <c r="P42" s="470">
        <f t="shared" si="4"/>
        <v>40</v>
      </c>
      <c r="Q42" s="471" t="str">
        <f t="shared" si="5"/>
        <v>--</v>
      </c>
      <c r="R42" s="459" t="str">
        <f t="shared" si="6"/>
        <v>--</v>
      </c>
      <c r="S42" s="460" t="str">
        <f t="shared" si="7"/>
        <v>--</v>
      </c>
      <c r="T42" s="461" t="str">
        <f t="shared" si="8"/>
        <v>--</v>
      </c>
      <c r="U42" s="180">
        <f t="shared" si="10"/>
      </c>
      <c r="V42" s="472">
        <f t="shared" si="9"/>
      </c>
      <c r="W42" s="60"/>
    </row>
    <row r="43" spans="2:23" s="8" customFormat="1" ht="16.5" customHeight="1">
      <c r="B43" s="55"/>
      <c r="C43" s="150"/>
      <c r="D43" s="150"/>
      <c r="E43" s="150"/>
      <c r="F43" s="463"/>
      <c r="G43" s="463"/>
      <c r="H43" s="464"/>
      <c r="I43" s="465">
        <f t="shared" si="0"/>
        <v>55.33</v>
      </c>
      <c r="J43" s="466"/>
      <c r="K43" s="467"/>
      <c r="L43" s="468">
        <f t="shared" si="1"/>
      </c>
      <c r="M43" s="469">
        <f t="shared" si="2"/>
      </c>
      <c r="N43" s="178"/>
      <c r="O43" s="180">
        <f t="shared" si="3"/>
      </c>
      <c r="P43" s="470">
        <f t="shared" si="4"/>
        <v>40</v>
      </c>
      <c r="Q43" s="471" t="str">
        <f t="shared" si="5"/>
        <v>--</v>
      </c>
      <c r="R43" s="459" t="str">
        <f t="shared" si="6"/>
        <v>--</v>
      </c>
      <c r="S43" s="460" t="str">
        <f t="shared" si="7"/>
        <v>--</v>
      </c>
      <c r="T43" s="461" t="str">
        <f t="shared" si="8"/>
        <v>--</v>
      </c>
      <c r="U43" s="180">
        <f t="shared" si="10"/>
      </c>
      <c r="V43" s="472">
        <f t="shared" si="9"/>
      </c>
      <c r="W43" s="60"/>
    </row>
    <row r="44" spans="2:23" s="8" customFormat="1" ht="16.5" customHeight="1" thickBot="1">
      <c r="B44" s="55"/>
      <c r="C44" s="208"/>
      <c r="D44" s="208"/>
      <c r="E44" s="208"/>
      <c r="F44" s="208"/>
      <c r="G44" s="208"/>
      <c r="H44" s="208"/>
      <c r="I44" s="381"/>
      <c r="J44" s="473"/>
      <c r="K44" s="473"/>
      <c r="L44" s="474"/>
      <c r="M44" s="474"/>
      <c r="N44" s="473"/>
      <c r="O44" s="215"/>
      <c r="P44" s="475"/>
      <c r="Q44" s="476"/>
      <c r="R44" s="477"/>
      <c r="S44" s="478"/>
      <c r="T44" s="479"/>
      <c r="U44" s="215"/>
      <c r="V44" s="480"/>
      <c r="W44" s="60"/>
    </row>
    <row r="45" spans="2:23" s="8" customFormat="1" ht="16.5" customHeight="1" thickBot="1" thickTop="1">
      <c r="B45" s="55"/>
      <c r="C45" s="229" t="s">
        <v>317</v>
      </c>
      <c r="D45" s="1528" t="s">
        <v>420</v>
      </c>
      <c r="E45" s="229"/>
      <c r="F45" s="230"/>
      <c r="G45" s="9"/>
      <c r="H45" s="11"/>
      <c r="I45" s="11"/>
      <c r="J45" s="11"/>
      <c r="K45" s="11"/>
      <c r="L45" s="11"/>
      <c r="M45" s="11"/>
      <c r="N45" s="11"/>
      <c r="O45" s="11"/>
      <c r="P45" s="11"/>
      <c r="Q45" s="481">
        <f>SUM(Q22:Q44)</f>
        <v>261.15759999999995</v>
      </c>
      <c r="R45" s="482">
        <f>SUM(R22:R44)</f>
        <v>0</v>
      </c>
      <c r="S45" s="483">
        <f>SUM(S22:S44)</f>
        <v>0</v>
      </c>
      <c r="T45" s="484">
        <f>SUM(T22:T44)</f>
        <v>0</v>
      </c>
      <c r="U45" s="485"/>
      <c r="V45" s="486">
        <f>ROUND(SUM(V22:V44),2)</f>
        <v>261.16</v>
      </c>
      <c r="W45" s="60"/>
    </row>
    <row r="46" spans="2:23" s="8" customFormat="1" ht="16.5" customHeight="1" thickBot="1" thickTop="1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6"/>
    </row>
    <row r="47" spans="23:25" ht="16.5" customHeight="1" thickTop="1">
      <c r="W47" s="412"/>
      <c r="X47" s="412"/>
      <c r="Y47" s="412"/>
    </row>
    <row r="48" spans="23:25" ht="16.5" customHeight="1">
      <c r="W48" s="412"/>
      <c r="X48" s="412"/>
      <c r="Y48" s="412"/>
    </row>
    <row r="49" spans="23:25" ht="16.5" customHeight="1">
      <c r="W49" s="412"/>
      <c r="X49" s="412"/>
      <c r="Y49" s="412"/>
    </row>
    <row r="50" spans="23:25" ht="16.5" customHeight="1">
      <c r="W50" s="412"/>
      <c r="X50" s="412"/>
      <c r="Y50" s="412"/>
    </row>
    <row r="51" spans="23:25" ht="16.5" customHeight="1">
      <c r="W51" s="412"/>
      <c r="X51" s="412"/>
      <c r="Y51" s="412"/>
    </row>
    <row r="52" spans="6:25" ht="16.5" customHeight="1"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</row>
    <row r="53" spans="6:25" ht="16.5" customHeight="1"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</row>
    <row r="54" spans="6:25" ht="16.5" customHeight="1"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</row>
    <row r="55" spans="6:25" ht="16.5" customHeight="1"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</row>
    <row r="56" spans="6:25" ht="16.5" customHeight="1"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</row>
    <row r="57" spans="6:25" ht="16.5" customHeight="1"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</row>
    <row r="58" spans="6:25" ht="16.5" customHeight="1"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</row>
    <row r="59" spans="6:25" ht="16.5" customHeight="1"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</row>
    <row r="60" spans="6:25" ht="16.5" customHeight="1"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</row>
    <row r="61" spans="6:25" ht="16.5" customHeight="1"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</row>
    <row r="62" spans="6:25" ht="16.5" customHeight="1"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</row>
    <row r="63" spans="6:25" ht="16.5" customHeight="1"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</row>
    <row r="64" spans="6:25" ht="16.5" customHeight="1"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</row>
    <row r="65" spans="6:25" ht="16.5" customHeight="1"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</row>
    <row r="66" spans="6:25" ht="16.5" customHeight="1"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</row>
    <row r="67" spans="6:25" ht="16.5" customHeight="1"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</row>
    <row r="68" spans="6:25" ht="16.5" customHeight="1"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</row>
    <row r="69" spans="6:25" ht="16.5" customHeight="1"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</row>
    <row r="70" spans="6:25" ht="16.5" customHeight="1"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</row>
    <row r="71" spans="6:25" ht="16.5" customHeight="1"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</row>
    <row r="72" spans="6:25" ht="16.5" customHeight="1"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</row>
    <row r="73" spans="6:25" ht="16.5" customHeight="1"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</row>
    <row r="74" spans="6:25" ht="16.5" customHeight="1"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</row>
    <row r="75" spans="6:25" ht="16.5" customHeight="1"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</row>
    <row r="76" spans="6:25" ht="16.5" customHeight="1"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</row>
    <row r="77" spans="6:25" ht="16.5" customHeight="1"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</row>
    <row r="78" spans="6:25" ht="16.5" customHeight="1"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</row>
    <row r="79" spans="6:25" ht="16.5" customHeight="1"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</row>
    <row r="80" spans="6:25" ht="16.5" customHeight="1"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</row>
    <row r="81" spans="6:25" ht="16.5" customHeight="1"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</row>
    <row r="82" spans="6:25" ht="16.5" customHeight="1"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</row>
    <row r="83" spans="6:25" ht="16.5" customHeight="1"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</row>
    <row r="84" spans="6:25" ht="16.5" customHeight="1"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</row>
    <row r="85" spans="6:25" ht="16.5" customHeight="1"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</row>
    <row r="86" spans="6:25" ht="16.5" customHeight="1"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</row>
    <row r="87" spans="6:25" ht="16.5" customHeight="1"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</row>
    <row r="88" spans="6:25" ht="16.5" customHeight="1"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</row>
    <row r="89" spans="6:25" ht="16.5" customHeight="1"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</row>
    <row r="90" spans="6:25" ht="16.5" customHeight="1"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</row>
    <row r="91" spans="6:25" ht="16.5" customHeight="1"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</row>
    <row r="92" spans="6:25" ht="16.5" customHeight="1"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</row>
    <row r="93" spans="6:25" ht="16.5" customHeight="1"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</row>
    <row r="94" spans="6:25" ht="16.5" customHeight="1"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</row>
    <row r="95" spans="6:25" ht="16.5" customHeight="1"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</row>
    <row r="96" spans="6:25" ht="16.5" customHeight="1"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</row>
    <row r="97" spans="6:25" ht="16.5" customHeight="1"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</row>
    <row r="98" spans="6:25" ht="16.5" customHeight="1"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</row>
    <row r="99" spans="6:25" ht="16.5" customHeight="1"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</row>
    <row r="100" spans="6:25" ht="16.5" customHeight="1"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</row>
    <row r="101" spans="6:25" ht="16.5" customHeight="1"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</row>
    <row r="102" spans="6:25" ht="16.5" customHeight="1"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</row>
    <row r="103" spans="6:25" ht="16.5" customHeight="1"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</row>
    <row r="104" spans="6:25" ht="16.5" customHeight="1"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</row>
    <row r="105" spans="6:25" ht="16.5" customHeight="1"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</row>
    <row r="106" spans="6:25" ht="16.5" customHeight="1"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</row>
    <row r="107" spans="6:25" ht="16.5" customHeight="1"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</row>
    <row r="108" spans="6:25" ht="16.5" customHeight="1"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</row>
    <row r="109" spans="6:25" ht="16.5" customHeight="1"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</row>
    <row r="110" spans="6:25" ht="16.5" customHeight="1"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</row>
    <row r="111" spans="6:25" ht="16.5" customHeight="1"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</row>
    <row r="112" spans="6:25" ht="16.5" customHeight="1"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</row>
    <row r="113" spans="6:25" ht="16.5" customHeight="1"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</row>
    <row r="114" spans="6:25" ht="16.5" customHeight="1"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</row>
    <row r="115" spans="6:25" ht="16.5" customHeight="1"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</row>
    <row r="116" spans="6:25" ht="16.5" customHeight="1"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</row>
    <row r="117" spans="6:25" ht="16.5" customHeight="1"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</row>
    <row r="118" spans="6:25" ht="16.5" customHeight="1"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</row>
    <row r="119" spans="6:25" ht="16.5" customHeight="1"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</row>
    <row r="120" spans="6:25" ht="16.5" customHeight="1"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</row>
    <row r="121" spans="6:25" ht="16.5" customHeight="1"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</row>
    <row r="122" spans="6:25" ht="16.5" customHeight="1"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</row>
    <row r="123" spans="6:25" ht="16.5" customHeight="1"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</row>
    <row r="124" spans="6:25" ht="16.5" customHeight="1"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</row>
    <row r="125" spans="6:25" ht="16.5" customHeight="1"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</row>
    <row r="126" spans="6:25" ht="16.5" customHeight="1"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</row>
    <row r="127" spans="6:25" ht="16.5" customHeight="1"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</row>
    <row r="128" spans="6:25" ht="16.5" customHeight="1"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</row>
    <row r="129" spans="6:25" ht="16.5" customHeight="1"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</row>
    <row r="130" spans="6:25" ht="16.5" customHeight="1"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</row>
    <row r="131" spans="6:25" ht="16.5" customHeight="1"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</row>
    <row r="132" spans="6:25" ht="16.5" customHeight="1"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</row>
    <row r="133" spans="6:25" ht="16.5" customHeight="1"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</row>
    <row r="134" spans="6:25" ht="16.5" customHeight="1"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</row>
    <row r="135" spans="6:25" ht="16.5" customHeight="1"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</row>
    <row r="136" spans="6:25" ht="16.5" customHeight="1"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</row>
    <row r="137" spans="6:25" ht="16.5" customHeight="1"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</row>
    <row r="138" spans="6:25" ht="16.5" customHeight="1"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</row>
    <row r="139" spans="6:25" ht="16.5" customHeight="1"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</row>
    <row r="140" spans="6:25" ht="16.5" customHeight="1"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</row>
    <row r="141" spans="6:25" ht="16.5" customHeight="1"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</row>
    <row r="142" spans="6:25" ht="16.5" customHeight="1"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</row>
    <row r="143" spans="6:25" ht="16.5" customHeight="1"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</row>
    <row r="144" spans="6:25" ht="16.5" customHeight="1"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</row>
    <row r="145" spans="6:25" ht="16.5" customHeight="1"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</row>
    <row r="146" spans="6:25" ht="16.5" customHeight="1"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</row>
    <row r="147" spans="6:25" ht="16.5" customHeight="1"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</row>
    <row r="148" spans="6:25" ht="16.5" customHeight="1"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</row>
    <row r="149" spans="6:25" ht="16.5" customHeight="1"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</row>
    <row r="150" spans="6:25" ht="16.5" customHeight="1"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</row>
    <row r="151" spans="6:25" ht="16.5" customHeight="1">
      <c r="F151" s="412"/>
      <c r="G151" s="412"/>
      <c r="H151" s="412"/>
      <c r="I151" s="412"/>
      <c r="J151" s="412"/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</row>
    <row r="152" spans="6:25" ht="16.5" customHeight="1"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</row>
    <row r="153" spans="6:25" ht="16.5" customHeight="1">
      <c r="F153" s="412"/>
      <c r="G153" s="412"/>
      <c r="H153" s="412"/>
      <c r="I153" s="412"/>
      <c r="J153" s="412"/>
      <c r="K153" s="412"/>
      <c r="L153" s="412"/>
      <c r="M153" s="412"/>
      <c r="N153" s="412"/>
      <c r="O153" s="412"/>
      <c r="P153" s="412"/>
      <c r="Q153" s="412"/>
      <c r="R153" s="412"/>
      <c r="S153" s="412"/>
      <c r="T153" s="412"/>
      <c r="U153" s="412"/>
      <c r="V153" s="412"/>
      <c r="W153" s="412"/>
      <c r="X153" s="412"/>
      <c r="Y153" s="412"/>
    </row>
    <row r="154" spans="6:25" ht="16.5" customHeight="1">
      <c r="F154" s="412"/>
      <c r="G154" s="412"/>
      <c r="H154" s="412"/>
      <c r="I154" s="412"/>
      <c r="J154" s="412"/>
      <c r="K154" s="412"/>
      <c r="L154" s="412"/>
      <c r="M154" s="412"/>
      <c r="N154" s="412"/>
      <c r="O154" s="412"/>
      <c r="P154" s="412"/>
      <c r="Q154" s="412"/>
      <c r="R154" s="412"/>
      <c r="S154" s="412"/>
      <c r="T154" s="412"/>
      <c r="U154" s="412"/>
      <c r="V154" s="412"/>
      <c r="W154" s="412"/>
      <c r="X154" s="412"/>
      <c r="Y154" s="412"/>
    </row>
    <row r="155" spans="6:25" ht="16.5" customHeight="1">
      <c r="F155" s="412"/>
      <c r="G155" s="412"/>
      <c r="H155" s="412"/>
      <c r="I155" s="412"/>
      <c r="J155" s="412"/>
      <c r="K155" s="412"/>
      <c r="L155" s="412"/>
      <c r="M155" s="412"/>
      <c r="N155" s="412"/>
      <c r="O155" s="412"/>
      <c r="P155" s="412"/>
      <c r="Q155" s="412"/>
      <c r="R155" s="412"/>
      <c r="S155" s="412"/>
      <c r="T155" s="412"/>
      <c r="U155" s="412"/>
      <c r="V155" s="412"/>
      <c r="W155" s="412"/>
      <c r="X155" s="412"/>
      <c r="Y155" s="412"/>
    </row>
    <row r="156" spans="6:25" ht="16.5" customHeight="1">
      <c r="F156" s="412"/>
      <c r="G156" s="412"/>
      <c r="H156" s="412"/>
      <c r="I156" s="412"/>
      <c r="J156" s="412"/>
      <c r="K156" s="412"/>
      <c r="L156" s="412"/>
      <c r="M156" s="412"/>
      <c r="N156" s="412"/>
      <c r="O156" s="412"/>
      <c r="P156" s="412"/>
      <c r="Q156" s="412"/>
      <c r="R156" s="412"/>
      <c r="S156" s="412"/>
      <c r="T156" s="412"/>
      <c r="U156" s="412"/>
      <c r="V156" s="412"/>
      <c r="W156" s="412"/>
      <c r="X156" s="412"/>
      <c r="Y156" s="412"/>
    </row>
    <row r="157" spans="6:25" ht="16.5" customHeight="1">
      <c r="F157" s="412"/>
      <c r="G157" s="412"/>
      <c r="H157" s="412"/>
      <c r="I157" s="412"/>
      <c r="J157" s="412"/>
      <c r="K157" s="412"/>
      <c r="L157" s="412"/>
      <c r="M157" s="412"/>
      <c r="N157" s="412"/>
      <c r="O157" s="412"/>
      <c r="P157" s="412"/>
      <c r="Q157" s="412"/>
      <c r="R157" s="412"/>
      <c r="S157" s="412"/>
      <c r="T157" s="412"/>
      <c r="U157" s="412"/>
      <c r="V157" s="412"/>
      <c r="W157" s="412"/>
      <c r="X157" s="412"/>
      <c r="Y157" s="412"/>
    </row>
    <row r="158" spans="6:25" ht="16.5" customHeight="1">
      <c r="F158" s="412"/>
      <c r="G158" s="412"/>
      <c r="H158" s="412"/>
      <c r="I158" s="412"/>
      <c r="J158" s="412"/>
      <c r="K158" s="412"/>
      <c r="L158" s="412"/>
      <c r="M158" s="412"/>
      <c r="N158" s="412"/>
      <c r="O158" s="412"/>
      <c r="P158" s="412"/>
      <c r="Q158" s="412"/>
      <c r="R158" s="412"/>
      <c r="S158" s="412"/>
      <c r="T158" s="412"/>
      <c r="U158" s="412"/>
      <c r="V158" s="412"/>
      <c r="W158" s="412"/>
      <c r="X158" s="412"/>
      <c r="Y158" s="412"/>
    </row>
    <row r="159" spans="6:25" ht="16.5" customHeight="1">
      <c r="F159" s="412"/>
      <c r="G159" s="412"/>
      <c r="H159" s="412"/>
      <c r="I159" s="412"/>
      <c r="J159" s="412"/>
      <c r="K159" s="412"/>
      <c r="L159" s="412"/>
      <c r="M159" s="412"/>
      <c r="N159" s="412"/>
      <c r="O159" s="412"/>
      <c r="P159" s="412"/>
      <c r="Q159" s="412"/>
      <c r="R159" s="412"/>
      <c r="S159" s="412"/>
      <c r="T159" s="412"/>
      <c r="U159" s="412"/>
      <c r="V159" s="412"/>
      <c r="W159" s="412"/>
      <c r="X159" s="412"/>
      <c r="Y159" s="41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1">
    <pageSetUpPr fitToPage="1"/>
  </sheetPr>
  <dimension ref="A1:Y159"/>
  <sheetViews>
    <sheetView zoomScale="75" zoomScaleNormal="75" zoomScalePageLayoutView="0" workbookViewId="0" topLeftCell="A1">
      <selection activeCell="A6" sqref="A6"/>
    </sheetView>
  </sheetViews>
  <sheetFormatPr defaultColWidth="11.421875" defaultRowHeight="16.5" customHeight="1"/>
  <cols>
    <col min="1" max="2" width="4.140625" style="1428" customWidth="1"/>
    <col min="3" max="3" width="5.421875" style="1428" customWidth="1"/>
    <col min="4" max="5" width="13.57421875" style="1428" customWidth="1"/>
    <col min="6" max="6" width="30.7109375" style="1428" customWidth="1"/>
    <col min="7" max="7" width="40.7109375" style="1428" customWidth="1"/>
    <col min="8" max="8" width="9.7109375" style="1428" customWidth="1"/>
    <col min="9" max="9" width="7.00390625" style="1428" hidden="1" customWidth="1"/>
    <col min="10" max="11" width="16.421875" style="1428" customWidth="1"/>
    <col min="12" max="14" width="9.7109375" style="1428" customWidth="1"/>
    <col min="15" max="15" width="6.421875" style="1428" customWidth="1"/>
    <col min="16" max="16" width="4.00390625" style="1428" hidden="1" customWidth="1"/>
    <col min="17" max="17" width="12.8515625" style="1428" hidden="1" customWidth="1"/>
    <col min="18" max="19" width="6.00390625" style="1428" hidden="1" customWidth="1"/>
    <col min="20" max="20" width="11.7109375" style="1428" hidden="1" customWidth="1"/>
    <col min="21" max="21" width="9.7109375" style="1428" customWidth="1"/>
    <col min="22" max="22" width="15.7109375" style="1428" customWidth="1"/>
    <col min="23" max="23" width="4.140625" style="1428" customWidth="1"/>
    <col min="24" max="16384" width="11.421875" style="1428" customWidth="1"/>
  </cols>
  <sheetData>
    <row r="1" s="1376" customFormat="1" ht="26.25">
      <c r="W1" s="1544"/>
    </row>
    <row r="2" spans="1:23" s="1376" customFormat="1" ht="26.25">
      <c r="A2" s="1377"/>
      <c r="B2" s="1380" t="str">
        <f>'TOT-0614'!B2</f>
        <v>ANEXO I al Memorándum D.T.E.E. N°         347   / 2015</v>
      </c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</row>
    <row r="3" s="1382" customFormat="1" ht="12.75">
      <c r="A3" s="1381"/>
    </row>
    <row r="4" spans="1:4" s="1386" customFormat="1" ht="11.25">
      <c r="A4" s="1545" t="s">
        <v>2</v>
      </c>
      <c r="B4" s="1546"/>
      <c r="C4" s="1546"/>
      <c r="D4" s="1546"/>
    </row>
    <row r="5" spans="1:4" s="1386" customFormat="1" ht="11.25">
      <c r="A5" s="1545" t="s">
        <v>3</v>
      </c>
      <c r="B5" s="1546"/>
      <c r="C5" s="1546"/>
      <c r="D5" s="1546"/>
    </row>
    <row r="6" s="1382" customFormat="1" ht="13.5" thickBot="1"/>
    <row r="7" spans="2:23" s="1382" customFormat="1" ht="13.5" thickTop="1">
      <c r="B7" s="1547"/>
      <c r="C7" s="1548"/>
      <c r="D7" s="1548"/>
      <c r="E7" s="1548"/>
      <c r="F7" s="1548"/>
      <c r="G7" s="1548"/>
      <c r="H7" s="1548"/>
      <c r="I7" s="1548"/>
      <c r="J7" s="1548"/>
      <c r="K7" s="1548"/>
      <c r="L7" s="1548"/>
      <c r="M7" s="1548"/>
      <c r="N7" s="1548"/>
      <c r="O7" s="1548"/>
      <c r="P7" s="1548"/>
      <c r="Q7" s="1548"/>
      <c r="R7" s="1548"/>
      <c r="S7" s="1548"/>
      <c r="T7" s="1548"/>
      <c r="U7" s="1548"/>
      <c r="V7" s="1548"/>
      <c r="W7" s="1549"/>
    </row>
    <row r="8" spans="2:23" s="1396" customFormat="1" ht="20.25">
      <c r="B8" s="1550"/>
      <c r="C8" s="1551"/>
      <c r="D8" s="1551"/>
      <c r="E8" s="1551"/>
      <c r="F8" s="1552" t="s">
        <v>24</v>
      </c>
      <c r="N8" s="1390"/>
      <c r="O8" s="1390"/>
      <c r="P8" s="1392"/>
      <c r="Q8" s="1551"/>
      <c r="R8" s="1551"/>
      <c r="S8" s="1551"/>
      <c r="T8" s="1551"/>
      <c r="U8" s="1551"/>
      <c r="V8" s="1551"/>
      <c r="W8" s="1553"/>
    </row>
    <row r="9" spans="2:23" s="1382" customFormat="1" ht="12.75">
      <c r="B9" s="1554"/>
      <c r="C9" s="1555"/>
      <c r="D9" s="1555"/>
      <c r="E9" s="1555"/>
      <c r="F9" s="1398"/>
      <c r="G9" s="1398"/>
      <c r="H9" s="1398"/>
      <c r="I9" s="1398"/>
      <c r="J9" s="1398"/>
      <c r="K9" s="1398"/>
      <c r="L9" s="1398"/>
      <c r="M9" s="1398"/>
      <c r="N9" s="1398"/>
      <c r="O9" s="1398"/>
      <c r="P9" s="1398"/>
      <c r="Q9" s="1555"/>
      <c r="R9" s="1555"/>
      <c r="S9" s="1555"/>
      <c r="T9" s="1555"/>
      <c r="U9" s="1555"/>
      <c r="V9" s="1555"/>
      <c r="W9" s="1556"/>
    </row>
    <row r="10" spans="2:23" s="1396" customFormat="1" ht="20.25">
      <c r="B10" s="1550"/>
      <c r="C10" s="1551"/>
      <c r="D10" s="1551"/>
      <c r="E10" s="1551"/>
      <c r="F10" s="1557" t="s">
        <v>67</v>
      </c>
      <c r="G10" s="1558"/>
      <c r="H10" s="1390"/>
      <c r="I10" s="1559"/>
      <c r="K10" s="1559"/>
      <c r="L10" s="1559"/>
      <c r="M10" s="1559"/>
      <c r="N10" s="1559"/>
      <c r="O10" s="1559"/>
      <c r="P10" s="1559"/>
      <c r="Q10" s="1551"/>
      <c r="R10" s="1551"/>
      <c r="S10" s="1551"/>
      <c r="T10" s="1551"/>
      <c r="U10" s="1551"/>
      <c r="V10" s="1551"/>
      <c r="W10" s="1553"/>
    </row>
    <row r="11" spans="2:23" s="1382" customFormat="1" ht="13.5">
      <c r="B11" s="1554"/>
      <c r="C11" s="1555"/>
      <c r="D11" s="1555"/>
      <c r="E11" s="1555"/>
      <c r="F11" s="1560"/>
      <c r="G11" s="1560"/>
      <c r="H11" s="1381"/>
      <c r="I11" s="1561"/>
      <c r="J11" s="1562"/>
      <c r="K11" s="1561"/>
      <c r="L11" s="1561"/>
      <c r="M11" s="1561"/>
      <c r="N11" s="1561"/>
      <c r="O11" s="1561"/>
      <c r="P11" s="1561"/>
      <c r="Q11" s="1555"/>
      <c r="R11" s="1555"/>
      <c r="S11" s="1555"/>
      <c r="T11" s="1555"/>
      <c r="U11" s="1555"/>
      <c r="V11" s="1555"/>
      <c r="W11" s="1556"/>
    </row>
    <row r="12" spans="2:23" s="1396" customFormat="1" ht="20.25">
      <c r="B12" s="1550"/>
      <c r="C12" s="1551"/>
      <c r="D12" s="1551"/>
      <c r="E12" s="1551"/>
      <c r="F12" s="1557" t="s">
        <v>421</v>
      </c>
      <c r="G12" s="1558"/>
      <c r="H12" s="1390"/>
      <c r="I12" s="1559"/>
      <c r="K12" s="1559"/>
      <c r="L12" s="1559"/>
      <c r="M12" s="1559"/>
      <c r="N12" s="1559"/>
      <c r="O12" s="1559"/>
      <c r="P12" s="1559"/>
      <c r="Q12" s="1551"/>
      <c r="R12" s="1551"/>
      <c r="S12" s="1551"/>
      <c r="T12" s="1551"/>
      <c r="U12" s="1551"/>
      <c r="V12" s="1551"/>
      <c r="W12" s="1553"/>
    </row>
    <row r="13" spans="2:23" s="1382" customFormat="1" ht="13.5">
      <c r="B13" s="1554"/>
      <c r="C13" s="1555"/>
      <c r="D13" s="1555"/>
      <c r="E13" s="1555"/>
      <c r="F13" s="1560"/>
      <c r="G13" s="1560"/>
      <c r="H13" s="1381"/>
      <c r="I13" s="1561"/>
      <c r="J13" s="1562"/>
      <c r="K13" s="1561"/>
      <c r="L13" s="1561"/>
      <c r="M13" s="1561"/>
      <c r="N13" s="1561"/>
      <c r="O13" s="1561"/>
      <c r="P13" s="1561"/>
      <c r="Q13" s="1555"/>
      <c r="R13" s="1555"/>
      <c r="S13" s="1555"/>
      <c r="T13" s="1555"/>
      <c r="U13" s="1555"/>
      <c r="V13" s="1555"/>
      <c r="W13" s="1556"/>
    </row>
    <row r="14" spans="2:23" s="1382" customFormat="1" ht="19.5">
      <c r="B14" s="634" t="str">
        <f>'TOT-0614'!B14</f>
        <v>Desde el 01 al 30 de junio de 2014</v>
      </c>
      <c r="C14" s="1416"/>
      <c r="D14" s="1416"/>
      <c r="E14" s="1416"/>
      <c r="F14" s="1416"/>
      <c r="G14" s="1416"/>
      <c r="H14" s="1416"/>
      <c r="I14" s="1563"/>
      <c r="J14" s="1563"/>
      <c r="K14" s="1563"/>
      <c r="L14" s="1563"/>
      <c r="M14" s="1563"/>
      <c r="N14" s="1563"/>
      <c r="O14" s="1563"/>
      <c r="P14" s="1563"/>
      <c r="Q14" s="1416"/>
      <c r="R14" s="1416"/>
      <c r="S14" s="1416"/>
      <c r="T14" s="1416"/>
      <c r="U14" s="1416"/>
      <c r="V14" s="1416"/>
      <c r="W14" s="1564"/>
    </row>
    <row r="15" spans="2:23" s="1382" customFormat="1" ht="14.25" thickBot="1">
      <c r="B15" s="1565"/>
      <c r="C15" s="1566"/>
      <c r="D15" s="1566"/>
      <c r="E15" s="1566"/>
      <c r="F15" s="1566"/>
      <c r="G15" s="1566"/>
      <c r="H15" s="1566"/>
      <c r="I15" s="1567"/>
      <c r="J15" s="1567"/>
      <c r="K15" s="1567"/>
      <c r="L15" s="1567"/>
      <c r="M15" s="1567"/>
      <c r="N15" s="1567"/>
      <c r="O15" s="1567"/>
      <c r="P15" s="1567"/>
      <c r="Q15" s="1566"/>
      <c r="R15" s="1566"/>
      <c r="S15" s="1566"/>
      <c r="T15" s="1566"/>
      <c r="U15" s="1566"/>
      <c r="V15" s="1566"/>
      <c r="W15" s="1568"/>
    </row>
    <row r="16" spans="2:23" s="1382" customFormat="1" ht="15" thickBot="1" thickTop="1">
      <c r="B16" s="1554"/>
      <c r="C16" s="1555"/>
      <c r="D16" s="1555"/>
      <c r="E16" s="1555"/>
      <c r="F16" s="1569"/>
      <c r="G16" s="1569"/>
      <c r="H16" s="1570" t="s">
        <v>69</v>
      </c>
      <c r="I16" s="1555"/>
      <c r="J16" s="1562"/>
      <c r="K16" s="1555"/>
      <c r="L16" s="1555"/>
      <c r="M16" s="1555"/>
      <c r="N16" s="1555"/>
      <c r="O16" s="1555"/>
      <c r="P16" s="1555"/>
      <c r="Q16" s="1555"/>
      <c r="R16" s="1555"/>
      <c r="S16" s="1555"/>
      <c r="T16" s="1555"/>
      <c r="U16" s="1555"/>
      <c r="V16" s="1555"/>
      <c r="W16" s="1556"/>
    </row>
    <row r="17" spans="2:23" s="1382" customFormat="1" ht="16.5" customHeight="1" thickBot="1" thickTop="1">
      <c r="B17" s="1554"/>
      <c r="C17" s="1555"/>
      <c r="D17" s="1555"/>
      <c r="E17" s="1555"/>
      <c r="F17" s="1571" t="s">
        <v>70</v>
      </c>
      <c r="G17" s="1572" t="s">
        <v>76</v>
      </c>
      <c r="H17" s="1573">
        <v>200</v>
      </c>
      <c r="V17" s="1574"/>
      <c r="W17" s="1556"/>
    </row>
    <row r="18" spans="2:23" s="1382" customFormat="1" ht="16.5" customHeight="1" thickBot="1" thickTop="1">
      <c r="B18" s="1554"/>
      <c r="C18" s="1555"/>
      <c r="D18" s="1555"/>
      <c r="E18" s="1555"/>
      <c r="F18" s="1575" t="s">
        <v>71</v>
      </c>
      <c r="G18" s="1576" t="s">
        <v>76</v>
      </c>
      <c r="H18" s="1573">
        <v>100</v>
      </c>
      <c r="O18" s="1555"/>
      <c r="P18" s="1555"/>
      <c r="Q18" s="1555"/>
      <c r="R18" s="1555"/>
      <c r="S18" s="1555"/>
      <c r="T18" s="1555"/>
      <c r="U18" s="1555"/>
      <c r="V18" s="1555"/>
      <c r="W18" s="1556"/>
    </row>
    <row r="19" spans="2:23" s="1382" customFormat="1" ht="16.5" customHeight="1" thickBot="1" thickTop="1">
      <c r="B19" s="1554"/>
      <c r="C19" s="1555"/>
      <c r="D19" s="1555"/>
      <c r="E19" s="1555"/>
      <c r="F19" s="1577" t="s">
        <v>72</v>
      </c>
      <c r="G19" s="1576">
        <v>100.22</v>
      </c>
      <c r="H19" s="1573">
        <v>40</v>
      </c>
      <c r="K19" s="1578"/>
      <c r="L19" s="1579"/>
      <c r="M19" s="1555"/>
      <c r="O19" s="1555"/>
      <c r="Q19" s="1555"/>
      <c r="R19" s="1555"/>
      <c r="S19" s="1555"/>
      <c r="T19" s="1555"/>
      <c r="U19" s="1555"/>
      <c r="V19" s="1555"/>
      <c r="W19" s="1556"/>
    </row>
    <row r="20" spans="2:23" s="1382" customFormat="1" ht="16.5" customHeight="1" thickBot="1" thickTop="1">
      <c r="B20" s="1554"/>
      <c r="C20" s="1580">
        <v>3</v>
      </c>
      <c r="D20" s="1580">
        <v>4</v>
      </c>
      <c r="E20" s="1580">
        <v>5</v>
      </c>
      <c r="F20" s="1580">
        <v>6</v>
      </c>
      <c r="G20" s="1580">
        <v>7</v>
      </c>
      <c r="H20" s="1580">
        <v>8</v>
      </c>
      <c r="I20" s="1580">
        <v>9</v>
      </c>
      <c r="J20" s="1580">
        <v>10</v>
      </c>
      <c r="K20" s="1580">
        <v>11</v>
      </c>
      <c r="L20" s="1580">
        <v>12</v>
      </c>
      <c r="M20" s="1580">
        <v>13</v>
      </c>
      <c r="N20" s="1580">
        <v>14</v>
      </c>
      <c r="O20" s="1580">
        <v>15</v>
      </c>
      <c r="P20" s="1580">
        <v>16</v>
      </c>
      <c r="Q20" s="1580">
        <v>17</v>
      </c>
      <c r="R20" s="1580">
        <v>18</v>
      </c>
      <c r="S20" s="1580">
        <v>19</v>
      </c>
      <c r="T20" s="1580">
        <v>20</v>
      </c>
      <c r="U20" s="1580">
        <v>21</v>
      </c>
      <c r="V20" s="1580">
        <v>22</v>
      </c>
      <c r="W20" s="1556"/>
    </row>
    <row r="21" spans="2:23" s="1382" customFormat="1" ht="33.75" customHeight="1" thickBot="1" thickTop="1">
      <c r="B21" s="1554"/>
      <c r="C21" s="1431" t="s">
        <v>29</v>
      </c>
      <c r="D21" s="1432" t="s">
        <v>30</v>
      </c>
      <c r="E21" s="1432" t="s">
        <v>31</v>
      </c>
      <c r="F21" s="1581" t="s">
        <v>60</v>
      </c>
      <c r="G21" s="1582" t="s">
        <v>61</v>
      </c>
      <c r="H21" s="1583" t="s">
        <v>32</v>
      </c>
      <c r="I21" s="1437" t="s">
        <v>36</v>
      </c>
      <c r="J21" s="1584" t="s">
        <v>37</v>
      </c>
      <c r="K21" s="1582" t="s">
        <v>38</v>
      </c>
      <c r="L21" s="1585" t="s">
        <v>39</v>
      </c>
      <c r="M21" s="1585" t="s">
        <v>40</v>
      </c>
      <c r="N21" s="1438" t="s">
        <v>316</v>
      </c>
      <c r="O21" s="1586" t="s">
        <v>43</v>
      </c>
      <c r="P21" s="1587" t="s">
        <v>35</v>
      </c>
      <c r="Q21" s="1588" t="s">
        <v>73</v>
      </c>
      <c r="R21" s="1589" t="s">
        <v>74</v>
      </c>
      <c r="S21" s="1590"/>
      <c r="T21" s="1591" t="s">
        <v>48</v>
      </c>
      <c r="U21" s="1449" t="s">
        <v>50</v>
      </c>
      <c r="V21" s="1436" t="s">
        <v>51</v>
      </c>
      <c r="W21" s="1556"/>
    </row>
    <row r="22" spans="2:23" s="1382" customFormat="1" ht="16.5" customHeight="1" thickTop="1">
      <c r="B22" s="1554"/>
      <c r="C22" s="1450"/>
      <c r="D22" s="1450"/>
      <c r="E22" s="1450"/>
      <c r="F22" s="1592"/>
      <c r="G22" s="1592"/>
      <c r="H22" s="1592"/>
      <c r="I22" s="1593"/>
      <c r="J22" s="1592"/>
      <c r="K22" s="1592"/>
      <c r="L22" s="1592"/>
      <c r="M22" s="1592"/>
      <c r="N22" s="1592"/>
      <c r="O22" s="1592"/>
      <c r="P22" s="1594"/>
      <c r="Q22" s="1595"/>
      <c r="R22" s="1596"/>
      <c r="S22" s="1597"/>
      <c r="T22" s="1598"/>
      <c r="U22" s="1592"/>
      <c r="V22" s="1599"/>
      <c r="W22" s="1556"/>
    </row>
    <row r="23" spans="2:23" s="1382" customFormat="1" ht="16.5" customHeight="1">
      <c r="B23" s="1554"/>
      <c r="C23" s="1465"/>
      <c r="D23" s="1465"/>
      <c r="E23" s="1465"/>
      <c r="F23" s="1600"/>
      <c r="G23" s="1600"/>
      <c r="H23" s="1600"/>
      <c r="I23" s="1601"/>
      <c r="J23" s="1600"/>
      <c r="K23" s="1600"/>
      <c r="L23" s="1600"/>
      <c r="M23" s="1600"/>
      <c r="N23" s="1600"/>
      <c r="O23" s="1600"/>
      <c r="P23" s="1602"/>
      <c r="Q23" s="1603"/>
      <c r="R23" s="1604"/>
      <c r="S23" s="1605"/>
      <c r="T23" s="1606"/>
      <c r="U23" s="1600"/>
      <c r="V23" s="1607"/>
      <c r="W23" s="1556"/>
    </row>
    <row r="24" spans="2:23" s="1382" customFormat="1" ht="16.5" customHeight="1">
      <c r="B24" s="1554"/>
      <c r="C24" s="1465">
        <v>43</v>
      </c>
      <c r="D24" s="1465">
        <v>276854</v>
      </c>
      <c r="E24" s="1480">
        <v>5083</v>
      </c>
      <c r="F24" s="1608" t="s">
        <v>422</v>
      </c>
      <c r="G24" s="1608" t="s">
        <v>423</v>
      </c>
      <c r="H24" s="1609">
        <v>132</v>
      </c>
      <c r="I24" s="1610">
        <f aca="true" t="shared" si="0" ref="I24:I43">IF(H24=500,$G$17,IF(H24=220,$G$18,$G$19))</f>
        <v>100.22</v>
      </c>
      <c r="J24" s="1611">
        <v>41808.302777777775</v>
      </c>
      <c r="K24" s="1612">
        <v>41808.32152777778</v>
      </c>
      <c r="L24" s="1613">
        <f aca="true" t="shared" si="1" ref="L24:L43">IF(F24="","",(K24-J24)*24)</f>
        <v>0.4500000000698492</v>
      </c>
      <c r="M24" s="1614">
        <f aca="true" t="shared" si="2" ref="M24:M43">IF(F24="","",ROUND((K24-J24)*24*60,0))</f>
        <v>27</v>
      </c>
      <c r="N24" s="1615" t="s">
        <v>329</v>
      </c>
      <c r="O24" s="1492" t="str">
        <f aca="true" t="shared" si="3" ref="O24:O43">IF(F24="","",IF(N24="P","--","NO"))</f>
        <v>NO</v>
      </c>
      <c r="P24" s="1616">
        <f aca="true" t="shared" si="4" ref="P24:P43">IF(H24=500,$H$17,IF(H24=220,$H$18,$H$19))</f>
        <v>40</v>
      </c>
      <c r="Q24" s="1617" t="str">
        <f aca="true" t="shared" si="5" ref="Q24:Q43">IF(N24="P",I24*P24*ROUND(M24/60,2)*0.1,"--")</f>
        <v>--</v>
      </c>
      <c r="R24" s="1604">
        <f aca="true" t="shared" si="6" ref="R24:R43">IF(AND(N24="F",O24="NO"),I24*P24,"--")</f>
        <v>4008.8</v>
      </c>
      <c r="S24" s="1605">
        <f aca="true" t="shared" si="7" ref="S24:S43">IF(N24="F",I24*P24*ROUND(M24/60,2),"--")</f>
        <v>1803.96</v>
      </c>
      <c r="T24" s="1606" t="str">
        <f aca="true" t="shared" si="8" ref="T24:T43">IF(N24="RF",I24*P24*ROUND(M24/60,2),"--")</f>
        <v>--</v>
      </c>
      <c r="U24" s="1492" t="str">
        <f aca="true" t="shared" si="9" ref="U24:U43">IF(F24="","","SI")</f>
        <v>SI</v>
      </c>
      <c r="V24" s="1618">
        <f aca="true" t="shared" si="10" ref="V24:V43">IF(F24="","",SUM(Q24:T24)*IF(U24="SI",1,2))</f>
        <v>5812.76</v>
      </c>
      <c r="W24" s="1556"/>
    </row>
    <row r="25" spans="2:23" s="1382" customFormat="1" ht="16.5" customHeight="1">
      <c r="B25" s="1554"/>
      <c r="C25" s="1465"/>
      <c r="D25" s="1465"/>
      <c r="E25" s="1465"/>
      <c r="F25" s="1608"/>
      <c r="G25" s="1608"/>
      <c r="H25" s="1609"/>
      <c r="I25" s="1610">
        <f t="shared" si="0"/>
        <v>100.22</v>
      </c>
      <c r="J25" s="1611"/>
      <c r="K25" s="1612"/>
      <c r="L25" s="1613">
        <f t="shared" si="1"/>
      </c>
      <c r="M25" s="1614">
        <f t="shared" si="2"/>
      </c>
      <c r="N25" s="1615"/>
      <c r="O25" s="1492">
        <f t="shared" si="3"/>
      </c>
      <c r="P25" s="1616">
        <f t="shared" si="4"/>
        <v>40</v>
      </c>
      <c r="Q25" s="1617" t="str">
        <f t="shared" si="5"/>
        <v>--</v>
      </c>
      <c r="R25" s="1604" t="str">
        <f t="shared" si="6"/>
        <v>--</v>
      </c>
      <c r="S25" s="1605" t="str">
        <f t="shared" si="7"/>
        <v>--</v>
      </c>
      <c r="T25" s="1606" t="str">
        <f t="shared" si="8"/>
        <v>--</v>
      </c>
      <c r="U25" s="1492">
        <f t="shared" si="9"/>
      </c>
      <c r="V25" s="1618">
        <f t="shared" si="10"/>
      </c>
      <c r="W25" s="1556"/>
    </row>
    <row r="26" spans="2:23" s="1382" customFormat="1" ht="16.5" customHeight="1">
      <c r="B26" s="1554"/>
      <c r="C26" s="1465"/>
      <c r="D26" s="1465"/>
      <c r="E26" s="1480"/>
      <c r="F26" s="1608"/>
      <c r="G26" s="1608"/>
      <c r="H26" s="1609"/>
      <c r="I26" s="1610">
        <f t="shared" si="0"/>
        <v>100.22</v>
      </c>
      <c r="J26" s="1611"/>
      <c r="K26" s="1612"/>
      <c r="L26" s="1613">
        <f t="shared" si="1"/>
      </c>
      <c r="M26" s="1614">
        <f t="shared" si="2"/>
      </c>
      <c r="N26" s="1615"/>
      <c r="O26" s="1492">
        <f t="shared" si="3"/>
      </c>
      <c r="P26" s="1616">
        <f t="shared" si="4"/>
        <v>40</v>
      </c>
      <c r="Q26" s="1617" t="str">
        <f t="shared" si="5"/>
        <v>--</v>
      </c>
      <c r="R26" s="1604" t="str">
        <f t="shared" si="6"/>
        <v>--</v>
      </c>
      <c r="S26" s="1605" t="str">
        <f t="shared" si="7"/>
        <v>--</v>
      </c>
      <c r="T26" s="1606" t="str">
        <f t="shared" si="8"/>
        <v>--</v>
      </c>
      <c r="U26" s="1492">
        <f t="shared" si="9"/>
      </c>
      <c r="V26" s="1618">
        <f t="shared" si="10"/>
      </c>
      <c r="W26" s="1556"/>
    </row>
    <row r="27" spans="2:23" s="1382" customFormat="1" ht="16.5" customHeight="1">
      <c r="B27" s="1554"/>
      <c r="C27" s="1465"/>
      <c r="D27" s="1465"/>
      <c r="E27" s="1465"/>
      <c r="F27" s="1608"/>
      <c r="G27" s="1608"/>
      <c r="H27" s="1609"/>
      <c r="I27" s="1610">
        <f t="shared" si="0"/>
        <v>100.22</v>
      </c>
      <c r="J27" s="1611"/>
      <c r="K27" s="1612"/>
      <c r="L27" s="1613">
        <f t="shared" si="1"/>
      </c>
      <c r="M27" s="1614">
        <f t="shared" si="2"/>
      </c>
      <c r="N27" s="1615"/>
      <c r="O27" s="1492">
        <f t="shared" si="3"/>
      </c>
      <c r="P27" s="1616">
        <f t="shared" si="4"/>
        <v>40</v>
      </c>
      <c r="Q27" s="1617" t="str">
        <f t="shared" si="5"/>
        <v>--</v>
      </c>
      <c r="R27" s="1604" t="str">
        <f t="shared" si="6"/>
        <v>--</v>
      </c>
      <c r="S27" s="1605" t="str">
        <f t="shared" si="7"/>
        <v>--</v>
      </c>
      <c r="T27" s="1606" t="str">
        <f t="shared" si="8"/>
        <v>--</v>
      </c>
      <c r="U27" s="1492">
        <f t="shared" si="9"/>
      </c>
      <c r="V27" s="1618">
        <f t="shared" si="10"/>
      </c>
      <c r="W27" s="1556"/>
    </row>
    <row r="28" spans="2:23" s="1382" customFormat="1" ht="16.5" customHeight="1">
      <c r="B28" s="1554"/>
      <c r="C28" s="1465"/>
      <c r="D28" s="1465"/>
      <c r="E28" s="1480"/>
      <c r="F28" s="1608"/>
      <c r="G28" s="1608"/>
      <c r="H28" s="1609"/>
      <c r="I28" s="1610">
        <f t="shared" si="0"/>
        <v>100.22</v>
      </c>
      <c r="J28" s="1611"/>
      <c r="K28" s="1612"/>
      <c r="L28" s="1613">
        <f t="shared" si="1"/>
      </c>
      <c r="M28" s="1614">
        <f t="shared" si="2"/>
      </c>
      <c r="N28" s="1615"/>
      <c r="O28" s="1492">
        <f t="shared" si="3"/>
      </c>
      <c r="P28" s="1616">
        <f t="shared" si="4"/>
        <v>40</v>
      </c>
      <c r="Q28" s="1617" t="str">
        <f t="shared" si="5"/>
        <v>--</v>
      </c>
      <c r="R28" s="1604" t="str">
        <f t="shared" si="6"/>
        <v>--</v>
      </c>
      <c r="S28" s="1605" t="str">
        <f t="shared" si="7"/>
        <v>--</v>
      </c>
      <c r="T28" s="1606" t="str">
        <f t="shared" si="8"/>
        <v>--</v>
      </c>
      <c r="U28" s="1492">
        <f t="shared" si="9"/>
      </c>
      <c r="V28" s="1618">
        <f t="shared" si="10"/>
      </c>
      <c r="W28" s="1556"/>
    </row>
    <row r="29" spans="2:23" s="1382" customFormat="1" ht="16.5" customHeight="1">
      <c r="B29" s="1554"/>
      <c r="C29" s="1465"/>
      <c r="D29" s="1465"/>
      <c r="E29" s="1465"/>
      <c r="F29" s="1608"/>
      <c r="G29" s="1608"/>
      <c r="H29" s="1609"/>
      <c r="I29" s="1610">
        <f t="shared" si="0"/>
        <v>100.22</v>
      </c>
      <c r="J29" s="1611"/>
      <c r="K29" s="1612"/>
      <c r="L29" s="1613">
        <f t="shared" si="1"/>
      </c>
      <c r="M29" s="1614">
        <f t="shared" si="2"/>
      </c>
      <c r="N29" s="1615"/>
      <c r="O29" s="1492">
        <f t="shared" si="3"/>
      </c>
      <c r="P29" s="1616">
        <f t="shared" si="4"/>
        <v>40</v>
      </c>
      <c r="Q29" s="1617" t="str">
        <f t="shared" si="5"/>
        <v>--</v>
      </c>
      <c r="R29" s="1604" t="str">
        <f t="shared" si="6"/>
        <v>--</v>
      </c>
      <c r="S29" s="1605" t="str">
        <f t="shared" si="7"/>
        <v>--</v>
      </c>
      <c r="T29" s="1606" t="str">
        <f t="shared" si="8"/>
        <v>--</v>
      </c>
      <c r="U29" s="1492">
        <f t="shared" si="9"/>
      </c>
      <c r="V29" s="1618">
        <f t="shared" si="10"/>
      </c>
      <c r="W29" s="1556"/>
    </row>
    <row r="30" spans="2:23" s="1382" customFormat="1" ht="16.5" customHeight="1">
      <c r="B30" s="1554"/>
      <c r="C30" s="1465"/>
      <c r="D30" s="1465"/>
      <c r="E30" s="1480"/>
      <c r="F30" s="1608"/>
      <c r="G30" s="1608"/>
      <c r="H30" s="1609"/>
      <c r="I30" s="1610">
        <f t="shared" si="0"/>
        <v>100.22</v>
      </c>
      <c r="J30" s="1611"/>
      <c r="K30" s="1612"/>
      <c r="L30" s="1613">
        <f t="shared" si="1"/>
      </c>
      <c r="M30" s="1614">
        <f t="shared" si="2"/>
      </c>
      <c r="N30" s="1615"/>
      <c r="O30" s="1492">
        <f t="shared" si="3"/>
      </c>
      <c r="P30" s="1616">
        <f t="shared" si="4"/>
        <v>40</v>
      </c>
      <c r="Q30" s="1617" t="str">
        <f t="shared" si="5"/>
        <v>--</v>
      </c>
      <c r="R30" s="1604" t="str">
        <f t="shared" si="6"/>
        <v>--</v>
      </c>
      <c r="S30" s="1605" t="str">
        <f t="shared" si="7"/>
        <v>--</v>
      </c>
      <c r="T30" s="1606" t="str">
        <f t="shared" si="8"/>
        <v>--</v>
      </c>
      <c r="U30" s="1492">
        <f t="shared" si="9"/>
      </c>
      <c r="V30" s="1618">
        <f t="shared" si="10"/>
      </c>
      <c r="W30" s="1556"/>
    </row>
    <row r="31" spans="2:23" s="1382" customFormat="1" ht="16.5" customHeight="1">
      <c r="B31" s="1554"/>
      <c r="C31" s="1465"/>
      <c r="D31" s="1465"/>
      <c r="E31" s="1465"/>
      <c r="F31" s="1608"/>
      <c r="G31" s="1608"/>
      <c r="H31" s="1609"/>
      <c r="I31" s="1610">
        <f t="shared" si="0"/>
        <v>100.22</v>
      </c>
      <c r="J31" s="1611"/>
      <c r="K31" s="1612"/>
      <c r="L31" s="1613">
        <f t="shared" si="1"/>
      </c>
      <c r="M31" s="1614">
        <f t="shared" si="2"/>
      </c>
      <c r="N31" s="1615"/>
      <c r="O31" s="1492">
        <f t="shared" si="3"/>
      </c>
      <c r="P31" s="1616">
        <f t="shared" si="4"/>
        <v>40</v>
      </c>
      <c r="Q31" s="1617" t="str">
        <f t="shared" si="5"/>
        <v>--</v>
      </c>
      <c r="R31" s="1604" t="str">
        <f t="shared" si="6"/>
        <v>--</v>
      </c>
      <c r="S31" s="1605" t="str">
        <f t="shared" si="7"/>
        <v>--</v>
      </c>
      <c r="T31" s="1606" t="str">
        <f t="shared" si="8"/>
        <v>--</v>
      </c>
      <c r="U31" s="1492">
        <f t="shared" si="9"/>
      </c>
      <c r="V31" s="1618">
        <f t="shared" si="10"/>
      </c>
      <c r="W31" s="1556"/>
    </row>
    <row r="32" spans="2:23" s="1382" customFormat="1" ht="16.5" customHeight="1">
      <c r="B32" s="1554"/>
      <c r="C32" s="1465"/>
      <c r="D32" s="1465"/>
      <c r="E32" s="1480"/>
      <c r="F32" s="1608"/>
      <c r="G32" s="1608"/>
      <c r="H32" s="1609"/>
      <c r="I32" s="1610">
        <f t="shared" si="0"/>
        <v>100.22</v>
      </c>
      <c r="J32" s="1611"/>
      <c r="K32" s="1612"/>
      <c r="L32" s="1613">
        <f t="shared" si="1"/>
      </c>
      <c r="M32" s="1614">
        <f t="shared" si="2"/>
      </c>
      <c r="N32" s="1615"/>
      <c r="O32" s="1492">
        <f t="shared" si="3"/>
      </c>
      <c r="P32" s="1616">
        <f t="shared" si="4"/>
        <v>40</v>
      </c>
      <c r="Q32" s="1617" t="str">
        <f t="shared" si="5"/>
        <v>--</v>
      </c>
      <c r="R32" s="1604" t="str">
        <f t="shared" si="6"/>
        <v>--</v>
      </c>
      <c r="S32" s="1605" t="str">
        <f t="shared" si="7"/>
        <v>--</v>
      </c>
      <c r="T32" s="1606" t="str">
        <f t="shared" si="8"/>
        <v>--</v>
      </c>
      <c r="U32" s="1492">
        <f t="shared" si="9"/>
      </c>
      <c r="V32" s="1618">
        <f t="shared" si="10"/>
      </c>
      <c r="W32" s="1556"/>
    </row>
    <row r="33" spans="2:23" s="1382" customFormat="1" ht="16.5" customHeight="1">
      <c r="B33" s="1554"/>
      <c r="C33" s="1465"/>
      <c r="D33" s="1465"/>
      <c r="E33" s="1465"/>
      <c r="F33" s="1608"/>
      <c r="G33" s="1608"/>
      <c r="H33" s="1609"/>
      <c r="I33" s="1610">
        <f t="shared" si="0"/>
        <v>100.22</v>
      </c>
      <c r="J33" s="1611"/>
      <c r="K33" s="1612"/>
      <c r="L33" s="1613">
        <f t="shared" si="1"/>
      </c>
      <c r="M33" s="1614">
        <f t="shared" si="2"/>
      </c>
      <c r="N33" s="1615"/>
      <c r="O33" s="1492">
        <f t="shared" si="3"/>
      </c>
      <c r="P33" s="1616">
        <f t="shared" si="4"/>
        <v>40</v>
      </c>
      <c r="Q33" s="1617" t="str">
        <f t="shared" si="5"/>
        <v>--</v>
      </c>
      <c r="R33" s="1604" t="str">
        <f t="shared" si="6"/>
        <v>--</v>
      </c>
      <c r="S33" s="1605" t="str">
        <f t="shared" si="7"/>
        <v>--</v>
      </c>
      <c r="T33" s="1606" t="str">
        <f t="shared" si="8"/>
        <v>--</v>
      </c>
      <c r="U33" s="1492">
        <f t="shared" si="9"/>
      </c>
      <c r="V33" s="1618">
        <f t="shared" si="10"/>
      </c>
      <c r="W33" s="1556"/>
    </row>
    <row r="34" spans="2:23" s="1382" customFormat="1" ht="16.5" customHeight="1">
      <c r="B34" s="1554"/>
      <c r="C34" s="1465"/>
      <c r="D34" s="1465"/>
      <c r="E34" s="1480"/>
      <c r="F34" s="1608"/>
      <c r="G34" s="1608"/>
      <c r="H34" s="1609"/>
      <c r="I34" s="1610">
        <f t="shared" si="0"/>
        <v>100.22</v>
      </c>
      <c r="J34" s="1611"/>
      <c r="K34" s="1612"/>
      <c r="L34" s="1613">
        <f t="shared" si="1"/>
      </c>
      <c r="M34" s="1614">
        <f t="shared" si="2"/>
      </c>
      <c r="N34" s="1615"/>
      <c r="O34" s="1492">
        <f t="shared" si="3"/>
      </c>
      <c r="P34" s="1616">
        <f t="shared" si="4"/>
        <v>40</v>
      </c>
      <c r="Q34" s="1617" t="str">
        <f t="shared" si="5"/>
        <v>--</v>
      </c>
      <c r="R34" s="1604" t="str">
        <f t="shared" si="6"/>
        <v>--</v>
      </c>
      <c r="S34" s="1605" t="str">
        <f t="shared" si="7"/>
        <v>--</v>
      </c>
      <c r="T34" s="1606" t="str">
        <f t="shared" si="8"/>
        <v>--</v>
      </c>
      <c r="U34" s="1492">
        <f t="shared" si="9"/>
      </c>
      <c r="V34" s="1618">
        <f t="shared" si="10"/>
      </c>
      <c r="W34" s="1556"/>
    </row>
    <row r="35" spans="2:23" s="1382" customFormat="1" ht="16.5" customHeight="1">
      <c r="B35" s="1554"/>
      <c r="C35" s="1465"/>
      <c r="D35" s="1465"/>
      <c r="E35" s="1465"/>
      <c r="F35" s="1608"/>
      <c r="G35" s="1608"/>
      <c r="H35" s="1609"/>
      <c r="I35" s="1610">
        <f t="shared" si="0"/>
        <v>100.22</v>
      </c>
      <c r="J35" s="1611"/>
      <c r="K35" s="1612"/>
      <c r="L35" s="1613">
        <f t="shared" si="1"/>
      </c>
      <c r="M35" s="1614">
        <f t="shared" si="2"/>
      </c>
      <c r="N35" s="1615"/>
      <c r="O35" s="1492">
        <f t="shared" si="3"/>
      </c>
      <c r="P35" s="1616">
        <f t="shared" si="4"/>
        <v>40</v>
      </c>
      <c r="Q35" s="1617" t="str">
        <f t="shared" si="5"/>
        <v>--</v>
      </c>
      <c r="R35" s="1604" t="str">
        <f t="shared" si="6"/>
        <v>--</v>
      </c>
      <c r="S35" s="1605" t="str">
        <f t="shared" si="7"/>
        <v>--</v>
      </c>
      <c r="T35" s="1606" t="str">
        <f t="shared" si="8"/>
        <v>--</v>
      </c>
      <c r="U35" s="1492">
        <f t="shared" si="9"/>
      </c>
      <c r="V35" s="1618">
        <f t="shared" si="10"/>
      </c>
      <c r="W35" s="1556"/>
    </row>
    <row r="36" spans="2:23" s="1382" customFormat="1" ht="16.5" customHeight="1">
      <c r="B36" s="1554"/>
      <c r="C36" s="1465"/>
      <c r="D36" s="1465"/>
      <c r="E36" s="1480"/>
      <c r="F36" s="1608"/>
      <c r="G36" s="1608"/>
      <c r="H36" s="1609"/>
      <c r="I36" s="1610">
        <f t="shared" si="0"/>
        <v>100.22</v>
      </c>
      <c r="J36" s="1611"/>
      <c r="K36" s="1612"/>
      <c r="L36" s="1613">
        <f t="shared" si="1"/>
      </c>
      <c r="M36" s="1614">
        <f t="shared" si="2"/>
      </c>
      <c r="N36" s="1615"/>
      <c r="O36" s="1492">
        <f t="shared" si="3"/>
      </c>
      <c r="P36" s="1616">
        <f t="shared" si="4"/>
        <v>40</v>
      </c>
      <c r="Q36" s="1617" t="str">
        <f t="shared" si="5"/>
        <v>--</v>
      </c>
      <c r="R36" s="1604" t="str">
        <f t="shared" si="6"/>
        <v>--</v>
      </c>
      <c r="S36" s="1605" t="str">
        <f t="shared" si="7"/>
        <v>--</v>
      </c>
      <c r="T36" s="1606" t="str">
        <f t="shared" si="8"/>
        <v>--</v>
      </c>
      <c r="U36" s="1492">
        <f t="shared" si="9"/>
      </c>
      <c r="V36" s="1618">
        <f t="shared" si="10"/>
      </c>
      <c r="W36" s="1556"/>
    </row>
    <row r="37" spans="2:23" s="1382" customFormat="1" ht="16.5" customHeight="1">
      <c r="B37" s="1554"/>
      <c r="C37" s="1465"/>
      <c r="D37" s="1465"/>
      <c r="E37" s="1465"/>
      <c r="F37" s="1608"/>
      <c r="G37" s="1608"/>
      <c r="H37" s="1609"/>
      <c r="I37" s="1610">
        <f t="shared" si="0"/>
        <v>100.22</v>
      </c>
      <c r="J37" s="1611"/>
      <c r="K37" s="1612"/>
      <c r="L37" s="1613">
        <f t="shared" si="1"/>
      </c>
      <c r="M37" s="1614">
        <f t="shared" si="2"/>
      </c>
      <c r="N37" s="1615"/>
      <c r="O37" s="1492">
        <f t="shared" si="3"/>
      </c>
      <c r="P37" s="1616">
        <f t="shared" si="4"/>
        <v>40</v>
      </c>
      <c r="Q37" s="1617" t="str">
        <f t="shared" si="5"/>
        <v>--</v>
      </c>
      <c r="R37" s="1604" t="str">
        <f t="shared" si="6"/>
        <v>--</v>
      </c>
      <c r="S37" s="1605" t="str">
        <f t="shared" si="7"/>
        <v>--</v>
      </c>
      <c r="T37" s="1606" t="str">
        <f t="shared" si="8"/>
        <v>--</v>
      </c>
      <c r="U37" s="1492">
        <f t="shared" si="9"/>
      </c>
      <c r="V37" s="1618">
        <f t="shared" si="10"/>
      </c>
      <c r="W37" s="1556"/>
    </row>
    <row r="38" spans="2:23" s="1382" customFormat="1" ht="16.5" customHeight="1">
      <c r="B38" s="1554"/>
      <c r="C38" s="1465"/>
      <c r="D38" s="1465"/>
      <c r="E38" s="1480"/>
      <c r="F38" s="1608"/>
      <c r="G38" s="1608"/>
      <c r="H38" s="1609"/>
      <c r="I38" s="1610">
        <f t="shared" si="0"/>
        <v>100.22</v>
      </c>
      <c r="J38" s="1611"/>
      <c r="K38" s="1612"/>
      <c r="L38" s="1613">
        <f t="shared" si="1"/>
      </c>
      <c r="M38" s="1614">
        <f t="shared" si="2"/>
      </c>
      <c r="N38" s="1615"/>
      <c r="O38" s="1492">
        <f t="shared" si="3"/>
      </c>
      <c r="P38" s="1616">
        <f t="shared" si="4"/>
        <v>40</v>
      </c>
      <c r="Q38" s="1617" t="str">
        <f t="shared" si="5"/>
        <v>--</v>
      </c>
      <c r="R38" s="1604" t="str">
        <f t="shared" si="6"/>
        <v>--</v>
      </c>
      <c r="S38" s="1605" t="str">
        <f t="shared" si="7"/>
        <v>--</v>
      </c>
      <c r="T38" s="1606" t="str">
        <f t="shared" si="8"/>
        <v>--</v>
      </c>
      <c r="U38" s="1492">
        <f t="shared" si="9"/>
      </c>
      <c r="V38" s="1618">
        <f t="shared" si="10"/>
      </c>
      <c r="W38" s="1556"/>
    </row>
    <row r="39" spans="2:23" s="1382" customFormat="1" ht="16.5" customHeight="1">
      <c r="B39" s="1554"/>
      <c r="C39" s="1465"/>
      <c r="D39" s="1465"/>
      <c r="E39" s="1465"/>
      <c r="F39" s="1608"/>
      <c r="G39" s="1608"/>
      <c r="H39" s="1609"/>
      <c r="I39" s="1610">
        <f t="shared" si="0"/>
        <v>100.22</v>
      </c>
      <c r="J39" s="1611"/>
      <c r="K39" s="1612"/>
      <c r="L39" s="1613">
        <f t="shared" si="1"/>
      </c>
      <c r="M39" s="1614">
        <f t="shared" si="2"/>
      </c>
      <c r="N39" s="1615"/>
      <c r="O39" s="1492">
        <f t="shared" si="3"/>
      </c>
      <c r="P39" s="1616">
        <f t="shared" si="4"/>
        <v>40</v>
      </c>
      <c r="Q39" s="1617" t="str">
        <f t="shared" si="5"/>
        <v>--</v>
      </c>
      <c r="R39" s="1604" t="str">
        <f t="shared" si="6"/>
        <v>--</v>
      </c>
      <c r="S39" s="1605" t="str">
        <f t="shared" si="7"/>
        <v>--</v>
      </c>
      <c r="T39" s="1606" t="str">
        <f t="shared" si="8"/>
        <v>--</v>
      </c>
      <c r="U39" s="1492">
        <f t="shared" si="9"/>
      </c>
      <c r="V39" s="1618">
        <f t="shared" si="10"/>
      </c>
      <c r="W39" s="1556"/>
    </row>
    <row r="40" spans="2:23" s="1382" customFormat="1" ht="16.5" customHeight="1">
      <c r="B40" s="1554"/>
      <c r="C40" s="1465"/>
      <c r="D40" s="1465"/>
      <c r="E40" s="1480"/>
      <c r="F40" s="1608"/>
      <c r="G40" s="1608"/>
      <c r="H40" s="1609"/>
      <c r="I40" s="1610">
        <f t="shared" si="0"/>
        <v>100.22</v>
      </c>
      <c r="J40" s="1611"/>
      <c r="K40" s="1612"/>
      <c r="L40" s="1613">
        <f t="shared" si="1"/>
      </c>
      <c r="M40" s="1614">
        <f t="shared" si="2"/>
      </c>
      <c r="N40" s="1615"/>
      <c r="O40" s="1492">
        <f t="shared" si="3"/>
      </c>
      <c r="P40" s="1616">
        <f t="shared" si="4"/>
        <v>40</v>
      </c>
      <c r="Q40" s="1617" t="str">
        <f t="shared" si="5"/>
        <v>--</v>
      </c>
      <c r="R40" s="1604" t="str">
        <f t="shared" si="6"/>
        <v>--</v>
      </c>
      <c r="S40" s="1605" t="str">
        <f t="shared" si="7"/>
        <v>--</v>
      </c>
      <c r="T40" s="1606" t="str">
        <f t="shared" si="8"/>
        <v>--</v>
      </c>
      <c r="U40" s="1492">
        <f t="shared" si="9"/>
      </c>
      <c r="V40" s="1618">
        <f t="shared" si="10"/>
      </c>
      <c r="W40" s="1556"/>
    </row>
    <row r="41" spans="2:23" s="1382" customFormat="1" ht="16.5" customHeight="1">
      <c r="B41" s="1554"/>
      <c r="C41" s="1465"/>
      <c r="D41" s="1465"/>
      <c r="E41" s="1465"/>
      <c r="F41" s="1608"/>
      <c r="G41" s="1608"/>
      <c r="H41" s="1609"/>
      <c r="I41" s="1610">
        <f t="shared" si="0"/>
        <v>100.22</v>
      </c>
      <c r="J41" s="1611"/>
      <c r="K41" s="1612"/>
      <c r="L41" s="1613">
        <f t="shared" si="1"/>
      </c>
      <c r="M41" s="1614">
        <f t="shared" si="2"/>
      </c>
      <c r="N41" s="1615"/>
      <c r="O41" s="1492">
        <f t="shared" si="3"/>
      </c>
      <c r="P41" s="1616">
        <f t="shared" si="4"/>
        <v>40</v>
      </c>
      <c r="Q41" s="1617" t="str">
        <f t="shared" si="5"/>
        <v>--</v>
      </c>
      <c r="R41" s="1604" t="str">
        <f t="shared" si="6"/>
        <v>--</v>
      </c>
      <c r="S41" s="1605" t="str">
        <f t="shared" si="7"/>
        <v>--</v>
      </c>
      <c r="T41" s="1606" t="str">
        <f t="shared" si="8"/>
        <v>--</v>
      </c>
      <c r="U41" s="1492">
        <f t="shared" si="9"/>
      </c>
      <c r="V41" s="1618">
        <f t="shared" si="10"/>
      </c>
      <c r="W41" s="1556"/>
    </row>
    <row r="42" spans="2:23" s="1382" customFormat="1" ht="16.5" customHeight="1">
      <c r="B42" s="1554"/>
      <c r="C42" s="1465"/>
      <c r="D42" s="1465"/>
      <c r="E42" s="1480"/>
      <c r="F42" s="1608"/>
      <c r="G42" s="1608"/>
      <c r="H42" s="1609"/>
      <c r="I42" s="1610">
        <f t="shared" si="0"/>
        <v>100.22</v>
      </c>
      <c r="J42" s="1611"/>
      <c r="K42" s="1612"/>
      <c r="L42" s="1613">
        <f t="shared" si="1"/>
      </c>
      <c r="M42" s="1614">
        <f t="shared" si="2"/>
      </c>
      <c r="N42" s="1615"/>
      <c r="O42" s="1492">
        <f t="shared" si="3"/>
      </c>
      <c r="P42" s="1616">
        <f t="shared" si="4"/>
        <v>40</v>
      </c>
      <c r="Q42" s="1617" t="str">
        <f t="shared" si="5"/>
        <v>--</v>
      </c>
      <c r="R42" s="1604" t="str">
        <f t="shared" si="6"/>
        <v>--</v>
      </c>
      <c r="S42" s="1605" t="str">
        <f t="shared" si="7"/>
        <v>--</v>
      </c>
      <c r="T42" s="1606" t="str">
        <f t="shared" si="8"/>
        <v>--</v>
      </c>
      <c r="U42" s="1492">
        <f t="shared" si="9"/>
      </c>
      <c r="V42" s="1618">
        <f t="shared" si="10"/>
      </c>
      <c r="W42" s="1556"/>
    </row>
    <row r="43" spans="2:23" s="1382" customFormat="1" ht="16.5" customHeight="1">
      <c r="B43" s="1554"/>
      <c r="C43" s="1465"/>
      <c r="D43" s="1465"/>
      <c r="E43" s="1465"/>
      <c r="F43" s="1608"/>
      <c r="G43" s="1608"/>
      <c r="H43" s="1609"/>
      <c r="I43" s="1610">
        <f t="shared" si="0"/>
        <v>100.22</v>
      </c>
      <c r="J43" s="1611"/>
      <c r="K43" s="1612"/>
      <c r="L43" s="1613">
        <f t="shared" si="1"/>
      </c>
      <c r="M43" s="1614">
        <f t="shared" si="2"/>
      </c>
      <c r="N43" s="1615"/>
      <c r="O43" s="1492">
        <f t="shared" si="3"/>
      </c>
      <c r="P43" s="1616">
        <f t="shared" si="4"/>
        <v>40</v>
      </c>
      <c r="Q43" s="1617" t="str">
        <f t="shared" si="5"/>
        <v>--</v>
      </c>
      <c r="R43" s="1604" t="str">
        <f t="shared" si="6"/>
        <v>--</v>
      </c>
      <c r="S43" s="1605" t="str">
        <f t="shared" si="7"/>
        <v>--</v>
      </c>
      <c r="T43" s="1606" t="str">
        <f t="shared" si="8"/>
        <v>--</v>
      </c>
      <c r="U43" s="1492">
        <f t="shared" si="9"/>
      </c>
      <c r="V43" s="1618">
        <f t="shared" si="10"/>
      </c>
      <c r="W43" s="1556"/>
    </row>
    <row r="44" spans="2:23" s="1382" customFormat="1" ht="16.5" customHeight="1" thickBot="1">
      <c r="B44" s="1554"/>
      <c r="C44" s="1619"/>
      <c r="D44" s="1619"/>
      <c r="E44" s="1619"/>
      <c r="F44" s="1619"/>
      <c r="G44" s="1619"/>
      <c r="H44" s="1619"/>
      <c r="I44" s="1508"/>
      <c r="J44" s="1620"/>
      <c r="K44" s="1620"/>
      <c r="L44" s="1621"/>
      <c r="M44" s="1621"/>
      <c r="N44" s="1620"/>
      <c r="O44" s="1622"/>
      <c r="P44" s="1623"/>
      <c r="Q44" s="1624"/>
      <c r="R44" s="1625"/>
      <c r="S44" s="1626"/>
      <c r="T44" s="1627"/>
      <c r="U44" s="1622"/>
      <c r="V44" s="1628"/>
      <c r="W44" s="1556"/>
    </row>
    <row r="45" spans="2:23" s="1382" customFormat="1" ht="16.5" customHeight="1" thickBot="1" thickTop="1">
      <c r="B45" s="1554"/>
      <c r="C45" s="1527" t="s">
        <v>317</v>
      </c>
      <c r="D45" s="1528" t="s">
        <v>476</v>
      </c>
      <c r="E45" s="1527"/>
      <c r="F45" s="1529"/>
      <c r="G45" s="1428"/>
      <c r="H45" s="1555"/>
      <c r="I45" s="1555"/>
      <c r="J45" s="1555"/>
      <c r="K45" s="1555"/>
      <c r="L45" s="1555"/>
      <c r="M45" s="1555"/>
      <c r="N45" s="1555"/>
      <c r="O45" s="1555"/>
      <c r="P45" s="1555"/>
      <c r="Q45" s="1629">
        <f>SUM(Q22:Q44)</f>
        <v>0</v>
      </c>
      <c r="R45" s="1630">
        <f>SUM(R22:R44)</f>
        <v>4008.8</v>
      </c>
      <c r="S45" s="1631">
        <f>SUM(S22:S44)</f>
        <v>1803.96</v>
      </c>
      <c r="T45" s="1632">
        <f>SUM(T22:T44)</f>
        <v>0</v>
      </c>
      <c r="U45" s="1633"/>
      <c r="V45" s="1634">
        <f>ROUND(SUM(V22:V44),2)</f>
        <v>5812.76</v>
      </c>
      <c r="W45" s="1556"/>
    </row>
    <row r="46" spans="2:23" s="1382" customFormat="1" ht="16.5" customHeight="1" thickBot="1" thickTop="1">
      <c r="B46" s="1635"/>
      <c r="C46" s="1636"/>
      <c r="D46" s="1636"/>
      <c r="E46" s="1636"/>
      <c r="F46" s="1636"/>
      <c r="G46" s="1636"/>
      <c r="H46" s="1636"/>
      <c r="I46" s="1636"/>
      <c r="J46" s="1636"/>
      <c r="K46" s="1636"/>
      <c r="L46" s="1636"/>
      <c r="M46" s="1636"/>
      <c r="N46" s="1636"/>
      <c r="O46" s="1636"/>
      <c r="P46" s="1636"/>
      <c r="Q46" s="1636"/>
      <c r="R46" s="1636"/>
      <c r="S46" s="1636"/>
      <c r="T46" s="1636"/>
      <c r="U46" s="1636"/>
      <c r="V46" s="1636"/>
      <c r="W46" s="1637"/>
    </row>
    <row r="47" spans="23:25" ht="16.5" customHeight="1" thickTop="1">
      <c r="W47" s="1543"/>
      <c r="X47" s="1543"/>
      <c r="Y47" s="1543"/>
    </row>
    <row r="48" spans="23:25" ht="16.5" customHeight="1">
      <c r="W48" s="1543"/>
      <c r="X48" s="1543"/>
      <c r="Y48" s="1543"/>
    </row>
    <row r="49" spans="23:25" ht="16.5" customHeight="1">
      <c r="W49" s="1543"/>
      <c r="X49" s="1543"/>
      <c r="Y49" s="1543"/>
    </row>
    <row r="50" spans="23:25" ht="16.5" customHeight="1">
      <c r="W50" s="1543"/>
      <c r="X50" s="1543"/>
      <c r="Y50" s="1543"/>
    </row>
    <row r="51" spans="23:25" ht="16.5" customHeight="1">
      <c r="W51" s="1543"/>
      <c r="X51" s="1543"/>
      <c r="Y51" s="1543"/>
    </row>
    <row r="52" spans="6:25" ht="16.5" customHeight="1">
      <c r="F52" s="1543"/>
      <c r="G52" s="1543"/>
      <c r="H52" s="1543"/>
      <c r="I52" s="1543"/>
      <c r="J52" s="1543"/>
      <c r="K52" s="1543"/>
      <c r="L52" s="1543"/>
      <c r="M52" s="1543"/>
      <c r="N52" s="1543"/>
      <c r="O52" s="1543"/>
      <c r="P52" s="1543"/>
      <c r="Q52" s="1543"/>
      <c r="R52" s="1543"/>
      <c r="S52" s="1543"/>
      <c r="T52" s="1543"/>
      <c r="U52" s="1543"/>
      <c r="V52" s="1543"/>
      <c r="W52" s="1543"/>
      <c r="X52" s="1543"/>
      <c r="Y52" s="1543"/>
    </row>
    <row r="53" spans="6:25" ht="16.5" customHeight="1"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1543"/>
      <c r="V53" s="1543"/>
      <c r="W53" s="1543"/>
      <c r="X53" s="1543"/>
      <c r="Y53" s="1543"/>
    </row>
    <row r="54" spans="6:25" ht="16.5" customHeight="1">
      <c r="F54" s="1543"/>
      <c r="G54" s="1543"/>
      <c r="H54" s="1543"/>
      <c r="I54" s="1543"/>
      <c r="J54" s="1543"/>
      <c r="K54" s="1543"/>
      <c r="L54" s="1543"/>
      <c r="M54" s="1543"/>
      <c r="N54" s="1543"/>
      <c r="O54" s="1543"/>
      <c r="P54" s="1543"/>
      <c r="Q54" s="1543"/>
      <c r="R54" s="1543"/>
      <c r="S54" s="1543"/>
      <c r="T54" s="1543"/>
      <c r="U54" s="1543"/>
      <c r="V54" s="1543"/>
      <c r="W54" s="1543"/>
      <c r="X54" s="1543"/>
      <c r="Y54" s="1543"/>
    </row>
    <row r="55" spans="6:25" ht="16.5" customHeight="1"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1543"/>
      <c r="T55" s="1543"/>
      <c r="U55" s="1543"/>
      <c r="V55" s="1543"/>
      <c r="W55" s="1543"/>
      <c r="X55" s="1543"/>
      <c r="Y55" s="1543"/>
    </row>
    <row r="56" spans="6:25" ht="16.5" customHeight="1">
      <c r="F56" s="1543"/>
      <c r="G56" s="1543"/>
      <c r="H56" s="1543"/>
      <c r="I56" s="1543"/>
      <c r="J56" s="1543"/>
      <c r="K56" s="1543"/>
      <c r="L56" s="1543"/>
      <c r="M56" s="1543"/>
      <c r="N56" s="1543"/>
      <c r="O56" s="1543"/>
      <c r="P56" s="1543"/>
      <c r="Q56" s="1543"/>
      <c r="R56" s="1543"/>
      <c r="S56" s="1543"/>
      <c r="T56" s="1543"/>
      <c r="U56" s="1543"/>
      <c r="V56" s="1543"/>
      <c r="W56" s="1543"/>
      <c r="X56" s="1543"/>
      <c r="Y56" s="1543"/>
    </row>
    <row r="57" spans="6:25" ht="16.5" customHeight="1">
      <c r="F57" s="1543"/>
      <c r="G57" s="1543"/>
      <c r="H57" s="1543"/>
      <c r="I57" s="1543"/>
      <c r="J57" s="1543"/>
      <c r="K57" s="1543"/>
      <c r="L57" s="1543"/>
      <c r="M57" s="1543"/>
      <c r="N57" s="1543"/>
      <c r="O57" s="1543"/>
      <c r="P57" s="1543"/>
      <c r="Q57" s="1543"/>
      <c r="R57" s="1543"/>
      <c r="S57" s="1543"/>
      <c r="T57" s="1543"/>
      <c r="U57" s="1543"/>
      <c r="V57" s="1543"/>
      <c r="W57" s="1543"/>
      <c r="X57" s="1543"/>
      <c r="Y57" s="1543"/>
    </row>
    <row r="58" spans="6:25" ht="16.5" customHeight="1">
      <c r="F58" s="1543"/>
      <c r="G58" s="1543"/>
      <c r="H58" s="1543"/>
      <c r="I58" s="1543"/>
      <c r="J58" s="1543"/>
      <c r="K58" s="1543"/>
      <c r="L58" s="1543"/>
      <c r="M58" s="1543"/>
      <c r="N58" s="1543"/>
      <c r="O58" s="1543"/>
      <c r="P58" s="1543"/>
      <c r="Q58" s="1543"/>
      <c r="R58" s="1543"/>
      <c r="S58" s="1543"/>
      <c r="T58" s="1543"/>
      <c r="U58" s="1543"/>
      <c r="V58" s="1543"/>
      <c r="W58" s="1543"/>
      <c r="X58" s="1543"/>
      <c r="Y58" s="1543"/>
    </row>
    <row r="59" spans="6:25" ht="16.5" customHeight="1"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1543"/>
      <c r="U59" s="1543"/>
      <c r="V59" s="1543"/>
      <c r="W59" s="1543"/>
      <c r="X59" s="1543"/>
      <c r="Y59" s="1543"/>
    </row>
    <row r="60" spans="6:25" ht="16.5" customHeight="1">
      <c r="F60" s="1543"/>
      <c r="G60" s="1543"/>
      <c r="H60" s="1543"/>
      <c r="I60" s="1543"/>
      <c r="J60" s="1543"/>
      <c r="K60" s="1543"/>
      <c r="L60" s="1543"/>
      <c r="M60" s="1543"/>
      <c r="N60" s="1543"/>
      <c r="O60" s="1543"/>
      <c r="P60" s="1543"/>
      <c r="Q60" s="1543"/>
      <c r="R60" s="1543"/>
      <c r="S60" s="1543"/>
      <c r="T60" s="1543"/>
      <c r="U60" s="1543"/>
      <c r="V60" s="1543"/>
      <c r="W60" s="1543"/>
      <c r="X60" s="1543"/>
      <c r="Y60" s="1543"/>
    </row>
    <row r="61" spans="6:25" ht="16.5" customHeight="1">
      <c r="F61" s="1543"/>
      <c r="G61" s="1543"/>
      <c r="H61" s="1543"/>
      <c r="I61" s="1543"/>
      <c r="J61" s="1543"/>
      <c r="K61" s="1543"/>
      <c r="L61" s="1543"/>
      <c r="M61" s="1543"/>
      <c r="N61" s="1543"/>
      <c r="O61" s="1543"/>
      <c r="P61" s="1543"/>
      <c r="Q61" s="1543"/>
      <c r="R61" s="1543"/>
      <c r="S61" s="1543"/>
      <c r="T61" s="1543"/>
      <c r="U61" s="1543"/>
      <c r="V61" s="1543"/>
      <c r="W61" s="1543"/>
      <c r="X61" s="1543"/>
      <c r="Y61" s="1543"/>
    </row>
    <row r="62" spans="6:25" ht="16.5" customHeight="1">
      <c r="F62" s="1543"/>
      <c r="G62" s="1543"/>
      <c r="H62" s="1543"/>
      <c r="I62" s="1543"/>
      <c r="J62" s="1543"/>
      <c r="K62" s="1543"/>
      <c r="L62" s="1543"/>
      <c r="M62" s="1543"/>
      <c r="N62" s="1543"/>
      <c r="O62" s="1543"/>
      <c r="P62" s="1543"/>
      <c r="Q62" s="1543"/>
      <c r="R62" s="1543"/>
      <c r="S62" s="1543"/>
      <c r="T62" s="1543"/>
      <c r="U62" s="1543"/>
      <c r="V62" s="1543"/>
      <c r="W62" s="1543"/>
      <c r="X62" s="1543"/>
      <c r="Y62" s="1543"/>
    </row>
    <row r="63" spans="6:25" ht="16.5" customHeight="1">
      <c r="F63" s="1543"/>
      <c r="G63" s="1543"/>
      <c r="H63" s="1543"/>
      <c r="I63" s="1543"/>
      <c r="J63" s="1543"/>
      <c r="K63" s="1543"/>
      <c r="L63" s="1543"/>
      <c r="M63" s="1543"/>
      <c r="N63" s="1543"/>
      <c r="O63" s="1543"/>
      <c r="P63" s="1543"/>
      <c r="Q63" s="1543"/>
      <c r="R63" s="1543"/>
      <c r="S63" s="1543"/>
      <c r="T63" s="1543"/>
      <c r="U63" s="1543"/>
      <c r="V63" s="1543"/>
      <c r="W63" s="1543"/>
      <c r="X63" s="1543"/>
      <c r="Y63" s="1543"/>
    </row>
    <row r="64" spans="6:25" ht="16.5" customHeight="1">
      <c r="F64" s="1543"/>
      <c r="G64" s="1543"/>
      <c r="H64" s="1543"/>
      <c r="I64" s="1543"/>
      <c r="J64" s="1543"/>
      <c r="K64" s="1543"/>
      <c r="L64" s="1543"/>
      <c r="M64" s="1543"/>
      <c r="N64" s="1543"/>
      <c r="O64" s="1543"/>
      <c r="P64" s="1543"/>
      <c r="Q64" s="1543"/>
      <c r="R64" s="1543"/>
      <c r="S64" s="1543"/>
      <c r="T64" s="1543"/>
      <c r="U64" s="1543"/>
      <c r="V64" s="1543"/>
      <c r="W64" s="1543"/>
      <c r="X64" s="1543"/>
      <c r="Y64" s="1543"/>
    </row>
    <row r="65" spans="6:25" ht="16.5" customHeight="1">
      <c r="F65" s="1543"/>
      <c r="G65" s="1543"/>
      <c r="H65" s="1543"/>
      <c r="I65" s="1543"/>
      <c r="J65" s="1543"/>
      <c r="K65" s="1543"/>
      <c r="L65" s="1543"/>
      <c r="M65" s="1543"/>
      <c r="N65" s="1543"/>
      <c r="O65" s="1543"/>
      <c r="P65" s="1543"/>
      <c r="Q65" s="1543"/>
      <c r="R65" s="1543"/>
      <c r="S65" s="1543"/>
      <c r="T65" s="1543"/>
      <c r="U65" s="1543"/>
      <c r="V65" s="1543"/>
      <c r="W65" s="1543"/>
      <c r="X65" s="1543"/>
      <c r="Y65" s="1543"/>
    </row>
    <row r="66" spans="6:25" ht="16.5" customHeight="1">
      <c r="F66" s="1543"/>
      <c r="G66" s="1543"/>
      <c r="H66" s="1543"/>
      <c r="I66" s="1543"/>
      <c r="J66" s="1543"/>
      <c r="K66" s="1543"/>
      <c r="L66" s="1543"/>
      <c r="M66" s="1543"/>
      <c r="N66" s="1543"/>
      <c r="O66" s="1543"/>
      <c r="P66" s="1543"/>
      <c r="Q66" s="1543"/>
      <c r="R66" s="1543"/>
      <c r="S66" s="1543"/>
      <c r="T66" s="1543"/>
      <c r="U66" s="1543"/>
      <c r="V66" s="1543"/>
      <c r="W66" s="1543"/>
      <c r="X66" s="1543"/>
      <c r="Y66" s="1543"/>
    </row>
    <row r="67" spans="6:25" ht="16.5" customHeight="1">
      <c r="F67" s="1543"/>
      <c r="G67" s="1543"/>
      <c r="H67" s="1543"/>
      <c r="I67" s="1543"/>
      <c r="J67" s="1543"/>
      <c r="K67" s="1543"/>
      <c r="L67" s="1543"/>
      <c r="M67" s="1543"/>
      <c r="N67" s="1543"/>
      <c r="O67" s="1543"/>
      <c r="P67" s="1543"/>
      <c r="Q67" s="1543"/>
      <c r="R67" s="1543"/>
      <c r="S67" s="1543"/>
      <c r="T67" s="1543"/>
      <c r="U67" s="1543"/>
      <c r="V67" s="1543"/>
      <c r="W67" s="1543"/>
      <c r="X67" s="1543"/>
      <c r="Y67" s="1543"/>
    </row>
    <row r="68" spans="6:25" ht="16.5" customHeight="1">
      <c r="F68" s="1543"/>
      <c r="G68" s="1543"/>
      <c r="H68" s="1543"/>
      <c r="I68" s="1543"/>
      <c r="J68" s="1543"/>
      <c r="K68" s="1543"/>
      <c r="L68" s="1543"/>
      <c r="M68" s="1543"/>
      <c r="N68" s="1543"/>
      <c r="O68" s="1543"/>
      <c r="P68" s="1543"/>
      <c r="Q68" s="1543"/>
      <c r="R68" s="1543"/>
      <c r="S68" s="1543"/>
      <c r="T68" s="1543"/>
      <c r="U68" s="1543"/>
      <c r="V68" s="1543"/>
      <c r="W68" s="1543"/>
      <c r="X68" s="1543"/>
      <c r="Y68" s="1543"/>
    </row>
    <row r="69" spans="6:25" ht="16.5" customHeight="1">
      <c r="F69" s="1543"/>
      <c r="G69" s="1543"/>
      <c r="H69" s="1543"/>
      <c r="I69" s="1543"/>
      <c r="J69" s="1543"/>
      <c r="K69" s="1543"/>
      <c r="L69" s="1543"/>
      <c r="M69" s="1543"/>
      <c r="N69" s="1543"/>
      <c r="O69" s="1543"/>
      <c r="P69" s="1543"/>
      <c r="Q69" s="1543"/>
      <c r="R69" s="1543"/>
      <c r="S69" s="1543"/>
      <c r="T69" s="1543"/>
      <c r="U69" s="1543"/>
      <c r="V69" s="1543"/>
      <c r="W69" s="1543"/>
      <c r="X69" s="1543"/>
      <c r="Y69" s="1543"/>
    </row>
    <row r="70" spans="6:25" ht="16.5" customHeight="1">
      <c r="F70" s="1543"/>
      <c r="G70" s="1543"/>
      <c r="H70" s="1543"/>
      <c r="I70" s="1543"/>
      <c r="J70" s="1543"/>
      <c r="K70" s="1543"/>
      <c r="L70" s="1543"/>
      <c r="M70" s="1543"/>
      <c r="N70" s="1543"/>
      <c r="O70" s="1543"/>
      <c r="P70" s="1543"/>
      <c r="Q70" s="1543"/>
      <c r="R70" s="1543"/>
      <c r="S70" s="1543"/>
      <c r="T70" s="1543"/>
      <c r="U70" s="1543"/>
      <c r="V70" s="1543"/>
      <c r="W70" s="1543"/>
      <c r="X70" s="1543"/>
      <c r="Y70" s="1543"/>
    </row>
    <row r="71" spans="6:25" ht="16.5" customHeight="1">
      <c r="F71" s="1543"/>
      <c r="G71" s="1543"/>
      <c r="H71" s="1543"/>
      <c r="I71" s="1543"/>
      <c r="J71" s="1543"/>
      <c r="K71" s="1543"/>
      <c r="L71" s="1543"/>
      <c r="M71" s="1543"/>
      <c r="N71" s="1543"/>
      <c r="O71" s="1543"/>
      <c r="P71" s="1543"/>
      <c r="Q71" s="1543"/>
      <c r="R71" s="1543"/>
      <c r="S71" s="1543"/>
      <c r="T71" s="1543"/>
      <c r="U71" s="1543"/>
      <c r="V71" s="1543"/>
      <c r="W71" s="1543"/>
      <c r="X71" s="1543"/>
      <c r="Y71" s="1543"/>
    </row>
    <row r="72" spans="6:25" ht="16.5" customHeight="1">
      <c r="F72" s="1543"/>
      <c r="G72" s="1543"/>
      <c r="H72" s="1543"/>
      <c r="I72" s="1543"/>
      <c r="J72" s="1543"/>
      <c r="K72" s="1543"/>
      <c r="L72" s="1543"/>
      <c r="M72" s="1543"/>
      <c r="N72" s="1543"/>
      <c r="O72" s="1543"/>
      <c r="P72" s="1543"/>
      <c r="Q72" s="1543"/>
      <c r="R72" s="1543"/>
      <c r="S72" s="1543"/>
      <c r="T72" s="1543"/>
      <c r="U72" s="1543"/>
      <c r="V72" s="1543"/>
      <c r="W72" s="1543"/>
      <c r="X72" s="1543"/>
      <c r="Y72" s="1543"/>
    </row>
    <row r="73" spans="6:25" ht="16.5" customHeight="1">
      <c r="F73" s="1543"/>
      <c r="G73" s="1543"/>
      <c r="H73" s="1543"/>
      <c r="I73" s="1543"/>
      <c r="J73" s="1543"/>
      <c r="K73" s="1543"/>
      <c r="L73" s="1543"/>
      <c r="M73" s="1543"/>
      <c r="N73" s="1543"/>
      <c r="O73" s="1543"/>
      <c r="P73" s="1543"/>
      <c r="Q73" s="1543"/>
      <c r="R73" s="1543"/>
      <c r="S73" s="1543"/>
      <c r="T73" s="1543"/>
      <c r="U73" s="1543"/>
      <c r="V73" s="1543"/>
      <c r="W73" s="1543"/>
      <c r="X73" s="1543"/>
      <c r="Y73" s="1543"/>
    </row>
    <row r="74" spans="6:25" ht="16.5" customHeight="1">
      <c r="F74" s="1543"/>
      <c r="G74" s="1543"/>
      <c r="H74" s="1543"/>
      <c r="I74" s="1543"/>
      <c r="J74" s="1543"/>
      <c r="K74" s="1543"/>
      <c r="L74" s="1543"/>
      <c r="M74" s="1543"/>
      <c r="N74" s="1543"/>
      <c r="O74" s="1543"/>
      <c r="P74" s="1543"/>
      <c r="Q74" s="1543"/>
      <c r="R74" s="1543"/>
      <c r="S74" s="1543"/>
      <c r="T74" s="1543"/>
      <c r="U74" s="1543"/>
      <c r="V74" s="1543"/>
      <c r="W74" s="1543"/>
      <c r="X74" s="1543"/>
      <c r="Y74" s="1543"/>
    </row>
    <row r="75" spans="6:25" ht="16.5" customHeight="1">
      <c r="F75" s="1543"/>
      <c r="G75" s="1543"/>
      <c r="H75" s="1543"/>
      <c r="I75" s="1543"/>
      <c r="J75" s="1543"/>
      <c r="K75" s="1543"/>
      <c r="L75" s="1543"/>
      <c r="M75" s="1543"/>
      <c r="N75" s="1543"/>
      <c r="O75" s="1543"/>
      <c r="P75" s="1543"/>
      <c r="Q75" s="1543"/>
      <c r="R75" s="1543"/>
      <c r="S75" s="1543"/>
      <c r="T75" s="1543"/>
      <c r="U75" s="1543"/>
      <c r="V75" s="1543"/>
      <c r="W75" s="1543"/>
      <c r="X75" s="1543"/>
      <c r="Y75" s="1543"/>
    </row>
    <row r="76" spans="6:25" ht="16.5" customHeight="1">
      <c r="F76" s="1543"/>
      <c r="G76" s="1543"/>
      <c r="H76" s="1543"/>
      <c r="I76" s="1543"/>
      <c r="J76" s="1543"/>
      <c r="K76" s="1543"/>
      <c r="L76" s="1543"/>
      <c r="M76" s="1543"/>
      <c r="N76" s="1543"/>
      <c r="O76" s="1543"/>
      <c r="P76" s="1543"/>
      <c r="Q76" s="1543"/>
      <c r="R76" s="1543"/>
      <c r="S76" s="1543"/>
      <c r="T76" s="1543"/>
      <c r="U76" s="1543"/>
      <c r="V76" s="1543"/>
      <c r="W76" s="1543"/>
      <c r="X76" s="1543"/>
      <c r="Y76" s="1543"/>
    </row>
    <row r="77" spans="6:25" ht="16.5" customHeight="1">
      <c r="F77" s="1543"/>
      <c r="G77" s="1543"/>
      <c r="H77" s="1543"/>
      <c r="I77" s="1543"/>
      <c r="J77" s="1543"/>
      <c r="K77" s="1543"/>
      <c r="L77" s="1543"/>
      <c r="M77" s="1543"/>
      <c r="N77" s="1543"/>
      <c r="O77" s="1543"/>
      <c r="P77" s="1543"/>
      <c r="Q77" s="1543"/>
      <c r="R77" s="1543"/>
      <c r="S77" s="1543"/>
      <c r="T77" s="1543"/>
      <c r="U77" s="1543"/>
      <c r="V77" s="1543"/>
      <c r="W77" s="1543"/>
      <c r="X77" s="1543"/>
      <c r="Y77" s="1543"/>
    </row>
    <row r="78" spans="6:25" ht="16.5" customHeight="1">
      <c r="F78" s="1543"/>
      <c r="G78" s="1543"/>
      <c r="H78" s="1543"/>
      <c r="I78" s="1543"/>
      <c r="J78" s="1543"/>
      <c r="K78" s="1543"/>
      <c r="L78" s="1543"/>
      <c r="M78" s="1543"/>
      <c r="N78" s="1543"/>
      <c r="O78" s="1543"/>
      <c r="P78" s="1543"/>
      <c r="Q78" s="1543"/>
      <c r="R78" s="1543"/>
      <c r="S78" s="1543"/>
      <c r="T78" s="1543"/>
      <c r="U78" s="1543"/>
      <c r="V78" s="1543"/>
      <c r="W78" s="1543"/>
      <c r="X78" s="1543"/>
      <c r="Y78" s="1543"/>
    </row>
    <row r="79" spans="6:25" ht="16.5" customHeight="1">
      <c r="F79" s="1543"/>
      <c r="G79" s="1543"/>
      <c r="H79" s="1543"/>
      <c r="I79" s="1543"/>
      <c r="J79" s="1543"/>
      <c r="K79" s="1543"/>
      <c r="L79" s="1543"/>
      <c r="M79" s="1543"/>
      <c r="N79" s="1543"/>
      <c r="O79" s="1543"/>
      <c r="P79" s="1543"/>
      <c r="Q79" s="1543"/>
      <c r="R79" s="1543"/>
      <c r="S79" s="1543"/>
      <c r="T79" s="1543"/>
      <c r="U79" s="1543"/>
      <c r="V79" s="1543"/>
      <c r="W79" s="1543"/>
      <c r="X79" s="1543"/>
      <c r="Y79" s="1543"/>
    </row>
    <row r="80" spans="6:25" ht="16.5" customHeight="1">
      <c r="F80" s="1543"/>
      <c r="G80" s="1543"/>
      <c r="H80" s="1543"/>
      <c r="I80" s="1543"/>
      <c r="J80" s="1543"/>
      <c r="K80" s="1543"/>
      <c r="L80" s="1543"/>
      <c r="M80" s="1543"/>
      <c r="N80" s="1543"/>
      <c r="O80" s="1543"/>
      <c r="P80" s="1543"/>
      <c r="Q80" s="1543"/>
      <c r="R80" s="1543"/>
      <c r="S80" s="1543"/>
      <c r="T80" s="1543"/>
      <c r="U80" s="1543"/>
      <c r="V80" s="1543"/>
      <c r="W80" s="1543"/>
      <c r="X80" s="1543"/>
      <c r="Y80" s="1543"/>
    </row>
    <row r="81" spans="6:25" ht="16.5" customHeight="1">
      <c r="F81" s="1543"/>
      <c r="G81" s="1543"/>
      <c r="H81" s="1543"/>
      <c r="I81" s="1543"/>
      <c r="J81" s="1543"/>
      <c r="K81" s="1543"/>
      <c r="L81" s="1543"/>
      <c r="M81" s="1543"/>
      <c r="N81" s="1543"/>
      <c r="O81" s="1543"/>
      <c r="P81" s="1543"/>
      <c r="Q81" s="1543"/>
      <c r="R81" s="1543"/>
      <c r="S81" s="1543"/>
      <c r="T81" s="1543"/>
      <c r="U81" s="1543"/>
      <c r="V81" s="1543"/>
      <c r="W81" s="1543"/>
      <c r="X81" s="1543"/>
      <c r="Y81" s="1543"/>
    </row>
    <row r="82" spans="6:25" ht="16.5" customHeight="1">
      <c r="F82" s="1543"/>
      <c r="G82" s="1543"/>
      <c r="H82" s="1543"/>
      <c r="I82" s="1543"/>
      <c r="J82" s="1543"/>
      <c r="K82" s="1543"/>
      <c r="L82" s="1543"/>
      <c r="M82" s="1543"/>
      <c r="N82" s="1543"/>
      <c r="O82" s="1543"/>
      <c r="P82" s="1543"/>
      <c r="Q82" s="1543"/>
      <c r="R82" s="1543"/>
      <c r="S82" s="1543"/>
      <c r="T82" s="1543"/>
      <c r="U82" s="1543"/>
      <c r="V82" s="1543"/>
      <c r="W82" s="1543"/>
      <c r="X82" s="1543"/>
      <c r="Y82" s="1543"/>
    </row>
    <row r="83" spans="6:25" ht="16.5" customHeight="1">
      <c r="F83" s="1543"/>
      <c r="G83" s="1543"/>
      <c r="H83" s="1543"/>
      <c r="I83" s="1543"/>
      <c r="J83" s="1543"/>
      <c r="K83" s="1543"/>
      <c r="L83" s="1543"/>
      <c r="M83" s="1543"/>
      <c r="N83" s="1543"/>
      <c r="O83" s="1543"/>
      <c r="P83" s="1543"/>
      <c r="Q83" s="1543"/>
      <c r="R83" s="1543"/>
      <c r="S83" s="1543"/>
      <c r="T83" s="1543"/>
      <c r="U83" s="1543"/>
      <c r="V83" s="1543"/>
      <c r="W83" s="1543"/>
      <c r="X83" s="1543"/>
      <c r="Y83" s="1543"/>
    </row>
    <row r="84" spans="6:25" ht="16.5" customHeight="1">
      <c r="F84" s="1543"/>
      <c r="G84" s="1543"/>
      <c r="H84" s="1543"/>
      <c r="I84" s="1543"/>
      <c r="J84" s="1543"/>
      <c r="K84" s="1543"/>
      <c r="L84" s="1543"/>
      <c r="M84" s="1543"/>
      <c r="N84" s="1543"/>
      <c r="O84" s="1543"/>
      <c r="P84" s="1543"/>
      <c r="Q84" s="1543"/>
      <c r="R84" s="1543"/>
      <c r="S84" s="1543"/>
      <c r="T84" s="1543"/>
      <c r="U84" s="1543"/>
      <c r="V84" s="1543"/>
      <c r="W84" s="1543"/>
      <c r="X84" s="1543"/>
      <c r="Y84" s="1543"/>
    </row>
    <row r="85" spans="6:25" ht="16.5" customHeight="1">
      <c r="F85" s="1543"/>
      <c r="G85" s="1543"/>
      <c r="H85" s="1543"/>
      <c r="I85" s="1543"/>
      <c r="J85" s="1543"/>
      <c r="K85" s="1543"/>
      <c r="L85" s="1543"/>
      <c r="M85" s="1543"/>
      <c r="N85" s="1543"/>
      <c r="O85" s="1543"/>
      <c r="P85" s="1543"/>
      <c r="Q85" s="1543"/>
      <c r="R85" s="1543"/>
      <c r="S85" s="1543"/>
      <c r="T85" s="1543"/>
      <c r="U85" s="1543"/>
      <c r="V85" s="1543"/>
      <c r="W85" s="1543"/>
      <c r="X85" s="1543"/>
      <c r="Y85" s="1543"/>
    </row>
    <row r="86" spans="6:25" ht="16.5" customHeight="1">
      <c r="F86" s="1543"/>
      <c r="G86" s="1543"/>
      <c r="H86" s="1543"/>
      <c r="I86" s="1543"/>
      <c r="J86" s="1543"/>
      <c r="K86" s="1543"/>
      <c r="L86" s="1543"/>
      <c r="M86" s="1543"/>
      <c r="N86" s="1543"/>
      <c r="O86" s="1543"/>
      <c r="P86" s="1543"/>
      <c r="Q86" s="1543"/>
      <c r="R86" s="1543"/>
      <c r="S86" s="1543"/>
      <c r="T86" s="1543"/>
      <c r="U86" s="1543"/>
      <c r="V86" s="1543"/>
      <c r="W86" s="1543"/>
      <c r="X86" s="1543"/>
      <c r="Y86" s="1543"/>
    </row>
    <row r="87" spans="6:25" ht="16.5" customHeight="1">
      <c r="F87" s="1543"/>
      <c r="G87" s="1543"/>
      <c r="H87" s="1543"/>
      <c r="I87" s="1543"/>
      <c r="J87" s="1543"/>
      <c r="K87" s="1543"/>
      <c r="L87" s="1543"/>
      <c r="M87" s="1543"/>
      <c r="N87" s="1543"/>
      <c r="O87" s="1543"/>
      <c r="P87" s="1543"/>
      <c r="Q87" s="1543"/>
      <c r="R87" s="1543"/>
      <c r="S87" s="1543"/>
      <c r="T87" s="1543"/>
      <c r="U87" s="1543"/>
      <c r="V87" s="1543"/>
      <c r="W87" s="1543"/>
      <c r="X87" s="1543"/>
      <c r="Y87" s="1543"/>
    </row>
    <row r="88" spans="6:25" ht="16.5" customHeight="1">
      <c r="F88" s="1543"/>
      <c r="G88" s="1543"/>
      <c r="H88" s="1543"/>
      <c r="I88" s="1543"/>
      <c r="J88" s="1543"/>
      <c r="K88" s="1543"/>
      <c r="L88" s="1543"/>
      <c r="M88" s="1543"/>
      <c r="N88" s="1543"/>
      <c r="O88" s="1543"/>
      <c r="P88" s="1543"/>
      <c r="Q88" s="1543"/>
      <c r="R88" s="1543"/>
      <c r="S88" s="1543"/>
      <c r="T88" s="1543"/>
      <c r="U88" s="1543"/>
      <c r="V88" s="1543"/>
      <c r="W88" s="1543"/>
      <c r="X88" s="1543"/>
      <c r="Y88" s="1543"/>
    </row>
    <row r="89" spans="6:25" ht="16.5" customHeight="1">
      <c r="F89" s="1543"/>
      <c r="G89" s="1543"/>
      <c r="H89" s="1543"/>
      <c r="I89" s="1543"/>
      <c r="J89" s="1543"/>
      <c r="K89" s="1543"/>
      <c r="L89" s="1543"/>
      <c r="M89" s="1543"/>
      <c r="N89" s="1543"/>
      <c r="O89" s="1543"/>
      <c r="P89" s="1543"/>
      <c r="Q89" s="1543"/>
      <c r="R89" s="1543"/>
      <c r="S89" s="1543"/>
      <c r="T89" s="1543"/>
      <c r="U89" s="1543"/>
      <c r="V89" s="1543"/>
      <c r="W89" s="1543"/>
      <c r="X89" s="1543"/>
      <c r="Y89" s="1543"/>
    </row>
    <row r="90" spans="6:25" ht="16.5" customHeight="1">
      <c r="F90" s="1543"/>
      <c r="G90" s="1543"/>
      <c r="H90" s="1543"/>
      <c r="I90" s="1543"/>
      <c r="J90" s="1543"/>
      <c r="K90" s="1543"/>
      <c r="L90" s="1543"/>
      <c r="M90" s="1543"/>
      <c r="N90" s="1543"/>
      <c r="O90" s="1543"/>
      <c r="P90" s="1543"/>
      <c r="Q90" s="1543"/>
      <c r="R90" s="1543"/>
      <c r="S90" s="1543"/>
      <c r="T90" s="1543"/>
      <c r="U90" s="1543"/>
      <c r="V90" s="1543"/>
      <c r="W90" s="1543"/>
      <c r="X90" s="1543"/>
      <c r="Y90" s="1543"/>
    </row>
    <row r="91" spans="6:25" ht="16.5" customHeight="1">
      <c r="F91" s="1543"/>
      <c r="G91" s="1543"/>
      <c r="H91" s="1543"/>
      <c r="I91" s="1543"/>
      <c r="J91" s="1543"/>
      <c r="K91" s="1543"/>
      <c r="L91" s="1543"/>
      <c r="M91" s="1543"/>
      <c r="N91" s="1543"/>
      <c r="O91" s="1543"/>
      <c r="P91" s="1543"/>
      <c r="Q91" s="1543"/>
      <c r="R91" s="1543"/>
      <c r="S91" s="1543"/>
      <c r="T91" s="1543"/>
      <c r="U91" s="1543"/>
      <c r="V91" s="1543"/>
      <c r="W91" s="1543"/>
      <c r="X91" s="1543"/>
      <c r="Y91" s="1543"/>
    </row>
    <row r="92" spans="6:25" ht="16.5" customHeight="1">
      <c r="F92" s="1543"/>
      <c r="G92" s="1543"/>
      <c r="H92" s="1543"/>
      <c r="I92" s="1543"/>
      <c r="J92" s="1543"/>
      <c r="K92" s="1543"/>
      <c r="L92" s="1543"/>
      <c r="M92" s="1543"/>
      <c r="N92" s="1543"/>
      <c r="O92" s="1543"/>
      <c r="P92" s="1543"/>
      <c r="Q92" s="1543"/>
      <c r="R92" s="1543"/>
      <c r="S92" s="1543"/>
      <c r="T92" s="1543"/>
      <c r="U92" s="1543"/>
      <c r="V92" s="1543"/>
      <c r="W92" s="1543"/>
      <c r="X92" s="1543"/>
      <c r="Y92" s="1543"/>
    </row>
    <row r="93" spans="6:25" ht="16.5" customHeight="1">
      <c r="F93" s="1543"/>
      <c r="G93" s="1543"/>
      <c r="H93" s="1543"/>
      <c r="I93" s="1543"/>
      <c r="J93" s="1543"/>
      <c r="K93" s="1543"/>
      <c r="L93" s="1543"/>
      <c r="M93" s="1543"/>
      <c r="N93" s="1543"/>
      <c r="O93" s="1543"/>
      <c r="P93" s="1543"/>
      <c r="Q93" s="1543"/>
      <c r="R93" s="1543"/>
      <c r="S93" s="1543"/>
      <c r="T93" s="1543"/>
      <c r="U93" s="1543"/>
      <c r="V93" s="1543"/>
      <c r="W93" s="1543"/>
      <c r="X93" s="1543"/>
      <c r="Y93" s="1543"/>
    </row>
    <row r="94" spans="6:25" ht="16.5" customHeight="1">
      <c r="F94" s="1543"/>
      <c r="G94" s="1543"/>
      <c r="H94" s="1543"/>
      <c r="I94" s="1543"/>
      <c r="J94" s="1543"/>
      <c r="K94" s="1543"/>
      <c r="L94" s="1543"/>
      <c r="M94" s="1543"/>
      <c r="N94" s="1543"/>
      <c r="O94" s="1543"/>
      <c r="P94" s="1543"/>
      <c r="Q94" s="1543"/>
      <c r="R94" s="1543"/>
      <c r="S94" s="1543"/>
      <c r="T94" s="1543"/>
      <c r="U94" s="1543"/>
      <c r="V94" s="1543"/>
      <c r="W94" s="1543"/>
      <c r="X94" s="1543"/>
      <c r="Y94" s="1543"/>
    </row>
    <row r="95" spans="6:25" ht="16.5" customHeight="1">
      <c r="F95" s="1543"/>
      <c r="G95" s="1543"/>
      <c r="H95" s="1543"/>
      <c r="I95" s="1543"/>
      <c r="J95" s="1543"/>
      <c r="K95" s="1543"/>
      <c r="L95" s="1543"/>
      <c r="M95" s="1543"/>
      <c r="N95" s="1543"/>
      <c r="O95" s="1543"/>
      <c r="P95" s="1543"/>
      <c r="Q95" s="1543"/>
      <c r="R95" s="1543"/>
      <c r="S95" s="1543"/>
      <c r="T95" s="1543"/>
      <c r="U95" s="1543"/>
      <c r="V95" s="1543"/>
      <c r="W95" s="1543"/>
      <c r="X95" s="1543"/>
      <c r="Y95" s="1543"/>
    </row>
    <row r="96" spans="6:25" ht="16.5" customHeight="1">
      <c r="F96" s="1543"/>
      <c r="G96" s="1543"/>
      <c r="H96" s="1543"/>
      <c r="I96" s="1543"/>
      <c r="J96" s="1543"/>
      <c r="K96" s="1543"/>
      <c r="L96" s="1543"/>
      <c r="M96" s="1543"/>
      <c r="N96" s="1543"/>
      <c r="O96" s="1543"/>
      <c r="P96" s="1543"/>
      <c r="Q96" s="1543"/>
      <c r="R96" s="1543"/>
      <c r="S96" s="1543"/>
      <c r="T96" s="1543"/>
      <c r="U96" s="1543"/>
      <c r="V96" s="1543"/>
      <c r="W96" s="1543"/>
      <c r="X96" s="1543"/>
      <c r="Y96" s="1543"/>
    </row>
    <row r="97" spans="6:25" ht="16.5" customHeight="1">
      <c r="F97" s="1543"/>
      <c r="G97" s="1543"/>
      <c r="H97" s="1543"/>
      <c r="I97" s="1543"/>
      <c r="J97" s="1543"/>
      <c r="K97" s="1543"/>
      <c r="L97" s="1543"/>
      <c r="M97" s="1543"/>
      <c r="N97" s="1543"/>
      <c r="O97" s="1543"/>
      <c r="P97" s="1543"/>
      <c r="Q97" s="1543"/>
      <c r="R97" s="1543"/>
      <c r="S97" s="1543"/>
      <c r="T97" s="1543"/>
      <c r="U97" s="1543"/>
      <c r="V97" s="1543"/>
      <c r="W97" s="1543"/>
      <c r="X97" s="1543"/>
      <c r="Y97" s="1543"/>
    </row>
    <row r="98" spans="6:25" ht="16.5" customHeight="1">
      <c r="F98" s="1543"/>
      <c r="G98" s="1543"/>
      <c r="H98" s="1543"/>
      <c r="I98" s="1543"/>
      <c r="J98" s="1543"/>
      <c r="K98" s="1543"/>
      <c r="L98" s="1543"/>
      <c r="M98" s="1543"/>
      <c r="N98" s="1543"/>
      <c r="O98" s="1543"/>
      <c r="P98" s="1543"/>
      <c r="Q98" s="1543"/>
      <c r="R98" s="1543"/>
      <c r="S98" s="1543"/>
      <c r="T98" s="1543"/>
      <c r="U98" s="1543"/>
      <c r="V98" s="1543"/>
      <c r="W98" s="1543"/>
      <c r="X98" s="1543"/>
      <c r="Y98" s="1543"/>
    </row>
    <row r="99" spans="6:25" ht="16.5" customHeight="1">
      <c r="F99" s="1543"/>
      <c r="G99" s="1543"/>
      <c r="H99" s="1543"/>
      <c r="I99" s="1543"/>
      <c r="J99" s="1543"/>
      <c r="K99" s="1543"/>
      <c r="L99" s="1543"/>
      <c r="M99" s="1543"/>
      <c r="N99" s="1543"/>
      <c r="O99" s="1543"/>
      <c r="P99" s="1543"/>
      <c r="Q99" s="1543"/>
      <c r="R99" s="1543"/>
      <c r="S99" s="1543"/>
      <c r="T99" s="1543"/>
      <c r="U99" s="1543"/>
      <c r="V99" s="1543"/>
      <c r="W99" s="1543"/>
      <c r="X99" s="1543"/>
      <c r="Y99" s="1543"/>
    </row>
    <row r="100" spans="6:25" ht="16.5" customHeight="1">
      <c r="F100" s="1543"/>
      <c r="G100" s="1543"/>
      <c r="H100" s="1543"/>
      <c r="I100" s="1543"/>
      <c r="J100" s="1543"/>
      <c r="K100" s="1543"/>
      <c r="L100" s="1543"/>
      <c r="M100" s="1543"/>
      <c r="N100" s="1543"/>
      <c r="O100" s="1543"/>
      <c r="P100" s="1543"/>
      <c r="Q100" s="1543"/>
      <c r="R100" s="1543"/>
      <c r="S100" s="1543"/>
      <c r="T100" s="1543"/>
      <c r="U100" s="1543"/>
      <c r="V100" s="1543"/>
      <c r="W100" s="1543"/>
      <c r="X100" s="1543"/>
      <c r="Y100" s="1543"/>
    </row>
    <row r="101" spans="6:25" ht="16.5" customHeight="1">
      <c r="F101" s="1543"/>
      <c r="G101" s="1543"/>
      <c r="H101" s="1543"/>
      <c r="I101" s="1543"/>
      <c r="J101" s="1543"/>
      <c r="K101" s="1543"/>
      <c r="L101" s="1543"/>
      <c r="M101" s="1543"/>
      <c r="N101" s="1543"/>
      <c r="O101" s="1543"/>
      <c r="P101" s="1543"/>
      <c r="Q101" s="1543"/>
      <c r="R101" s="1543"/>
      <c r="S101" s="1543"/>
      <c r="T101" s="1543"/>
      <c r="U101" s="1543"/>
      <c r="V101" s="1543"/>
      <c r="W101" s="1543"/>
      <c r="X101" s="1543"/>
      <c r="Y101" s="1543"/>
    </row>
    <row r="102" spans="6:25" ht="16.5" customHeight="1">
      <c r="F102" s="1543"/>
      <c r="G102" s="1543"/>
      <c r="H102" s="1543"/>
      <c r="I102" s="1543"/>
      <c r="J102" s="1543"/>
      <c r="K102" s="1543"/>
      <c r="L102" s="1543"/>
      <c r="M102" s="1543"/>
      <c r="N102" s="1543"/>
      <c r="O102" s="1543"/>
      <c r="P102" s="1543"/>
      <c r="Q102" s="1543"/>
      <c r="R102" s="1543"/>
      <c r="S102" s="1543"/>
      <c r="T102" s="1543"/>
      <c r="U102" s="1543"/>
      <c r="V102" s="1543"/>
      <c r="W102" s="1543"/>
      <c r="X102" s="1543"/>
      <c r="Y102" s="1543"/>
    </row>
    <row r="103" spans="6:25" ht="16.5" customHeight="1">
      <c r="F103" s="1543"/>
      <c r="G103" s="1543"/>
      <c r="H103" s="1543"/>
      <c r="I103" s="1543"/>
      <c r="J103" s="1543"/>
      <c r="K103" s="1543"/>
      <c r="L103" s="1543"/>
      <c r="M103" s="1543"/>
      <c r="N103" s="1543"/>
      <c r="O103" s="1543"/>
      <c r="P103" s="1543"/>
      <c r="Q103" s="1543"/>
      <c r="R103" s="1543"/>
      <c r="S103" s="1543"/>
      <c r="T103" s="1543"/>
      <c r="U103" s="1543"/>
      <c r="V103" s="1543"/>
      <c r="W103" s="1543"/>
      <c r="X103" s="1543"/>
      <c r="Y103" s="1543"/>
    </row>
    <row r="104" spans="6:25" ht="16.5" customHeight="1">
      <c r="F104" s="1543"/>
      <c r="G104" s="1543"/>
      <c r="H104" s="1543"/>
      <c r="I104" s="1543"/>
      <c r="J104" s="1543"/>
      <c r="K104" s="1543"/>
      <c r="L104" s="1543"/>
      <c r="M104" s="1543"/>
      <c r="N104" s="1543"/>
      <c r="O104" s="1543"/>
      <c r="P104" s="1543"/>
      <c r="Q104" s="1543"/>
      <c r="R104" s="1543"/>
      <c r="S104" s="1543"/>
      <c r="T104" s="1543"/>
      <c r="U104" s="1543"/>
      <c r="V104" s="1543"/>
      <c r="W104" s="1543"/>
      <c r="X104" s="1543"/>
      <c r="Y104" s="1543"/>
    </row>
    <row r="105" spans="6:25" ht="16.5" customHeight="1">
      <c r="F105" s="1543"/>
      <c r="G105" s="1543"/>
      <c r="H105" s="1543"/>
      <c r="I105" s="1543"/>
      <c r="J105" s="1543"/>
      <c r="K105" s="1543"/>
      <c r="L105" s="1543"/>
      <c r="M105" s="1543"/>
      <c r="N105" s="1543"/>
      <c r="O105" s="1543"/>
      <c r="P105" s="1543"/>
      <c r="Q105" s="1543"/>
      <c r="R105" s="1543"/>
      <c r="S105" s="1543"/>
      <c r="T105" s="1543"/>
      <c r="U105" s="1543"/>
      <c r="V105" s="1543"/>
      <c r="W105" s="1543"/>
      <c r="X105" s="1543"/>
      <c r="Y105" s="1543"/>
    </row>
    <row r="106" spans="6:25" ht="16.5" customHeight="1">
      <c r="F106" s="1543"/>
      <c r="G106" s="1543"/>
      <c r="H106" s="1543"/>
      <c r="I106" s="1543"/>
      <c r="J106" s="1543"/>
      <c r="K106" s="1543"/>
      <c r="L106" s="1543"/>
      <c r="M106" s="1543"/>
      <c r="N106" s="1543"/>
      <c r="O106" s="1543"/>
      <c r="P106" s="1543"/>
      <c r="Q106" s="1543"/>
      <c r="R106" s="1543"/>
      <c r="S106" s="1543"/>
      <c r="T106" s="1543"/>
      <c r="U106" s="1543"/>
      <c r="V106" s="1543"/>
      <c r="W106" s="1543"/>
      <c r="X106" s="1543"/>
      <c r="Y106" s="1543"/>
    </row>
    <row r="107" spans="6:25" ht="16.5" customHeight="1">
      <c r="F107" s="1543"/>
      <c r="G107" s="1543"/>
      <c r="H107" s="1543"/>
      <c r="I107" s="1543"/>
      <c r="J107" s="1543"/>
      <c r="K107" s="1543"/>
      <c r="L107" s="1543"/>
      <c r="M107" s="1543"/>
      <c r="N107" s="1543"/>
      <c r="O107" s="1543"/>
      <c r="P107" s="1543"/>
      <c r="Q107" s="1543"/>
      <c r="R107" s="1543"/>
      <c r="S107" s="1543"/>
      <c r="T107" s="1543"/>
      <c r="U107" s="1543"/>
      <c r="V107" s="1543"/>
      <c r="W107" s="1543"/>
      <c r="X107" s="1543"/>
      <c r="Y107" s="1543"/>
    </row>
    <row r="108" spans="6:25" ht="16.5" customHeight="1">
      <c r="F108" s="1543"/>
      <c r="G108" s="1543"/>
      <c r="H108" s="1543"/>
      <c r="I108" s="1543"/>
      <c r="J108" s="1543"/>
      <c r="K108" s="1543"/>
      <c r="L108" s="1543"/>
      <c r="M108" s="1543"/>
      <c r="N108" s="1543"/>
      <c r="O108" s="1543"/>
      <c r="P108" s="1543"/>
      <c r="Q108" s="1543"/>
      <c r="R108" s="1543"/>
      <c r="S108" s="1543"/>
      <c r="T108" s="1543"/>
      <c r="U108" s="1543"/>
      <c r="V108" s="1543"/>
      <c r="W108" s="1543"/>
      <c r="X108" s="1543"/>
      <c r="Y108" s="1543"/>
    </row>
    <row r="109" spans="6:25" ht="16.5" customHeight="1">
      <c r="F109" s="1543"/>
      <c r="G109" s="1543"/>
      <c r="H109" s="1543"/>
      <c r="I109" s="1543"/>
      <c r="J109" s="1543"/>
      <c r="K109" s="1543"/>
      <c r="L109" s="1543"/>
      <c r="M109" s="1543"/>
      <c r="N109" s="1543"/>
      <c r="O109" s="1543"/>
      <c r="P109" s="1543"/>
      <c r="Q109" s="1543"/>
      <c r="R109" s="1543"/>
      <c r="S109" s="1543"/>
      <c r="T109" s="1543"/>
      <c r="U109" s="1543"/>
      <c r="V109" s="1543"/>
      <c r="W109" s="1543"/>
      <c r="X109" s="1543"/>
      <c r="Y109" s="1543"/>
    </row>
    <row r="110" spans="6:25" ht="16.5" customHeight="1">
      <c r="F110" s="1543"/>
      <c r="G110" s="1543"/>
      <c r="H110" s="1543"/>
      <c r="I110" s="1543"/>
      <c r="J110" s="1543"/>
      <c r="K110" s="1543"/>
      <c r="L110" s="1543"/>
      <c r="M110" s="1543"/>
      <c r="N110" s="1543"/>
      <c r="O110" s="1543"/>
      <c r="P110" s="1543"/>
      <c r="Q110" s="1543"/>
      <c r="R110" s="1543"/>
      <c r="S110" s="1543"/>
      <c r="T110" s="1543"/>
      <c r="U110" s="1543"/>
      <c r="V110" s="1543"/>
      <c r="W110" s="1543"/>
      <c r="X110" s="1543"/>
      <c r="Y110" s="1543"/>
    </row>
    <row r="111" spans="6:25" ht="16.5" customHeight="1">
      <c r="F111" s="1543"/>
      <c r="G111" s="1543"/>
      <c r="H111" s="1543"/>
      <c r="I111" s="1543"/>
      <c r="J111" s="1543"/>
      <c r="K111" s="1543"/>
      <c r="L111" s="1543"/>
      <c r="M111" s="1543"/>
      <c r="N111" s="1543"/>
      <c r="O111" s="1543"/>
      <c r="P111" s="1543"/>
      <c r="Q111" s="1543"/>
      <c r="R111" s="1543"/>
      <c r="S111" s="1543"/>
      <c r="T111" s="1543"/>
      <c r="U111" s="1543"/>
      <c r="V111" s="1543"/>
      <c r="W111" s="1543"/>
      <c r="X111" s="1543"/>
      <c r="Y111" s="1543"/>
    </row>
    <row r="112" spans="6:25" ht="16.5" customHeight="1">
      <c r="F112" s="1543"/>
      <c r="G112" s="1543"/>
      <c r="H112" s="1543"/>
      <c r="I112" s="1543"/>
      <c r="J112" s="1543"/>
      <c r="K112" s="1543"/>
      <c r="L112" s="1543"/>
      <c r="M112" s="1543"/>
      <c r="N112" s="1543"/>
      <c r="O112" s="1543"/>
      <c r="P112" s="1543"/>
      <c r="Q112" s="1543"/>
      <c r="R112" s="1543"/>
      <c r="S112" s="1543"/>
      <c r="T112" s="1543"/>
      <c r="U112" s="1543"/>
      <c r="V112" s="1543"/>
      <c r="W112" s="1543"/>
      <c r="X112" s="1543"/>
      <c r="Y112" s="1543"/>
    </row>
    <row r="113" spans="6:25" ht="16.5" customHeight="1">
      <c r="F113" s="1543"/>
      <c r="G113" s="1543"/>
      <c r="H113" s="1543"/>
      <c r="I113" s="1543"/>
      <c r="J113" s="1543"/>
      <c r="K113" s="1543"/>
      <c r="L113" s="1543"/>
      <c r="M113" s="1543"/>
      <c r="N113" s="1543"/>
      <c r="O113" s="1543"/>
      <c r="P113" s="1543"/>
      <c r="Q113" s="1543"/>
      <c r="R113" s="1543"/>
      <c r="S113" s="1543"/>
      <c r="T113" s="1543"/>
      <c r="U113" s="1543"/>
      <c r="V113" s="1543"/>
      <c r="W113" s="1543"/>
      <c r="X113" s="1543"/>
      <c r="Y113" s="1543"/>
    </row>
    <row r="114" spans="6:25" ht="16.5" customHeight="1">
      <c r="F114" s="1543"/>
      <c r="G114" s="1543"/>
      <c r="H114" s="1543"/>
      <c r="I114" s="1543"/>
      <c r="J114" s="1543"/>
      <c r="K114" s="1543"/>
      <c r="L114" s="1543"/>
      <c r="M114" s="1543"/>
      <c r="N114" s="1543"/>
      <c r="O114" s="1543"/>
      <c r="P114" s="1543"/>
      <c r="Q114" s="1543"/>
      <c r="R114" s="1543"/>
      <c r="S114" s="1543"/>
      <c r="T114" s="1543"/>
      <c r="U114" s="1543"/>
      <c r="V114" s="1543"/>
      <c r="W114" s="1543"/>
      <c r="X114" s="1543"/>
      <c r="Y114" s="1543"/>
    </row>
    <row r="115" spans="6:25" ht="16.5" customHeight="1">
      <c r="F115" s="1543"/>
      <c r="G115" s="1543"/>
      <c r="H115" s="1543"/>
      <c r="I115" s="1543"/>
      <c r="J115" s="1543"/>
      <c r="K115" s="1543"/>
      <c r="L115" s="1543"/>
      <c r="M115" s="1543"/>
      <c r="N115" s="1543"/>
      <c r="O115" s="1543"/>
      <c r="P115" s="1543"/>
      <c r="Q115" s="1543"/>
      <c r="R115" s="1543"/>
      <c r="S115" s="1543"/>
      <c r="T115" s="1543"/>
      <c r="U115" s="1543"/>
      <c r="V115" s="1543"/>
      <c r="W115" s="1543"/>
      <c r="X115" s="1543"/>
      <c r="Y115" s="1543"/>
    </row>
    <row r="116" spans="6:25" ht="16.5" customHeight="1">
      <c r="F116" s="1543"/>
      <c r="G116" s="1543"/>
      <c r="H116" s="1543"/>
      <c r="I116" s="1543"/>
      <c r="J116" s="1543"/>
      <c r="K116" s="1543"/>
      <c r="L116" s="1543"/>
      <c r="M116" s="1543"/>
      <c r="N116" s="1543"/>
      <c r="O116" s="1543"/>
      <c r="P116" s="1543"/>
      <c r="Q116" s="1543"/>
      <c r="R116" s="1543"/>
      <c r="S116" s="1543"/>
      <c r="T116" s="1543"/>
      <c r="U116" s="1543"/>
      <c r="V116" s="1543"/>
      <c r="W116" s="1543"/>
      <c r="X116" s="1543"/>
      <c r="Y116" s="1543"/>
    </row>
    <row r="117" spans="6:25" ht="16.5" customHeight="1">
      <c r="F117" s="1543"/>
      <c r="G117" s="1543"/>
      <c r="H117" s="1543"/>
      <c r="I117" s="1543"/>
      <c r="J117" s="1543"/>
      <c r="K117" s="1543"/>
      <c r="L117" s="1543"/>
      <c r="M117" s="1543"/>
      <c r="N117" s="1543"/>
      <c r="O117" s="1543"/>
      <c r="P117" s="1543"/>
      <c r="Q117" s="1543"/>
      <c r="R117" s="1543"/>
      <c r="S117" s="1543"/>
      <c r="T117" s="1543"/>
      <c r="U117" s="1543"/>
      <c r="V117" s="1543"/>
      <c r="W117" s="1543"/>
      <c r="X117" s="1543"/>
      <c r="Y117" s="1543"/>
    </row>
    <row r="118" spans="6:25" ht="16.5" customHeight="1">
      <c r="F118" s="1543"/>
      <c r="G118" s="1543"/>
      <c r="H118" s="1543"/>
      <c r="I118" s="1543"/>
      <c r="J118" s="1543"/>
      <c r="K118" s="1543"/>
      <c r="L118" s="1543"/>
      <c r="M118" s="1543"/>
      <c r="N118" s="1543"/>
      <c r="O118" s="1543"/>
      <c r="P118" s="1543"/>
      <c r="Q118" s="1543"/>
      <c r="R118" s="1543"/>
      <c r="S118" s="1543"/>
      <c r="T118" s="1543"/>
      <c r="U118" s="1543"/>
      <c r="V118" s="1543"/>
      <c r="W118" s="1543"/>
      <c r="X118" s="1543"/>
      <c r="Y118" s="1543"/>
    </row>
    <row r="119" spans="6:25" ht="16.5" customHeight="1">
      <c r="F119" s="1543"/>
      <c r="G119" s="1543"/>
      <c r="H119" s="1543"/>
      <c r="I119" s="1543"/>
      <c r="J119" s="1543"/>
      <c r="K119" s="1543"/>
      <c r="L119" s="1543"/>
      <c r="M119" s="1543"/>
      <c r="N119" s="1543"/>
      <c r="O119" s="1543"/>
      <c r="P119" s="1543"/>
      <c r="Q119" s="1543"/>
      <c r="R119" s="1543"/>
      <c r="S119" s="1543"/>
      <c r="T119" s="1543"/>
      <c r="U119" s="1543"/>
      <c r="V119" s="1543"/>
      <c r="W119" s="1543"/>
      <c r="X119" s="1543"/>
      <c r="Y119" s="1543"/>
    </row>
    <row r="120" spans="6:25" ht="16.5" customHeight="1">
      <c r="F120" s="1543"/>
      <c r="G120" s="1543"/>
      <c r="H120" s="1543"/>
      <c r="I120" s="1543"/>
      <c r="J120" s="1543"/>
      <c r="K120" s="1543"/>
      <c r="L120" s="1543"/>
      <c r="M120" s="1543"/>
      <c r="N120" s="1543"/>
      <c r="O120" s="1543"/>
      <c r="P120" s="1543"/>
      <c r="Q120" s="1543"/>
      <c r="R120" s="1543"/>
      <c r="S120" s="1543"/>
      <c r="T120" s="1543"/>
      <c r="U120" s="1543"/>
      <c r="V120" s="1543"/>
      <c r="W120" s="1543"/>
      <c r="X120" s="1543"/>
      <c r="Y120" s="1543"/>
    </row>
    <row r="121" spans="6:25" ht="16.5" customHeight="1">
      <c r="F121" s="1543"/>
      <c r="G121" s="1543"/>
      <c r="H121" s="1543"/>
      <c r="I121" s="1543"/>
      <c r="J121" s="1543"/>
      <c r="K121" s="1543"/>
      <c r="L121" s="1543"/>
      <c r="M121" s="1543"/>
      <c r="N121" s="1543"/>
      <c r="O121" s="1543"/>
      <c r="P121" s="1543"/>
      <c r="Q121" s="1543"/>
      <c r="R121" s="1543"/>
      <c r="S121" s="1543"/>
      <c r="T121" s="1543"/>
      <c r="U121" s="1543"/>
      <c r="V121" s="1543"/>
      <c r="W121" s="1543"/>
      <c r="X121" s="1543"/>
      <c r="Y121" s="1543"/>
    </row>
    <row r="122" spans="6:25" ht="16.5" customHeight="1">
      <c r="F122" s="1543"/>
      <c r="G122" s="1543"/>
      <c r="H122" s="1543"/>
      <c r="I122" s="1543"/>
      <c r="J122" s="1543"/>
      <c r="K122" s="1543"/>
      <c r="L122" s="1543"/>
      <c r="M122" s="1543"/>
      <c r="N122" s="1543"/>
      <c r="O122" s="1543"/>
      <c r="P122" s="1543"/>
      <c r="Q122" s="1543"/>
      <c r="R122" s="1543"/>
      <c r="S122" s="1543"/>
      <c r="T122" s="1543"/>
      <c r="U122" s="1543"/>
      <c r="V122" s="1543"/>
      <c r="W122" s="1543"/>
      <c r="X122" s="1543"/>
      <c r="Y122" s="1543"/>
    </row>
    <row r="123" spans="6:25" ht="16.5" customHeight="1">
      <c r="F123" s="1543"/>
      <c r="G123" s="1543"/>
      <c r="H123" s="1543"/>
      <c r="I123" s="1543"/>
      <c r="J123" s="1543"/>
      <c r="K123" s="1543"/>
      <c r="L123" s="1543"/>
      <c r="M123" s="1543"/>
      <c r="N123" s="1543"/>
      <c r="O123" s="1543"/>
      <c r="P123" s="1543"/>
      <c r="Q123" s="1543"/>
      <c r="R123" s="1543"/>
      <c r="S123" s="1543"/>
      <c r="T123" s="1543"/>
      <c r="U123" s="1543"/>
      <c r="V123" s="1543"/>
      <c r="W123" s="1543"/>
      <c r="X123" s="1543"/>
      <c r="Y123" s="1543"/>
    </row>
    <row r="124" spans="6:25" ht="16.5" customHeight="1">
      <c r="F124" s="1543"/>
      <c r="G124" s="1543"/>
      <c r="H124" s="1543"/>
      <c r="I124" s="1543"/>
      <c r="J124" s="1543"/>
      <c r="K124" s="1543"/>
      <c r="L124" s="1543"/>
      <c r="M124" s="1543"/>
      <c r="N124" s="1543"/>
      <c r="O124" s="1543"/>
      <c r="P124" s="1543"/>
      <c r="Q124" s="1543"/>
      <c r="R124" s="1543"/>
      <c r="S124" s="1543"/>
      <c r="T124" s="1543"/>
      <c r="U124" s="1543"/>
      <c r="V124" s="1543"/>
      <c r="W124" s="1543"/>
      <c r="X124" s="1543"/>
      <c r="Y124" s="1543"/>
    </row>
    <row r="125" spans="6:25" ht="16.5" customHeight="1">
      <c r="F125" s="1543"/>
      <c r="G125" s="1543"/>
      <c r="H125" s="1543"/>
      <c r="I125" s="1543"/>
      <c r="J125" s="1543"/>
      <c r="K125" s="1543"/>
      <c r="L125" s="1543"/>
      <c r="M125" s="1543"/>
      <c r="N125" s="1543"/>
      <c r="O125" s="1543"/>
      <c r="P125" s="1543"/>
      <c r="Q125" s="1543"/>
      <c r="R125" s="1543"/>
      <c r="S125" s="1543"/>
      <c r="T125" s="1543"/>
      <c r="U125" s="1543"/>
      <c r="V125" s="1543"/>
      <c r="W125" s="1543"/>
      <c r="X125" s="1543"/>
      <c r="Y125" s="1543"/>
    </row>
    <row r="126" spans="6:25" ht="16.5" customHeight="1">
      <c r="F126" s="1543"/>
      <c r="G126" s="1543"/>
      <c r="H126" s="1543"/>
      <c r="I126" s="1543"/>
      <c r="J126" s="1543"/>
      <c r="K126" s="1543"/>
      <c r="L126" s="1543"/>
      <c r="M126" s="1543"/>
      <c r="N126" s="1543"/>
      <c r="O126" s="1543"/>
      <c r="P126" s="1543"/>
      <c r="Q126" s="1543"/>
      <c r="R126" s="1543"/>
      <c r="S126" s="1543"/>
      <c r="T126" s="1543"/>
      <c r="U126" s="1543"/>
      <c r="V126" s="1543"/>
      <c r="W126" s="1543"/>
      <c r="X126" s="1543"/>
      <c r="Y126" s="1543"/>
    </row>
    <row r="127" spans="6:25" ht="16.5" customHeight="1">
      <c r="F127" s="1543"/>
      <c r="G127" s="1543"/>
      <c r="H127" s="1543"/>
      <c r="I127" s="1543"/>
      <c r="J127" s="1543"/>
      <c r="K127" s="1543"/>
      <c r="L127" s="1543"/>
      <c r="M127" s="1543"/>
      <c r="N127" s="1543"/>
      <c r="O127" s="1543"/>
      <c r="P127" s="1543"/>
      <c r="Q127" s="1543"/>
      <c r="R127" s="1543"/>
      <c r="S127" s="1543"/>
      <c r="T127" s="1543"/>
      <c r="U127" s="1543"/>
      <c r="V127" s="1543"/>
      <c r="W127" s="1543"/>
      <c r="X127" s="1543"/>
      <c r="Y127" s="1543"/>
    </row>
    <row r="128" spans="6:25" ht="16.5" customHeight="1">
      <c r="F128" s="1543"/>
      <c r="G128" s="1543"/>
      <c r="H128" s="1543"/>
      <c r="I128" s="1543"/>
      <c r="J128" s="1543"/>
      <c r="K128" s="1543"/>
      <c r="L128" s="1543"/>
      <c r="M128" s="1543"/>
      <c r="N128" s="1543"/>
      <c r="O128" s="1543"/>
      <c r="P128" s="1543"/>
      <c r="Q128" s="1543"/>
      <c r="R128" s="1543"/>
      <c r="S128" s="1543"/>
      <c r="T128" s="1543"/>
      <c r="U128" s="1543"/>
      <c r="V128" s="1543"/>
      <c r="W128" s="1543"/>
      <c r="X128" s="1543"/>
      <c r="Y128" s="1543"/>
    </row>
    <row r="129" spans="6:25" ht="16.5" customHeight="1">
      <c r="F129" s="1543"/>
      <c r="G129" s="1543"/>
      <c r="H129" s="1543"/>
      <c r="I129" s="1543"/>
      <c r="J129" s="1543"/>
      <c r="K129" s="1543"/>
      <c r="L129" s="1543"/>
      <c r="M129" s="1543"/>
      <c r="N129" s="1543"/>
      <c r="O129" s="1543"/>
      <c r="P129" s="1543"/>
      <c r="Q129" s="1543"/>
      <c r="R129" s="1543"/>
      <c r="S129" s="1543"/>
      <c r="T129" s="1543"/>
      <c r="U129" s="1543"/>
      <c r="V129" s="1543"/>
      <c r="W129" s="1543"/>
      <c r="X129" s="1543"/>
      <c r="Y129" s="1543"/>
    </row>
    <row r="130" spans="6:25" ht="16.5" customHeight="1">
      <c r="F130" s="1543"/>
      <c r="G130" s="1543"/>
      <c r="H130" s="1543"/>
      <c r="I130" s="1543"/>
      <c r="J130" s="1543"/>
      <c r="K130" s="1543"/>
      <c r="L130" s="1543"/>
      <c r="M130" s="1543"/>
      <c r="N130" s="1543"/>
      <c r="O130" s="1543"/>
      <c r="P130" s="1543"/>
      <c r="Q130" s="1543"/>
      <c r="R130" s="1543"/>
      <c r="S130" s="1543"/>
      <c r="T130" s="1543"/>
      <c r="U130" s="1543"/>
      <c r="V130" s="1543"/>
      <c r="W130" s="1543"/>
      <c r="X130" s="1543"/>
      <c r="Y130" s="1543"/>
    </row>
    <row r="131" spans="6:25" ht="16.5" customHeight="1">
      <c r="F131" s="1543"/>
      <c r="G131" s="1543"/>
      <c r="H131" s="1543"/>
      <c r="I131" s="1543"/>
      <c r="J131" s="1543"/>
      <c r="K131" s="1543"/>
      <c r="L131" s="1543"/>
      <c r="M131" s="1543"/>
      <c r="N131" s="1543"/>
      <c r="O131" s="1543"/>
      <c r="P131" s="1543"/>
      <c r="Q131" s="1543"/>
      <c r="R131" s="1543"/>
      <c r="S131" s="1543"/>
      <c r="T131" s="1543"/>
      <c r="U131" s="1543"/>
      <c r="V131" s="1543"/>
      <c r="W131" s="1543"/>
      <c r="X131" s="1543"/>
      <c r="Y131" s="1543"/>
    </row>
    <row r="132" spans="6:25" ht="16.5" customHeight="1">
      <c r="F132" s="1543"/>
      <c r="G132" s="1543"/>
      <c r="H132" s="1543"/>
      <c r="I132" s="1543"/>
      <c r="J132" s="1543"/>
      <c r="K132" s="1543"/>
      <c r="L132" s="1543"/>
      <c r="M132" s="1543"/>
      <c r="N132" s="1543"/>
      <c r="O132" s="1543"/>
      <c r="P132" s="1543"/>
      <c r="Q132" s="1543"/>
      <c r="R132" s="1543"/>
      <c r="S132" s="1543"/>
      <c r="T132" s="1543"/>
      <c r="U132" s="1543"/>
      <c r="V132" s="1543"/>
      <c r="W132" s="1543"/>
      <c r="X132" s="1543"/>
      <c r="Y132" s="1543"/>
    </row>
    <row r="133" spans="6:25" ht="16.5" customHeight="1">
      <c r="F133" s="1543"/>
      <c r="G133" s="1543"/>
      <c r="H133" s="1543"/>
      <c r="I133" s="1543"/>
      <c r="J133" s="1543"/>
      <c r="K133" s="1543"/>
      <c r="L133" s="1543"/>
      <c r="M133" s="1543"/>
      <c r="N133" s="1543"/>
      <c r="O133" s="1543"/>
      <c r="P133" s="1543"/>
      <c r="Q133" s="1543"/>
      <c r="R133" s="1543"/>
      <c r="S133" s="1543"/>
      <c r="T133" s="1543"/>
      <c r="U133" s="1543"/>
      <c r="V133" s="1543"/>
      <c r="W133" s="1543"/>
      <c r="X133" s="1543"/>
      <c r="Y133" s="1543"/>
    </row>
    <row r="134" spans="6:25" ht="16.5" customHeight="1">
      <c r="F134" s="1543"/>
      <c r="G134" s="1543"/>
      <c r="H134" s="1543"/>
      <c r="I134" s="1543"/>
      <c r="J134" s="1543"/>
      <c r="K134" s="1543"/>
      <c r="L134" s="1543"/>
      <c r="M134" s="1543"/>
      <c r="N134" s="1543"/>
      <c r="O134" s="1543"/>
      <c r="P134" s="1543"/>
      <c r="Q134" s="1543"/>
      <c r="R134" s="1543"/>
      <c r="S134" s="1543"/>
      <c r="T134" s="1543"/>
      <c r="U134" s="1543"/>
      <c r="V134" s="1543"/>
      <c r="W134" s="1543"/>
      <c r="X134" s="1543"/>
      <c r="Y134" s="1543"/>
    </row>
    <row r="135" spans="6:25" ht="16.5" customHeight="1">
      <c r="F135" s="1543"/>
      <c r="G135" s="1543"/>
      <c r="H135" s="1543"/>
      <c r="I135" s="1543"/>
      <c r="J135" s="1543"/>
      <c r="K135" s="1543"/>
      <c r="L135" s="1543"/>
      <c r="M135" s="1543"/>
      <c r="N135" s="1543"/>
      <c r="O135" s="1543"/>
      <c r="P135" s="1543"/>
      <c r="Q135" s="1543"/>
      <c r="R135" s="1543"/>
      <c r="S135" s="1543"/>
      <c r="T135" s="1543"/>
      <c r="U135" s="1543"/>
      <c r="V135" s="1543"/>
      <c r="W135" s="1543"/>
      <c r="X135" s="1543"/>
      <c r="Y135" s="1543"/>
    </row>
    <row r="136" spans="6:25" ht="16.5" customHeight="1">
      <c r="F136" s="1543"/>
      <c r="G136" s="1543"/>
      <c r="H136" s="1543"/>
      <c r="I136" s="1543"/>
      <c r="J136" s="1543"/>
      <c r="K136" s="1543"/>
      <c r="L136" s="1543"/>
      <c r="M136" s="1543"/>
      <c r="N136" s="1543"/>
      <c r="O136" s="1543"/>
      <c r="P136" s="1543"/>
      <c r="Q136" s="1543"/>
      <c r="R136" s="1543"/>
      <c r="S136" s="1543"/>
      <c r="T136" s="1543"/>
      <c r="U136" s="1543"/>
      <c r="V136" s="1543"/>
      <c r="W136" s="1543"/>
      <c r="X136" s="1543"/>
      <c r="Y136" s="1543"/>
    </row>
    <row r="137" spans="6:25" ht="16.5" customHeight="1">
      <c r="F137" s="1543"/>
      <c r="G137" s="1543"/>
      <c r="H137" s="1543"/>
      <c r="I137" s="1543"/>
      <c r="J137" s="1543"/>
      <c r="K137" s="1543"/>
      <c r="L137" s="1543"/>
      <c r="M137" s="1543"/>
      <c r="N137" s="1543"/>
      <c r="O137" s="1543"/>
      <c r="P137" s="1543"/>
      <c r="Q137" s="1543"/>
      <c r="R137" s="1543"/>
      <c r="S137" s="1543"/>
      <c r="T137" s="1543"/>
      <c r="U137" s="1543"/>
      <c r="V137" s="1543"/>
      <c r="W137" s="1543"/>
      <c r="X137" s="1543"/>
      <c r="Y137" s="1543"/>
    </row>
    <row r="138" spans="6:25" ht="16.5" customHeight="1">
      <c r="F138" s="1543"/>
      <c r="G138" s="1543"/>
      <c r="H138" s="1543"/>
      <c r="I138" s="1543"/>
      <c r="J138" s="1543"/>
      <c r="K138" s="1543"/>
      <c r="L138" s="1543"/>
      <c r="M138" s="1543"/>
      <c r="N138" s="1543"/>
      <c r="O138" s="1543"/>
      <c r="P138" s="1543"/>
      <c r="Q138" s="1543"/>
      <c r="R138" s="1543"/>
      <c r="S138" s="1543"/>
      <c r="T138" s="1543"/>
      <c r="U138" s="1543"/>
      <c r="V138" s="1543"/>
      <c r="W138" s="1543"/>
      <c r="X138" s="1543"/>
      <c r="Y138" s="1543"/>
    </row>
    <row r="139" spans="6:25" ht="16.5" customHeight="1">
      <c r="F139" s="1543"/>
      <c r="G139" s="1543"/>
      <c r="H139" s="1543"/>
      <c r="I139" s="1543"/>
      <c r="J139" s="1543"/>
      <c r="K139" s="1543"/>
      <c r="L139" s="1543"/>
      <c r="M139" s="1543"/>
      <c r="N139" s="1543"/>
      <c r="O139" s="1543"/>
      <c r="P139" s="1543"/>
      <c r="Q139" s="1543"/>
      <c r="R139" s="1543"/>
      <c r="S139" s="1543"/>
      <c r="T139" s="1543"/>
      <c r="U139" s="1543"/>
      <c r="V139" s="1543"/>
      <c r="W139" s="1543"/>
      <c r="X139" s="1543"/>
      <c r="Y139" s="1543"/>
    </row>
    <row r="140" spans="6:25" ht="16.5" customHeight="1">
      <c r="F140" s="1543"/>
      <c r="G140" s="1543"/>
      <c r="H140" s="1543"/>
      <c r="I140" s="1543"/>
      <c r="J140" s="1543"/>
      <c r="K140" s="1543"/>
      <c r="L140" s="1543"/>
      <c r="M140" s="1543"/>
      <c r="N140" s="1543"/>
      <c r="O140" s="1543"/>
      <c r="P140" s="1543"/>
      <c r="Q140" s="1543"/>
      <c r="R140" s="1543"/>
      <c r="S140" s="1543"/>
      <c r="T140" s="1543"/>
      <c r="U140" s="1543"/>
      <c r="V140" s="1543"/>
      <c r="W140" s="1543"/>
      <c r="X140" s="1543"/>
      <c r="Y140" s="1543"/>
    </row>
    <row r="141" spans="6:25" ht="16.5" customHeight="1">
      <c r="F141" s="1543"/>
      <c r="G141" s="1543"/>
      <c r="H141" s="1543"/>
      <c r="I141" s="1543"/>
      <c r="J141" s="1543"/>
      <c r="K141" s="1543"/>
      <c r="L141" s="1543"/>
      <c r="M141" s="1543"/>
      <c r="N141" s="1543"/>
      <c r="O141" s="1543"/>
      <c r="P141" s="1543"/>
      <c r="Q141" s="1543"/>
      <c r="R141" s="1543"/>
      <c r="S141" s="1543"/>
      <c r="T141" s="1543"/>
      <c r="U141" s="1543"/>
      <c r="V141" s="1543"/>
      <c r="W141" s="1543"/>
      <c r="X141" s="1543"/>
      <c r="Y141" s="1543"/>
    </row>
    <row r="142" spans="6:25" ht="16.5" customHeight="1">
      <c r="F142" s="1543"/>
      <c r="G142" s="1543"/>
      <c r="H142" s="1543"/>
      <c r="I142" s="1543"/>
      <c r="J142" s="1543"/>
      <c r="K142" s="1543"/>
      <c r="L142" s="1543"/>
      <c r="M142" s="1543"/>
      <c r="N142" s="1543"/>
      <c r="O142" s="1543"/>
      <c r="P142" s="1543"/>
      <c r="Q142" s="1543"/>
      <c r="R142" s="1543"/>
      <c r="S142" s="1543"/>
      <c r="T142" s="1543"/>
      <c r="U142" s="1543"/>
      <c r="V142" s="1543"/>
      <c r="W142" s="1543"/>
      <c r="X142" s="1543"/>
      <c r="Y142" s="1543"/>
    </row>
    <row r="143" spans="6:25" ht="16.5" customHeight="1">
      <c r="F143" s="1543"/>
      <c r="G143" s="1543"/>
      <c r="H143" s="1543"/>
      <c r="I143" s="1543"/>
      <c r="J143" s="1543"/>
      <c r="K143" s="1543"/>
      <c r="L143" s="1543"/>
      <c r="M143" s="1543"/>
      <c r="N143" s="1543"/>
      <c r="O143" s="1543"/>
      <c r="P143" s="1543"/>
      <c r="Q143" s="1543"/>
      <c r="R143" s="1543"/>
      <c r="S143" s="1543"/>
      <c r="T143" s="1543"/>
      <c r="U143" s="1543"/>
      <c r="V143" s="1543"/>
      <c r="W143" s="1543"/>
      <c r="X143" s="1543"/>
      <c r="Y143" s="1543"/>
    </row>
    <row r="144" spans="6:25" ht="16.5" customHeight="1">
      <c r="F144" s="1543"/>
      <c r="G144" s="1543"/>
      <c r="H144" s="1543"/>
      <c r="I144" s="1543"/>
      <c r="J144" s="1543"/>
      <c r="K144" s="1543"/>
      <c r="L144" s="1543"/>
      <c r="M144" s="1543"/>
      <c r="N144" s="1543"/>
      <c r="O144" s="1543"/>
      <c r="P144" s="1543"/>
      <c r="Q144" s="1543"/>
      <c r="R144" s="1543"/>
      <c r="S144" s="1543"/>
      <c r="T144" s="1543"/>
      <c r="U144" s="1543"/>
      <c r="V144" s="1543"/>
      <c r="W144" s="1543"/>
      <c r="X144" s="1543"/>
      <c r="Y144" s="1543"/>
    </row>
    <row r="145" spans="6:25" ht="16.5" customHeight="1">
      <c r="F145" s="1543"/>
      <c r="G145" s="1543"/>
      <c r="H145" s="1543"/>
      <c r="I145" s="1543"/>
      <c r="J145" s="1543"/>
      <c r="K145" s="1543"/>
      <c r="L145" s="1543"/>
      <c r="M145" s="1543"/>
      <c r="N145" s="1543"/>
      <c r="O145" s="1543"/>
      <c r="P145" s="1543"/>
      <c r="Q145" s="1543"/>
      <c r="R145" s="1543"/>
      <c r="S145" s="1543"/>
      <c r="T145" s="1543"/>
      <c r="U145" s="1543"/>
      <c r="V145" s="1543"/>
      <c r="W145" s="1543"/>
      <c r="X145" s="1543"/>
      <c r="Y145" s="1543"/>
    </row>
    <row r="146" spans="6:25" ht="16.5" customHeight="1">
      <c r="F146" s="1543"/>
      <c r="G146" s="1543"/>
      <c r="H146" s="1543"/>
      <c r="I146" s="1543"/>
      <c r="J146" s="1543"/>
      <c r="K146" s="1543"/>
      <c r="L146" s="1543"/>
      <c r="M146" s="1543"/>
      <c r="N146" s="1543"/>
      <c r="O146" s="1543"/>
      <c r="P146" s="1543"/>
      <c r="Q146" s="1543"/>
      <c r="R146" s="1543"/>
      <c r="S146" s="1543"/>
      <c r="T146" s="1543"/>
      <c r="U146" s="1543"/>
      <c r="V146" s="1543"/>
      <c r="W146" s="1543"/>
      <c r="X146" s="1543"/>
      <c r="Y146" s="1543"/>
    </row>
    <row r="147" spans="6:25" ht="16.5" customHeight="1">
      <c r="F147" s="1543"/>
      <c r="G147" s="1543"/>
      <c r="H147" s="1543"/>
      <c r="I147" s="1543"/>
      <c r="J147" s="1543"/>
      <c r="K147" s="1543"/>
      <c r="L147" s="1543"/>
      <c r="M147" s="1543"/>
      <c r="N147" s="1543"/>
      <c r="O147" s="1543"/>
      <c r="P147" s="1543"/>
      <c r="Q147" s="1543"/>
      <c r="R147" s="1543"/>
      <c r="S147" s="1543"/>
      <c r="T147" s="1543"/>
      <c r="U147" s="1543"/>
      <c r="V147" s="1543"/>
      <c r="W147" s="1543"/>
      <c r="X147" s="1543"/>
      <c r="Y147" s="1543"/>
    </row>
    <row r="148" spans="6:25" ht="16.5" customHeight="1">
      <c r="F148" s="1543"/>
      <c r="G148" s="1543"/>
      <c r="H148" s="1543"/>
      <c r="I148" s="1543"/>
      <c r="J148" s="1543"/>
      <c r="K148" s="1543"/>
      <c r="L148" s="1543"/>
      <c r="M148" s="1543"/>
      <c r="N148" s="1543"/>
      <c r="O148" s="1543"/>
      <c r="P148" s="1543"/>
      <c r="Q148" s="1543"/>
      <c r="R148" s="1543"/>
      <c r="S148" s="1543"/>
      <c r="T148" s="1543"/>
      <c r="U148" s="1543"/>
      <c r="V148" s="1543"/>
      <c r="W148" s="1543"/>
      <c r="X148" s="1543"/>
      <c r="Y148" s="1543"/>
    </row>
    <row r="149" spans="6:25" ht="16.5" customHeight="1">
      <c r="F149" s="1543"/>
      <c r="G149" s="1543"/>
      <c r="H149" s="1543"/>
      <c r="I149" s="1543"/>
      <c r="J149" s="1543"/>
      <c r="K149" s="1543"/>
      <c r="L149" s="1543"/>
      <c r="M149" s="1543"/>
      <c r="N149" s="1543"/>
      <c r="O149" s="1543"/>
      <c r="P149" s="1543"/>
      <c r="Q149" s="1543"/>
      <c r="R149" s="1543"/>
      <c r="S149" s="1543"/>
      <c r="T149" s="1543"/>
      <c r="U149" s="1543"/>
      <c r="V149" s="1543"/>
      <c r="W149" s="1543"/>
      <c r="X149" s="1543"/>
      <c r="Y149" s="1543"/>
    </row>
    <row r="150" spans="6:25" ht="16.5" customHeight="1">
      <c r="F150" s="1543"/>
      <c r="G150" s="1543"/>
      <c r="H150" s="1543"/>
      <c r="I150" s="1543"/>
      <c r="J150" s="1543"/>
      <c r="K150" s="1543"/>
      <c r="L150" s="1543"/>
      <c r="M150" s="1543"/>
      <c r="N150" s="1543"/>
      <c r="O150" s="1543"/>
      <c r="P150" s="1543"/>
      <c r="Q150" s="1543"/>
      <c r="R150" s="1543"/>
      <c r="S150" s="1543"/>
      <c r="T150" s="1543"/>
      <c r="U150" s="1543"/>
      <c r="V150" s="1543"/>
      <c r="W150" s="1543"/>
      <c r="X150" s="1543"/>
      <c r="Y150" s="1543"/>
    </row>
    <row r="151" spans="6:25" ht="16.5" customHeight="1">
      <c r="F151" s="1543"/>
      <c r="G151" s="1543"/>
      <c r="H151" s="1543"/>
      <c r="I151" s="1543"/>
      <c r="J151" s="1543"/>
      <c r="K151" s="1543"/>
      <c r="L151" s="1543"/>
      <c r="M151" s="1543"/>
      <c r="N151" s="1543"/>
      <c r="O151" s="1543"/>
      <c r="P151" s="1543"/>
      <c r="Q151" s="1543"/>
      <c r="R151" s="1543"/>
      <c r="S151" s="1543"/>
      <c r="T151" s="1543"/>
      <c r="U151" s="1543"/>
      <c r="V151" s="1543"/>
      <c r="W151" s="1543"/>
      <c r="X151" s="1543"/>
      <c r="Y151" s="1543"/>
    </row>
    <row r="152" spans="6:25" ht="16.5" customHeight="1">
      <c r="F152" s="1543"/>
      <c r="G152" s="1543"/>
      <c r="H152" s="1543"/>
      <c r="I152" s="1543"/>
      <c r="J152" s="1543"/>
      <c r="K152" s="1543"/>
      <c r="L152" s="1543"/>
      <c r="M152" s="1543"/>
      <c r="N152" s="1543"/>
      <c r="O152" s="1543"/>
      <c r="P152" s="1543"/>
      <c r="Q152" s="1543"/>
      <c r="R152" s="1543"/>
      <c r="S152" s="1543"/>
      <c r="T152" s="1543"/>
      <c r="U152" s="1543"/>
      <c r="V152" s="1543"/>
      <c r="W152" s="1543"/>
      <c r="X152" s="1543"/>
      <c r="Y152" s="1543"/>
    </row>
    <row r="153" spans="6:25" ht="16.5" customHeight="1">
      <c r="F153" s="1543"/>
      <c r="G153" s="1543"/>
      <c r="H153" s="1543"/>
      <c r="I153" s="1543"/>
      <c r="J153" s="1543"/>
      <c r="K153" s="1543"/>
      <c r="L153" s="1543"/>
      <c r="M153" s="1543"/>
      <c r="N153" s="1543"/>
      <c r="O153" s="1543"/>
      <c r="P153" s="1543"/>
      <c r="Q153" s="1543"/>
      <c r="R153" s="1543"/>
      <c r="S153" s="1543"/>
      <c r="T153" s="1543"/>
      <c r="U153" s="1543"/>
      <c r="V153" s="1543"/>
      <c r="W153" s="1543"/>
      <c r="X153" s="1543"/>
      <c r="Y153" s="1543"/>
    </row>
    <row r="154" spans="6:25" ht="16.5" customHeight="1">
      <c r="F154" s="1543"/>
      <c r="G154" s="1543"/>
      <c r="H154" s="1543"/>
      <c r="I154" s="1543"/>
      <c r="J154" s="1543"/>
      <c r="K154" s="1543"/>
      <c r="L154" s="1543"/>
      <c r="M154" s="1543"/>
      <c r="N154" s="1543"/>
      <c r="O154" s="1543"/>
      <c r="P154" s="1543"/>
      <c r="Q154" s="1543"/>
      <c r="R154" s="1543"/>
      <c r="S154" s="1543"/>
      <c r="T154" s="1543"/>
      <c r="U154" s="1543"/>
      <c r="V154" s="1543"/>
      <c r="W154" s="1543"/>
      <c r="X154" s="1543"/>
      <c r="Y154" s="1543"/>
    </row>
    <row r="155" spans="6:25" ht="16.5" customHeight="1">
      <c r="F155" s="1543"/>
      <c r="G155" s="1543"/>
      <c r="H155" s="1543"/>
      <c r="I155" s="1543"/>
      <c r="J155" s="1543"/>
      <c r="K155" s="1543"/>
      <c r="L155" s="1543"/>
      <c r="M155" s="1543"/>
      <c r="N155" s="1543"/>
      <c r="O155" s="1543"/>
      <c r="P155" s="1543"/>
      <c r="Q155" s="1543"/>
      <c r="R155" s="1543"/>
      <c r="S155" s="1543"/>
      <c r="T155" s="1543"/>
      <c r="U155" s="1543"/>
      <c r="V155" s="1543"/>
      <c r="W155" s="1543"/>
      <c r="X155" s="1543"/>
      <c r="Y155" s="1543"/>
    </row>
    <row r="156" spans="6:25" ht="16.5" customHeight="1">
      <c r="F156" s="1543"/>
      <c r="G156" s="1543"/>
      <c r="H156" s="1543"/>
      <c r="I156" s="1543"/>
      <c r="J156" s="1543"/>
      <c r="K156" s="1543"/>
      <c r="L156" s="1543"/>
      <c r="M156" s="1543"/>
      <c r="N156" s="1543"/>
      <c r="O156" s="1543"/>
      <c r="P156" s="1543"/>
      <c r="Q156" s="1543"/>
      <c r="R156" s="1543"/>
      <c r="S156" s="1543"/>
      <c r="T156" s="1543"/>
      <c r="U156" s="1543"/>
      <c r="V156" s="1543"/>
      <c r="W156" s="1543"/>
      <c r="X156" s="1543"/>
      <c r="Y156" s="1543"/>
    </row>
    <row r="157" spans="6:25" ht="16.5" customHeight="1">
      <c r="F157" s="1543"/>
      <c r="G157" s="1543"/>
      <c r="H157" s="1543"/>
      <c r="I157" s="1543"/>
      <c r="J157" s="1543"/>
      <c r="K157" s="1543"/>
      <c r="L157" s="1543"/>
      <c r="M157" s="1543"/>
      <c r="N157" s="1543"/>
      <c r="O157" s="1543"/>
      <c r="P157" s="1543"/>
      <c r="Q157" s="1543"/>
      <c r="R157" s="1543"/>
      <c r="S157" s="1543"/>
      <c r="T157" s="1543"/>
      <c r="U157" s="1543"/>
      <c r="V157" s="1543"/>
      <c r="W157" s="1543"/>
      <c r="X157" s="1543"/>
      <c r="Y157" s="1543"/>
    </row>
    <row r="158" spans="6:25" ht="16.5" customHeight="1">
      <c r="F158" s="1543"/>
      <c r="G158" s="1543"/>
      <c r="H158" s="1543"/>
      <c r="I158" s="1543"/>
      <c r="J158" s="1543"/>
      <c r="K158" s="1543"/>
      <c r="L158" s="1543"/>
      <c r="M158" s="1543"/>
      <c r="N158" s="1543"/>
      <c r="O158" s="1543"/>
      <c r="P158" s="1543"/>
      <c r="Q158" s="1543"/>
      <c r="R158" s="1543"/>
      <c r="S158" s="1543"/>
      <c r="T158" s="1543"/>
      <c r="U158" s="1543"/>
      <c r="V158" s="1543"/>
      <c r="W158" s="1543"/>
      <c r="X158" s="1543"/>
      <c r="Y158" s="1543"/>
    </row>
    <row r="159" spans="6:25" ht="16.5" customHeight="1">
      <c r="F159" s="1543"/>
      <c r="G159" s="1543"/>
      <c r="H159" s="1543"/>
      <c r="I159" s="1543"/>
      <c r="J159" s="1543"/>
      <c r="K159" s="1543"/>
      <c r="L159" s="1543"/>
      <c r="M159" s="1543"/>
      <c r="N159" s="1543"/>
      <c r="O159" s="1543"/>
      <c r="P159" s="1543"/>
      <c r="Q159" s="1543"/>
      <c r="R159" s="1543"/>
      <c r="S159" s="1543"/>
      <c r="T159" s="1543"/>
      <c r="U159" s="1543"/>
      <c r="V159" s="1543"/>
      <c r="W159" s="1543"/>
      <c r="X159" s="1543"/>
      <c r="Y159" s="1543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zoomScale="75" zoomScaleNormal="75" zoomScalePageLayoutView="0" workbookViewId="0" topLeftCell="A1">
      <selection activeCell="F13" sqref="F13"/>
    </sheetView>
  </sheetViews>
  <sheetFormatPr defaultColWidth="11.421875" defaultRowHeight="16.5" customHeight="1"/>
  <cols>
    <col min="1" max="2" width="4.140625" style="2239" customWidth="1"/>
    <col min="3" max="3" width="5.421875" style="2239" customWidth="1"/>
    <col min="4" max="4" width="14.57421875" style="2239" customWidth="1"/>
    <col min="5" max="5" width="15.421875" style="2239" customWidth="1"/>
    <col min="6" max="6" width="36.7109375" style="2239" customWidth="1"/>
    <col min="7" max="7" width="32.57421875" style="2239" customWidth="1"/>
    <col min="8" max="8" width="9.421875" style="2239" customWidth="1"/>
    <col min="9" max="9" width="5.7109375" style="2239" hidden="1" customWidth="1"/>
    <col min="10" max="10" width="16.7109375" style="2239" customWidth="1"/>
    <col min="11" max="11" width="16.57421875" style="2239" customWidth="1"/>
    <col min="12" max="14" width="9.7109375" style="2239" customWidth="1"/>
    <col min="15" max="15" width="6.00390625" style="2239" bestFit="1" customWidth="1"/>
    <col min="16" max="16" width="3.7109375" style="2239" hidden="1" customWidth="1"/>
    <col min="17" max="17" width="13.140625" style="2239" hidden="1" customWidth="1"/>
    <col min="18" max="19" width="5.7109375" style="2239" hidden="1" customWidth="1"/>
    <col min="20" max="20" width="12.28125" style="2239" hidden="1" customWidth="1"/>
    <col min="21" max="21" width="9.7109375" style="2239" customWidth="1"/>
    <col min="22" max="22" width="15.7109375" style="2239" customWidth="1"/>
    <col min="23" max="23" width="4.140625" style="2239" customWidth="1"/>
    <col min="24" max="16384" width="11.421875" style="2239" customWidth="1"/>
  </cols>
  <sheetData>
    <row r="1" spans="1:23" s="2127" customFormat="1" ht="26.25">
      <c r="A1" s="2126"/>
      <c r="W1" s="2128"/>
    </row>
    <row r="2" spans="1:23" s="2127" customFormat="1" ht="26.25">
      <c r="A2" s="2126"/>
      <c r="B2" s="2129" t="str">
        <f>'TOT-0614'!B2</f>
        <v>ANEXO I al Memorándum D.T.E.E. N°         347   / 2015</v>
      </c>
      <c r="C2" s="2129"/>
      <c r="D2" s="2129"/>
      <c r="E2" s="2129"/>
      <c r="F2" s="2129"/>
      <c r="G2" s="2129"/>
      <c r="H2" s="2129"/>
      <c r="I2" s="2129"/>
      <c r="J2" s="2129"/>
      <c r="K2" s="2129"/>
      <c r="L2" s="2129"/>
      <c r="M2" s="2129"/>
      <c r="N2" s="2129"/>
      <c r="O2" s="2129"/>
      <c r="P2" s="2129"/>
      <c r="Q2" s="2129"/>
      <c r="R2" s="2129"/>
      <c r="S2" s="2129"/>
      <c r="T2" s="2129"/>
      <c r="U2" s="2129"/>
      <c r="V2" s="2129"/>
      <c r="W2" s="2129"/>
    </row>
    <row r="3" s="2131" customFormat="1" ht="15.75" customHeight="1">
      <c r="A3" s="2130"/>
    </row>
    <row r="4" spans="1:4" s="2134" customFormat="1" ht="11.25">
      <c r="A4" s="2132" t="s">
        <v>2</v>
      </c>
      <c r="B4" s="2133"/>
      <c r="C4" s="2133"/>
      <c r="D4" s="2133"/>
    </row>
    <row r="5" spans="1:4" s="2134" customFormat="1" ht="11.25">
      <c r="A5" s="2132" t="s">
        <v>3</v>
      </c>
      <c r="B5" s="2133"/>
      <c r="C5" s="2133"/>
      <c r="D5" s="2133"/>
    </row>
    <row r="6" s="2131" customFormat="1" ht="13.5" thickBot="1"/>
    <row r="7" spans="2:23" s="2131" customFormat="1" ht="13.5" thickTop="1">
      <c r="B7" s="2135"/>
      <c r="C7" s="2136"/>
      <c r="D7" s="2136"/>
      <c r="E7" s="2136"/>
      <c r="F7" s="2136"/>
      <c r="G7" s="2136"/>
      <c r="H7" s="2136"/>
      <c r="I7" s="2136"/>
      <c r="J7" s="2136"/>
      <c r="K7" s="2136"/>
      <c r="L7" s="2136"/>
      <c r="M7" s="2136"/>
      <c r="N7" s="2136"/>
      <c r="O7" s="2136"/>
      <c r="P7" s="2136"/>
      <c r="Q7" s="2136"/>
      <c r="R7" s="2136"/>
      <c r="S7" s="2136"/>
      <c r="T7" s="2136"/>
      <c r="U7" s="2136"/>
      <c r="V7" s="2136"/>
      <c r="W7" s="2137"/>
    </row>
    <row r="8" spans="2:23" s="2138" customFormat="1" ht="20.25">
      <c r="B8" s="2139"/>
      <c r="C8" s="2140"/>
      <c r="D8" s="2140"/>
      <c r="E8" s="2140"/>
      <c r="F8" s="2141" t="s">
        <v>24</v>
      </c>
      <c r="N8" s="2142"/>
      <c r="O8" s="2142"/>
      <c r="P8" s="2143"/>
      <c r="Q8" s="2140"/>
      <c r="R8" s="2140"/>
      <c r="S8" s="2140"/>
      <c r="T8" s="2140"/>
      <c r="U8" s="2140"/>
      <c r="V8" s="2140"/>
      <c r="W8" s="2144"/>
    </row>
    <row r="9" spans="2:23" s="2131" customFormat="1" ht="12.75">
      <c r="B9" s="2145"/>
      <c r="C9" s="2146"/>
      <c r="D9" s="2146"/>
      <c r="E9" s="2146"/>
      <c r="F9" s="2147"/>
      <c r="G9" s="2147"/>
      <c r="H9" s="2147"/>
      <c r="I9" s="2147"/>
      <c r="J9" s="2147"/>
      <c r="K9" s="2147"/>
      <c r="L9" s="2147"/>
      <c r="M9" s="2147"/>
      <c r="N9" s="2147"/>
      <c r="O9" s="2147"/>
      <c r="P9" s="2147"/>
      <c r="Q9" s="2146"/>
      <c r="R9" s="2146"/>
      <c r="S9" s="2146"/>
      <c r="T9" s="2146"/>
      <c r="U9" s="2146"/>
      <c r="V9" s="2146"/>
      <c r="W9" s="2148"/>
    </row>
    <row r="10" spans="2:23" s="2138" customFormat="1" ht="20.25">
      <c r="B10" s="2139"/>
      <c r="C10" s="2140"/>
      <c r="D10" s="2140"/>
      <c r="E10" s="2140"/>
      <c r="F10" s="2149" t="s">
        <v>67</v>
      </c>
      <c r="G10" s="2150"/>
      <c r="H10" s="2142"/>
      <c r="I10" s="2151"/>
      <c r="K10" s="2151"/>
      <c r="L10" s="2151"/>
      <c r="M10" s="2151"/>
      <c r="N10" s="2151"/>
      <c r="O10" s="2151"/>
      <c r="P10" s="2151"/>
      <c r="Q10" s="2140"/>
      <c r="R10" s="2140"/>
      <c r="S10" s="2140"/>
      <c r="T10" s="2140"/>
      <c r="U10" s="2140"/>
      <c r="V10" s="2140"/>
      <c r="W10" s="2144"/>
    </row>
    <row r="11" spans="2:23" s="2131" customFormat="1" ht="13.5">
      <c r="B11" s="2145"/>
      <c r="C11" s="2146"/>
      <c r="D11" s="2146"/>
      <c r="E11" s="2146"/>
      <c r="F11" s="2152"/>
      <c r="G11" s="2152"/>
      <c r="H11" s="2130"/>
      <c r="I11" s="2153"/>
      <c r="J11" s="2154"/>
      <c r="K11" s="2153"/>
      <c r="L11" s="2153"/>
      <c r="M11" s="2153"/>
      <c r="N11" s="2153"/>
      <c r="O11" s="2153"/>
      <c r="P11" s="2153"/>
      <c r="Q11" s="2146"/>
      <c r="R11" s="2146"/>
      <c r="S11" s="2146"/>
      <c r="T11" s="2146"/>
      <c r="U11" s="2146"/>
      <c r="V11" s="2146"/>
      <c r="W11" s="2148"/>
    </row>
    <row r="12" spans="2:23" s="2138" customFormat="1" ht="20.25">
      <c r="B12" s="2139"/>
      <c r="C12" s="2140"/>
      <c r="D12" s="2140"/>
      <c r="E12" s="2140"/>
      <c r="F12" s="2149" t="s">
        <v>526</v>
      </c>
      <c r="G12" s="2150"/>
      <c r="H12" s="2142"/>
      <c r="I12" s="2151"/>
      <c r="K12" s="2151"/>
      <c r="L12" s="2151"/>
      <c r="M12" s="2151"/>
      <c r="N12" s="2151"/>
      <c r="O12" s="2151"/>
      <c r="P12" s="2151"/>
      <c r="Q12" s="2140"/>
      <c r="R12" s="2140"/>
      <c r="S12" s="2140"/>
      <c r="T12" s="2140"/>
      <c r="U12" s="2140"/>
      <c r="V12" s="2140"/>
      <c r="W12" s="2144"/>
    </row>
    <row r="13" spans="2:23" s="2131" customFormat="1" ht="13.5">
      <c r="B13" s="2145"/>
      <c r="C13" s="2146"/>
      <c r="D13" s="2146"/>
      <c r="E13" s="2146"/>
      <c r="F13" s="2152"/>
      <c r="G13" s="2152"/>
      <c r="H13" s="2130"/>
      <c r="I13" s="2153"/>
      <c r="J13" s="2154"/>
      <c r="K13" s="2153"/>
      <c r="L13" s="2153"/>
      <c r="M13" s="2153"/>
      <c r="N13" s="2153"/>
      <c r="O13" s="2153"/>
      <c r="P13" s="2153"/>
      <c r="Q13" s="2146"/>
      <c r="R13" s="2146"/>
      <c r="S13" s="2146"/>
      <c r="T13" s="2146"/>
      <c r="U13" s="2146"/>
      <c r="V13" s="2146"/>
      <c r="W13" s="2148"/>
    </row>
    <row r="14" spans="2:23" s="2131" customFormat="1" ht="19.5">
      <c r="B14" s="2155" t="str">
        <f>'TOT-0614'!B14</f>
        <v>Desde el 01 al 30 de junio de 2014</v>
      </c>
      <c r="C14" s="2156"/>
      <c r="D14" s="2156"/>
      <c r="E14" s="2156"/>
      <c r="F14" s="2156"/>
      <c r="G14" s="2156"/>
      <c r="H14" s="2156"/>
      <c r="I14" s="2157"/>
      <c r="J14" s="2157"/>
      <c r="K14" s="2157"/>
      <c r="L14" s="2157"/>
      <c r="M14" s="2157"/>
      <c r="N14" s="2157"/>
      <c r="O14" s="2157"/>
      <c r="P14" s="2157"/>
      <c r="Q14" s="2156"/>
      <c r="R14" s="2156"/>
      <c r="S14" s="2156"/>
      <c r="T14" s="2156"/>
      <c r="U14" s="2156"/>
      <c r="V14" s="2156"/>
      <c r="W14" s="2158"/>
    </row>
    <row r="15" spans="2:23" s="2131" customFormat="1" ht="14.25" thickBot="1">
      <c r="B15" s="2159"/>
      <c r="C15" s="2160"/>
      <c r="D15" s="2160"/>
      <c r="E15" s="2160"/>
      <c r="F15" s="2160"/>
      <c r="G15" s="2160"/>
      <c r="H15" s="2160"/>
      <c r="I15" s="2161"/>
      <c r="J15" s="2161"/>
      <c r="K15" s="2161"/>
      <c r="L15" s="2161"/>
      <c r="M15" s="2161"/>
      <c r="N15" s="2161"/>
      <c r="O15" s="2161"/>
      <c r="P15" s="2161"/>
      <c r="Q15" s="2160"/>
      <c r="R15" s="2160"/>
      <c r="S15" s="2160"/>
      <c r="T15" s="2160"/>
      <c r="U15" s="2160"/>
      <c r="V15" s="2160"/>
      <c r="W15" s="2162"/>
    </row>
    <row r="16" spans="2:23" s="2131" customFormat="1" ht="15" thickBot="1" thickTop="1">
      <c r="B16" s="2145"/>
      <c r="C16" s="2146"/>
      <c r="D16" s="2146"/>
      <c r="E16" s="2146"/>
      <c r="F16" s="2163"/>
      <c r="G16" s="2163"/>
      <c r="H16" s="2164" t="s">
        <v>69</v>
      </c>
      <c r="I16" s="2146"/>
      <c r="J16" s="2154"/>
      <c r="K16" s="2146"/>
      <c r="L16" s="2146"/>
      <c r="M16" s="2146"/>
      <c r="N16" s="2146"/>
      <c r="O16" s="2146"/>
      <c r="P16" s="2146"/>
      <c r="Q16" s="2146"/>
      <c r="R16" s="2146"/>
      <c r="S16" s="2146"/>
      <c r="T16" s="2146"/>
      <c r="U16" s="2146"/>
      <c r="V16" s="2146"/>
      <c r="W16" s="2148"/>
    </row>
    <row r="17" spans="2:23" s="2131" customFormat="1" ht="16.5" customHeight="1" thickBot="1" thickTop="1">
      <c r="B17" s="2145"/>
      <c r="C17" s="2146"/>
      <c r="D17" s="2146"/>
      <c r="E17" s="2146"/>
      <c r="F17" s="2165" t="s">
        <v>70</v>
      </c>
      <c r="G17" s="2166" t="s">
        <v>408</v>
      </c>
      <c r="H17" s="2167">
        <v>200</v>
      </c>
      <c r="V17" s="2168"/>
      <c r="W17" s="2148"/>
    </row>
    <row r="18" spans="2:23" s="2131" customFormat="1" ht="16.5" customHeight="1" thickBot="1" thickTop="1">
      <c r="B18" s="2145"/>
      <c r="C18" s="2146"/>
      <c r="D18" s="2146"/>
      <c r="E18" s="2146"/>
      <c r="F18" s="2169" t="s">
        <v>71</v>
      </c>
      <c r="G18" s="2170" t="s">
        <v>408</v>
      </c>
      <c r="H18" s="2167">
        <v>100</v>
      </c>
      <c r="O18" s="2146"/>
      <c r="P18" s="2146"/>
      <c r="Q18" s="2146"/>
      <c r="R18" s="2146"/>
      <c r="S18" s="2146"/>
      <c r="T18" s="2146"/>
      <c r="U18" s="2146"/>
      <c r="V18" s="2146"/>
      <c r="W18" s="2148"/>
    </row>
    <row r="19" spans="2:23" s="2131" customFormat="1" ht="16.5" customHeight="1" thickBot="1" thickTop="1">
      <c r="B19" s="2145"/>
      <c r="C19" s="2146"/>
      <c r="D19" s="2146"/>
      <c r="E19" s="2146"/>
      <c r="F19" s="2171" t="s">
        <v>72</v>
      </c>
      <c r="G19" s="2170">
        <f>0.6*170.878</f>
        <v>102.5268</v>
      </c>
      <c r="H19" s="2167">
        <v>40</v>
      </c>
      <c r="K19" s="2172"/>
      <c r="L19" s="2173"/>
      <c r="M19" s="2146"/>
      <c r="O19" s="2146"/>
      <c r="Q19" s="2146"/>
      <c r="R19" s="2146"/>
      <c r="S19" s="2146"/>
      <c r="T19" s="2146"/>
      <c r="U19" s="2146"/>
      <c r="V19" s="2146"/>
      <c r="W19" s="2148"/>
    </row>
    <row r="20" spans="2:23" s="2131" customFormat="1" ht="16.5" customHeight="1" thickBot="1" thickTop="1">
      <c r="B20" s="2145"/>
      <c r="C20" s="2174">
        <v>3</v>
      </c>
      <c r="D20" s="2174">
        <v>4</v>
      </c>
      <c r="E20" s="2174">
        <v>5</v>
      </c>
      <c r="F20" s="2174">
        <v>6</v>
      </c>
      <c r="G20" s="2698">
        <v>7</v>
      </c>
      <c r="H20" s="2174">
        <v>8</v>
      </c>
      <c r="I20" s="2174">
        <v>9</v>
      </c>
      <c r="J20" s="2174">
        <v>10</v>
      </c>
      <c r="K20" s="2174">
        <v>11</v>
      </c>
      <c r="L20" s="2174">
        <v>12</v>
      </c>
      <c r="M20" s="2174">
        <v>13</v>
      </c>
      <c r="N20" s="2174">
        <v>14</v>
      </c>
      <c r="O20" s="2174">
        <v>15</v>
      </c>
      <c r="P20" s="2174">
        <v>16</v>
      </c>
      <c r="Q20" s="2174">
        <v>17</v>
      </c>
      <c r="R20" s="2174">
        <v>18</v>
      </c>
      <c r="S20" s="2174">
        <v>19</v>
      </c>
      <c r="T20" s="2174">
        <v>20</v>
      </c>
      <c r="U20" s="2174">
        <v>21</v>
      </c>
      <c r="V20" s="2174">
        <v>22</v>
      </c>
      <c r="W20" s="2148"/>
    </row>
    <row r="21" spans="2:23" s="2131" customFormat="1" ht="33.75" customHeight="1" thickBot="1" thickTop="1">
      <c r="B21" s="2145"/>
      <c r="C21" s="2175" t="s">
        <v>29</v>
      </c>
      <c r="D21" s="2176" t="s">
        <v>30</v>
      </c>
      <c r="E21" s="2176" t="s">
        <v>31</v>
      </c>
      <c r="F21" s="2177" t="s">
        <v>60</v>
      </c>
      <c r="G21" s="2178" t="s">
        <v>61</v>
      </c>
      <c r="H21" s="2179" t="s">
        <v>32</v>
      </c>
      <c r="I21" s="2180" t="s">
        <v>36</v>
      </c>
      <c r="J21" s="2181" t="s">
        <v>37</v>
      </c>
      <c r="K21" s="2178" t="s">
        <v>38</v>
      </c>
      <c r="L21" s="2182" t="s">
        <v>39</v>
      </c>
      <c r="M21" s="2182" t="s">
        <v>40</v>
      </c>
      <c r="N21" s="2183" t="s">
        <v>316</v>
      </c>
      <c r="O21" s="2184" t="s">
        <v>43</v>
      </c>
      <c r="P21" s="2185" t="s">
        <v>35</v>
      </c>
      <c r="Q21" s="2186" t="s">
        <v>73</v>
      </c>
      <c r="R21" s="2187" t="s">
        <v>74</v>
      </c>
      <c r="S21" s="2188"/>
      <c r="T21" s="2189" t="s">
        <v>48</v>
      </c>
      <c r="U21" s="2190" t="s">
        <v>50</v>
      </c>
      <c r="V21" s="2191" t="s">
        <v>51</v>
      </c>
      <c r="W21" s="2148"/>
    </row>
    <row r="22" spans="2:23" s="2131" customFormat="1" ht="16.5" customHeight="1" thickTop="1">
      <c r="B22" s="2145"/>
      <c r="C22" s="2192"/>
      <c r="D22" s="2192"/>
      <c r="E22" s="2192"/>
      <c r="F22" s="2193"/>
      <c r="G22" s="2193"/>
      <c r="H22" s="2193"/>
      <c r="I22" s="2194"/>
      <c r="J22" s="2193"/>
      <c r="K22" s="2193"/>
      <c r="L22" s="2193"/>
      <c r="M22" s="2193"/>
      <c r="N22" s="2193"/>
      <c r="O22" s="2193"/>
      <c r="P22" s="2195"/>
      <c r="Q22" s="2196"/>
      <c r="R22" s="2197"/>
      <c r="S22" s="2198"/>
      <c r="T22" s="2199"/>
      <c r="U22" s="2193"/>
      <c r="V22" s="2200"/>
      <c r="W22" s="2148"/>
    </row>
    <row r="23" spans="2:23" s="2131" customFormat="1" ht="16.5" customHeight="1">
      <c r="B23" s="2145"/>
      <c r="C23" s="2201"/>
      <c r="D23" s="2201"/>
      <c r="E23" s="2201"/>
      <c r="F23" s="2202"/>
      <c r="G23" s="2202"/>
      <c r="H23" s="2202"/>
      <c r="I23" s="2203"/>
      <c r="J23" s="2202"/>
      <c r="K23" s="2202"/>
      <c r="L23" s="2202"/>
      <c r="M23" s="2202"/>
      <c r="N23" s="2202"/>
      <c r="O23" s="2202"/>
      <c r="P23" s="2204"/>
      <c r="Q23" s="2205"/>
      <c r="R23" s="2206"/>
      <c r="S23" s="2207"/>
      <c r="T23" s="2208"/>
      <c r="U23" s="2202"/>
      <c r="V23" s="2209"/>
      <c r="W23" s="2148"/>
    </row>
    <row r="24" spans="2:23" s="2131" customFormat="1" ht="16.5" customHeight="1">
      <c r="B24" s="2145"/>
      <c r="C24" s="2201">
        <v>44</v>
      </c>
      <c r="D24" s="2201">
        <v>275633</v>
      </c>
      <c r="E24" s="2201">
        <v>4944</v>
      </c>
      <c r="F24" s="2210" t="s">
        <v>455</v>
      </c>
      <c r="G24" s="2210" t="s">
        <v>456</v>
      </c>
      <c r="H24" s="2210">
        <v>132</v>
      </c>
      <c r="I24" s="2211">
        <f aca="true" t="shared" si="0" ref="I24:I39">IF(H24=500,$G$17,IF(H24=220,$G$18,$G$19))</f>
        <v>102.5268</v>
      </c>
      <c r="J24" s="2212">
        <v>41798.333333333336</v>
      </c>
      <c r="K24" s="2213">
        <v>41798.50347222222</v>
      </c>
      <c r="L24" s="2214">
        <f aca="true" t="shared" si="1" ref="L24:L39">IF(F24="","",(K24-J24)*24)</f>
        <v>4.0833333331975155</v>
      </c>
      <c r="M24" s="2215">
        <f aca="true" t="shared" si="2" ref="M24:M39">IF(F24="","",ROUND((K24-J24)*24*60,0))</f>
        <v>245</v>
      </c>
      <c r="N24" s="2216" t="s">
        <v>332</v>
      </c>
      <c r="O24" s="2217" t="str">
        <f aca="true" t="shared" si="3" ref="O24:O39">IF(F24="","",IF(N24="P","--","NO"))</f>
        <v>--</v>
      </c>
      <c r="P24" s="2218">
        <f aca="true" t="shared" si="4" ref="P24:P39">IF(H24=500,$H$17,IF(H24=220,$H$18,$H$19))</f>
        <v>40</v>
      </c>
      <c r="Q24" s="2219">
        <f aca="true" t="shared" si="5" ref="Q24:Q39">IF(N24="P",I24*P24*ROUND(M24/60,2)*0.1,"--")</f>
        <v>1673.2373760000003</v>
      </c>
      <c r="R24" s="2206" t="str">
        <f aca="true" t="shared" si="6" ref="R24:R39">IF(AND(N24="F",O24="NO"),I24*P24,"--")</f>
        <v>--</v>
      </c>
      <c r="S24" s="2207" t="str">
        <f aca="true" t="shared" si="7" ref="S24:S39">IF(N24="F",I24*P24*ROUND(M24/60,2),"--")</f>
        <v>--</v>
      </c>
      <c r="T24" s="2208" t="str">
        <f aca="true" t="shared" si="8" ref="T24:T39">IF(N24="RF",I24*P24*ROUND(M24/60,2),"--")</f>
        <v>--</v>
      </c>
      <c r="U24" s="2217" t="str">
        <f aca="true" t="shared" si="9" ref="U24:U39">IF(F24="","","SI")</f>
        <v>SI</v>
      </c>
      <c r="V24" s="2220">
        <f aca="true" t="shared" si="10" ref="V24:V39">IF(F24="","",SUM(Q24:T24)*IF(U24="SI",1,2))</f>
        <v>1673.2373760000003</v>
      </c>
      <c r="W24" s="2148"/>
    </row>
    <row r="25" spans="2:23" s="2131" customFormat="1" ht="16.5" customHeight="1">
      <c r="B25" s="2145"/>
      <c r="C25" s="2201"/>
      <c r="D25" s="2201"/>
      <c r="E25" s="2201"/>
      <c r="F25" s="2210"/>
      <c r="G25" s="2210"/>
      <c r="H25" s="2210"/>
      <c r="I25" s="2211"/>
      <c r="J25" s="2212"/>
      <c r="K25" s="2213"/>
      <c r="L25" s="2214"/>
      <c r="M25" s="2215"/>
      <c r="N25" s="2216"/>
      <c r="O25" s="2217"/>
      <c r="P25" s="2218"/>
      <c r="Q25" s="2219"/>
      <c r="R25" s="2206"/>
      <c r="S25" s="2207"/>
      <c r="T25" s="2208"/>
      <c r="U25" s="2217"/>
      <c r="V25" s="2220"/>
      <c r="W25" s="2148"/>
    </row>
    <row r="26" spans="2:23" s="2131" customFormat="1" ht="16.5" customHeight="1">
      <c r="B26" s="2145"/>
      <c r="C26" s="2201"/>
      <c r="D26" s="2201"/>
      <c r="E26" s="2201"/>
      <c r="F26" s="2210"/>
      <c r="G26" s="2210"/>
      <c r="H26" s="2210"/>
      <c r="I26" s="2211">
        <f t="shared" si="0"/>
        <v>102.5268</v>
      </c>
      <c r="J26" s="2212"/>
      <c r="K26" s="2213"/>
      <c r="L26" s="2214">
        <f t="shared" si="1"/>
      </c>
      <c r="M26" s="2215">
        <f t="shared" si="2"/>
      </c>
      <c r="N26" s="2216"/>
      <c r="O26" s="2217">
        <f t="shared" si="3"/>
      </c>
      <c r="P26" s="2218">
        <f t="shared" si="4"/>
        <v>40</v>
      </c>
      <c r="Q26" s="2219" t="str">
        <f t="shared" si="5"/>
        <v>--</v>
      </c>
      <c r="R26" s="2206" t="str">
        <f t="shared" si="6"/>
        <v>--</v>
      </c>
      <c r="S26" s="2207" t="str">
        <f t="shared" si="7"/>
        <v>--</v>
      </c>
      <c r="T26" s="2208" t="str">
        <f t="shared" si="8"/>
        <v>--</v>
      </c>
      <c r="U26" s="2217">
        <f t="shared" si="9"/>
      </c>
      <c r="V26" s="2220">
        <f t="shared" si="10"/>
      </c>
      <c r="W26" s="2148"/>
    </row>
    <row r="27" spans="2:23" s="2131" customFormat="1" ht="16.5" customHeight="1">
      <c r="B27" s="2145"/>
      <c r="C27" s="2201"/>
      <c r="D27" s="2201"/>
      <c r="E27" s="2201"/>
      <c r="F27" s="2221"/>
      <c r="G27" s="2221"/>
      <c r="H27" s="2222"/>
      <c r="I27" s="2211">
        <f t="shared" si="0"/>
        <v>102.5268</v>
      </c>
      <c r="J27" s="2212"/>
      <c r="K27" s="2213"/>
      <c r="L27" s="2214">
        <f t="shared" si="1"/>
      </c>
      <c r="M27" s="2215">
        <f t="shared" si="2"/>
      </c>
      <c r="N27" s="2216"/>
      <c r="O27" s="2217">
        <f t="shared" si="3"/>
      </c>
      <c r="P27" s="2218">
        <f t="shared" si="4"/>
        <v>40</v>
      </c>
      <c r="Q27" s="2219" t="str">
        <f t="shared" si="5"/>
        <v>--</v>
      </c>
      <c r="R27" s="2206" t="str">
        <f t="shared" si="6"/>
        <v>--</v>
      </c>
      <c r="S27" s="2207" t="str">
        <f t="shared" si="7"/>
        <v>--</v>
      </c>
      <c r="T27" s="2208" t="str">
        <f t="shared" si="8"/>
        <v>--</v>
      </c>
      <c r="U27" s="2217">
        <f t="shared" si="9"/>
      </c>
      <c r="V27" s="2220">
        <f t="shared" si="10"/>
      </c>
      <c r="W27" s="2148"/>
    </row>
    <row r="28" spans="2:23" s="2131" customFormat="1" ht="16.5" customHeight="1">
      <c r="B28" s="2145"/>
      <c r="C28" s="2201"/>
      <c r="D28" s="2201"/>
      <c r="E28" s="2201"/>
      <c r="F28" s="2221"/>
      <c r="G28" s="2221"/>
      <c r="H28" s="2222"/>
      <c r="I28" s="2211">
        <f t="shared" si="0"/>
        <v>102.5268</v>
      </c>
      <c r="J28" s="2212"/>
      <c r="K28" s="2213"/>
      <c r="L28" s="2214">
        <f t="shared" si="1"/>
      </c>
      <c r="M28" s="2215">
        <f t="shared" si="2"/>
      </c>
      <c r="N28" s="2216"/>
      <c r="O28" s="2217">
        <f t="shared" si="3"/>
      </c>
      <c r="P28" s="2218">
        <f t="shared" si="4"/>
        <v>40</v>
      </c>
      <c r="Q28" s="2219" t="str">
        <f t="shared" si="5"/>
        <v>--</v>
      </c>
      <c r="R28" s="2206" t="str">
        <f t="shared" si="6"/>
        <v>--</v>
      </c>
      <c r="S28" s="2207" t="str">
        <f t="shared" si="7"/>
        <v>--</v>
      </c>
      <c r="T28" s="2208" t="str">
        <f t="shared" si="8"/>
        <v>--</v>
      </c>
      <c r="U28" s="2217">
        <f t="shared" si="9"/>
      </c>
      <c r="V28" s="2220">
        <f t="shared" si="10"/>
      </c>
      <c r="W28" s="2148"/>
    </row>
    <row r="29" spans="2:23" s="2131" customFormat="1" ht="16.5" customHeight="1">
      <c r="B29" s="2145"/>
      <c r="C29" s="2201"/>
      <c r="D29" s="2201"/>
      <c r="E29" s="2201"/>
      <c r="F29" s="2221"/>
      <c r="G29" s="2221"/>
      <c r="H29" s="2222"/>
      <c r="I29" s="2211">
        <f t="shared" si="0"/>
        <v>102.5268</v>
      </c>
      <c r="J29" s="2212"/>
      <c r="K29" s="2213"/>
      <c r="L29" s="2214">
        <f t="shared" si="1"/>
      </c>
      <c r="M29" s="2215">
        <f t="shared" si="2"/>
      </c>
      <c r="N29" s="2216"/>
      <c r="O29" s="2217">
        <f t="shared" si="3"/>
      </c>
      <c r="P29" s="2218">
        <f t="shared" si="4"/>
        <v>40</v>
      </c>
      <c r="Q29" s="2219" t="str">
        <f t="shared" si="5"/>
        <v>--</v>
      </c>
      <c r="R29" s="2206" t="str">
        <f t="shared" si="6"/>
        <v>--</v>
      </c>
      <c r="S29" s="2207" t="str">
        <f t="shared" si="7"/>
        <v>--</v>
      </c>
      <c r="T29" s="2208" t="str">
        <f t="shared" si="8"/>
        <v>--</v>
      </c>
      <c r="U29" s="2217">
        <f t="shared" si="9"/>
      </c>
      <c r="V29" s="2220">
        <f t="shared" si="10"/>
      </c>
      <c r="W29" s="2148"/>
    </row>
    <row r="30" spans="2:23" s="2131" customFormat="1" ht="16.5" customHeight="1">
      <c r="B30" s="2145"/>
      <c r="C30" s="2201"/>
      <c r="D30" s="2201"/>
      <c r="E30" s="2201"/>
      <c r="F30" s="2221"/>
      <c r="G30" s="2221"/>
      <c r="H30" s="2222"/>
      <c r="I30" s="2211">
        <f t="shared" si="0"/>
        <v>102.5268</v>
      </c>
      <c r="J30" s="2212"/>
      <c r="K30" s="2213"/>
      <c r="L30" s="2214">
        <f t="shared" si="1"/>
      </c>
      <c r="M30" s="2215">
        <f t="shared" si="2"/>
      </c>
      <c r="N30" s="2216"/>
      <c r="O30" s="2217">
        <f t="shared" si="3"/>
      </c>
      <c r="P30" s="2218">
        <f t="shared" si="4"/>
        <v>40</v>
      </c>
      <c r="Q30" s="2219" t="str">
        <f t="shared" si="5"/>
        <v>--</v>
      </c>
      <c r="R30" s="2206" t="str">
        <f t="shared" si="6"/>
        <v>--</v>
      </c>
      <c r="S30" s="2207" t="str">
        <f t="shared" si="7"/>
        <v>--</v>
      </c>
      <c r="T30" s="2208" t="str">
        <f t="shared" si="8"/>
        <v>--</v>
      </c>
      <c r="U30" s="2217">
        <f t="shared" si="9"/>
      </c>
      <c r="V30" s="2220">
        <f t="shared" si="10"/>
      </c>
      <c r="W30" s="2148"/>
    </row>
    <row r="31" spans="2:23" s="2131" customFormat="1" ht="16.5" customHeight="1">
      <c r="B31" s="2145"/>
      <c r="C31" s="2201"/>
      <c r="D31" s="2201"/>
      <c r="E31" s="2201"/>
      <c r="F31" s="2221"/>
      <c r="G31" s="2221"/>
      <c r="H31" s="2222"/>
      <c r="I31" s="2211">
        <f t="shared" si="0"/>
        <v>102.5268</v>
      </c>
      <c r="J31" s="2212"/>
      <c r="K31" s="2213"/>
      <c r="L31" s="2214">
        <f t="shared" si="1"/>
      </c>
      <c r="M31" s="2215">
        <f t="shared" si="2"/>
      </c>
      <c r="N31" s="2216"/>
      <c r="O31" s="2217">
        <f t="shared" si="3"/>
      </c>
      <c r="P31" s="2218">
        <f t="shared" si="4"/>
        <v>40</v>
      </c>
      <c r="Q31" s="2219" t="str">
        <f t="shared" si="5"/>
        <v>--</v>
      </c>
      <c r="R31" s="2206" t="str">
        <f t="shared" si="6"/>
        <v>--</v>
      </c>
      <c r="S31" s="2207" t="str">
        <f t="shared" si="7"/>
        <v>--</v>
      </c>
      <c r="T31" s="2208" t="str">
        <f t="shared" si="8"/>
        <v>--</v>
      </c>
      <c r="U31" s="2217">
        <f t="shared" si="9"/>
      </c>
      <c r="V31" s="2220">
        <f t="shared" si="10"/>
      </c>
      <c r="W31" s="2148"/>
    </row>
    <row r="32" spans="2:23" s="2131" customFormat="1" ht="16.5" customHeight="1">
      <c r="B32" s="2145"/>
      <c r="C32" s="2201"/>
      <c r="D32" s="2201"/>
      <c r="E32" s="2201"/>
      <c r="F32" s="2221"/>
      <c r="G32" s="2221"/>
      <c r="H32" s="2222"/>
      <c r="I32" s="2211">
        <f t="shared" si="0"/>
        <v>102.5268</v>
      </c>
      <c r="J32" s="2212"/>
      <c r="K32" s="2213"/>
      <c r="L32" s="2214">
        <f t="shared" si="1"/>
      </c>
      <c r="M32" s="2215">
        <f t="shared" si="2"/>
      </c>
      <c r="N32" s="2216"/>
      <c r="O32" s="2217">
        <f t="shared" si="3"/>
      </c>
      <c r="P32" s="2218">
        <f t="shared" si="4"/>
        <v>40</v>
      </c>
      <c r="Q32" s="2219" t="str">
        <f t="shared" si="5"/>
        <v>--</v>
      </c>
      <c r="R32" s="2206" t="str">
        <f t="shared" si="6"/>
        <v>--</v>
      </c>
      <c r="S32" s="2207" t="str">
        <f t="shared" si="7"/>
        <v>--</v>
      </c>
      <c r="T32" s="2208" t="str">
        <f t="shared" si="8"/>
        <v>--</v>
      </c>
      <c r="U32" s="2217">
        <f t="shared" si="9"/>
      </c>
      <c r="V32" s="2220">
        <f t="shared" si="10"/>
      </c>
      <c r="W32" s="2148"/>
    </row>
    <row r="33" spans="2:23" s="2131" customFormat="1" ht="16.5" customHeight="1">
      <c r="B33" s="2145"/>
      <c r="C33" s="2201"/>
      <c r="D33" s="2201"/>
      <c r="E33" s="2201"/>
      <c r="F33" s="2221"/>
      <c r="G33" s="2221"/>
      <c r="H33" s="2222"/>
      <c r="I33" s="2211">
        <f t="shared" si="0"/>
        <v>102.5268</v>
      </c>
      <c r="J33" s="2212"/>
      <c r="K33" s="2213"/>
      <c r="L33" s="2214">
        <f t="shared" si="1"/>
      </c>
      <c r="M33" s="2215">
        <f t="shared" si="2"/>
      </c>
      <c r="N33" s="2216"/>
      <c r="O33" s="2217">
        <f t="shared" si="3"/>
      </c>
      <c r="P33" s="2218">
        <f t="shared" si="4"/>
        <v>40</v>
      </c>
      <c r="Q33" s="2219" t="str">
        <f t="shared" si="5"/>
        <v>--</v>
      </c>
      <c r="R33" s="2206" t="str">
        <f t="shared" si="6"/>
        <v>--</v>
      </c>
      <c r="S33" s="2207" t="str">
        <f t="shared" si="7"/>
        <v>--</v>
      </c>
      <c r="T33" s="2208" t="str">
        <f t="shared" si="8"/>
        <v>--</v>
      </c>
      <c r="U33" s="2217">
        <f t="shared" si="9"/>
      </c>
      <c r="V33" s="2220">
        <f t="shared" si="10"/>
      </c>
      <c r="W33" s="2148"/>
    </row>
    <row r="34" spans="2:23" s="2131" customFormat="1" ht="16.5" customHeight="1">
      <c r="B34" s="2145"/>
      <c r="C34" s="2201"/>
      <c r="D34" s="2201"/>
      <c r="E34" s="2201"/>
      <c r="F34" s="2221"/>
      <c r="G34" s="2221"/>
      <c r="H34" s="2222"/>
      <c r="I34" s="2211">
        <f t="shared" si="0"/>
        <v>102.5268</v>
      </c>
      <c r="J34" s="2212"/>
      <c r="K34" s="2213"/>
      <c r="L34" s="2214">
        <f t="shared" si="1"/>
      </c>
      <c r="M34" s="2215">
        <f t="shared" si="2"/>
      </c>
      <c r="N34" s="2216"/>
      <c r="O34" s="2217">
        <f t="shared" si="3"/>
      </c>
      <c r="P34" s="2218">
        <f t="shared" si="4"/>
        <v>40</v>
      </c>
      <c r="Q34" s="2219" t="str">
        <f t="shared" si="5"/>
        <v>--</v>
      </c>
      <c r="R34" s="2206" t="str">
        <f t="shared" si="6"/>
        <v>--</v>
      </c>
      <c r="S34" s="2207" t="str">
        <f t="shared" si="7"/>
        <v>--</v>
      </c>
      <c r="T34" s="2208" t="str">
        <f t="shared" si="8"/>
        <v>--</v>
      </c>
      <c r="U34" s="2217">
        <f t="shared" si="9"/>
      </c>
      <c r="V34" s="2220">
        <f t="shared" si="10"/>
      </c>
      <c r="W34" s="2148"/>
    </row>
    <row r="35" spans="2:23" s="2131" customFormat="1" ht="16.5" customHeight="1">
      <c r="B35" s="2145"/>
      <c r="C35" s="2201"/>
      <c r="D35" s="2201"/>
      <c r="E35" s="2201"/>
      <c r="F35" s="2221"/>
      <c r="G35" s="2221"/>
      <c r="H35" s="2222"/>
      <c r="I35" s="2211">
        <f t="shared" si="0"/>
        <v>102.5268</v>
      </c>
      <c r="J35" s="2212"/>
      <c r="K35" s="2213"/>
      <c r="L35" s="2214">
        <f t="shared" si="1"/>
      </c>
      <c r="M35" s="2215">
        <f t="shared" si="2"/>
      </c>
      <c r="N35" s="2216"/>
      <c r="O35" s="2217">
        <f t="shared" si="3"/>
      </c>
      <c r="P35" s="2218">
        <f t="shared" si="4"/>
        <v>40</v>
      </c>
      <c r="Q35" s="2219" t="str">
        <f t="shared" si="5"/>
        <v>--</v>
      </c>
      <c r="R35" s="2206" t="str">
        <f t="shared" si="6"/>
        <v>--</v>
      </c>
      <c r="S35" s="2207" t="str">
        <f t="shared" si="7"/>
        <v>--</v>
      </c>
      <c r="T35" s="2208" t="str">
        <f t="shared" si="8"/>
        <v>--</v>
      </c>
      <c r="U35" s="2217">
        <f t="shared" si="9"/>
      </c>
      <c r="V35" s="2220">
        <f t="shared" si="10"/>
      </c>
      <c r="W35" s="2148"/>
    </row>
    <row r="36" spans="2:23" s="2131" customFormat="1" ht="16.5" customHeight="1">
      <c r="B36" s="2145"/>
      <c r="C36" s="2201"/>
      <c r="D36" s="2201"/>
      <c r="E36" s="2201"/>
      <c r="F36" s="2221"/>
      <c r="G36" s="2221"/>
      <c r="H36" s="2222"/>
      <c r="I36" s="2211">
        <f t="shared" si="0"/>
        <v>102.5268</v>
      </c>
      <c r="J36" s="2212"/>
      <c r="K36" s="2213"/>
      <c r="L36" s="2214">
        <f t="shared" si="1"/>
      </c>
      <c r="M36" s="2215">
        <f t="shared" si="2"/>
      </c>
      <c r="N36" s="2216"/>
      <c r="O36" s="2217">
        <f t="shared" si="3"/>
      </c>
      <c r="P36" s="2218">
        <f t="shared" si="4"/>
        <v>40</v>
      </c>
      <c r="Q36" s="2219" t="str">
        <f t="shared" si="5"/>
        <v>--</v>
      </c>
      <c r="R36" s="2206" t="str">
        <f t="shared" si="6"/>
        <v>--</v>
      </c>
      <c r="S36" s="2207" t="str">
        <f t="shared" si="7"/>
        <v>--</v>
      </c>
      <c r="T36" s="2208" t="str">
        <f t="shared" si="8"/>
        <v>--</v>
      </c>
      <c r="U36" s="2217">
        <f t="shared" si="9"/>
      </c>
      <c r="V36" s="2220">
        <f t="shared" si="10"/>
      </c>
      <c r="W36" s="2148"/>
    </row>
    <row r="37" spans="2:23" s="2131" customFormat="1" ht="16.5" customHeight="1">
      <c r="B37" s="2145"/>
      <c r="C37" s="2201"/>
      <c r="D37" s="2201"/>
      <c r="E37" s="2201"/>
      <c r="F37" s="2221"/>
      <c r="G37" s="2221"/>
      <c r="H37" s="2222"/>
      <c r="I37" s="2211">
        <f t="shared" si="0"/>
        <v>102.5268</v>
      </c>
      <c r="J37" s="2212"/>
      <c r="K37" s="2213"/>
      <c r="L37" s="2214">
        <f t="shared" si="1"/>
      </c>
      <c r="M37" s="2215">
        <f t="shared" si="2"/>
      </c>
      <c r="N37" s="2216"/>
      <c r="O37" s="2217">
        <f t="shared" si="3"/>
      </c>
      <c r="P37" s="2218">
        <f t="shared" si="4"/>
        <v>40</v>
      </c>
      <c r="Q37" s="2219" t="str">
        <f t="shared" si="5"/>
        <v>--</v>
      </c>
      <c r="R37" s="2206" t="str">
        <f t="shared" si="6"/>
        <v>--</v>
      </c>
      <c r="S37" s="2207" t="str">
        <f t="shared" si="7"/>
        <v>--</v>
      </c>
      <c r="T37" s="2208" t="str">
        <f t="shared" si="8"/>
        <v>--</v>
      </c>
      <c r="U37" s="2217">
        <f t="shared" si="9"/>
      </c>
      <c r="V37" s="2220">
        <f t="shared" si="10"/>
      </c>
      <c r="W37" s="2148"/>
    </row>
    <row r="38" spans="2:23" s="2131" customFormat="1" ht="16.5" customHeight="1">
      <c r="B38" s="2145"/>
      <c r="C38" s="2201"/>
      <c r="D38" s="2201"/>
      <c r="E38" s="2201"/>
      <c r="F38" s="2221"/>
      <c r="G38" s="2221"/>
      <c r="H38" s="2222"/>
      <c r="I38" s="2211">
        <f t="shared" si="0"/>
        <v>102.5268</v>
      </c>
      <c r="J38" s="2212"/>
      <c r="K38" s="2213"/>
      <c r="L38" s="2214">
        <f t="shared" si="1"/>
      </c>
      <c r="M38" s="2215">
        <f t="shared" si="2"/>
      </c>
      <c r="N38" s="2216"/>
      <c r="O38" s="2217">
        <f t="shared" si="3"/>
      </c>
      <c r="P38" s="2218">
        <f t="shared" si="4"/>
        <v>40</v>
      </c>
      <c r="Q38" s="2219" t="str">
        <f t="shared" si="5"/>
        <v>--</v>
      </c>
      <c r="R38" s="2206" t="str">
        <f t="shared" si="6"/>
        <v>--</v>
      </c>
      <c r="S38" s="2207" t="str">
        <f t="shared" si="7"/>
        <v>--</v>
      </c>
      <c r="T38" s="2208" t="str">
        <f t="shared" si="8"/>
        <v>--</v>
      </c>
      <c r="U38" s="2217">
        <f t="shared" si="9"/>
      </c>
      <c r="V38" s="2220">
        <f t="shared" si="10"/>
      </c>
      <c r="W38" s="2148"/>
    </row>
    <row r="39" spans="2:23" s="2131" customFormat="1" ht="16.5" customHeight="1">
      <c r="B39" s="2145"/>
      <c r="C39" s="2201"/>
      <c r="D39" s="2201"/>
      <c r="E39" s="2201"/>
      <c r="F39" s="2221"/>
      <c r="G39" s="2221"/>
      <c r="H39" s="2222"/>
      <c r="I39" s="2211">
        <f t="shared" si="0"/>
        <v>102.5268</v>
      </c>
      <c r="J39" s="2212"/>
      <c r="K39" s="2213"/>
      <c r="L39" s="2214">
        <f t="shared" si="1"/>
      </c>
      <c r="M39" s="2215">
        <f t="shared" si="2"/>
      </c>
      <c r="N39" s="2216"/>
      <c r="O39" s="2217">
        <f t="shared" si="3"/>
      </c>
      <c r="P39" s="2218">
        <f t="shared" si="4"/>
        <v>40</v>
      </c>
      <c r="Q39" s="2219" t="str">
        <f t="shared" si="5"/>
        <v>--</v>
      </c>
      <c r="R39" s="2206" t="str">
        <f t="shared" si="6"/>
        <v>--</v>
      </c>
      <c r="S39" s="2207" t="str">
        <f t="shared" si="7"/>
        <v>--</v>
      </c>
      <c r="T39" s="2208" t="str">
        <f t="shared" si="8"/>
        <v>--</v>
      </c>
      <c r="U39" s="2217">
        <f t="shared" si="9"/>
      </c>
      <c r="V39" s="2220">
        <f t="shared" si="10"/>
      </c>
      <c r="W39" s="2148"/>
    </row>
    <row r="40" spans="2:23" s="2131" customFormat="1" ht="16.5" customHeight="1" thickBot="1">
      <c r="B40" s="2145"/>
      <c r="C40" s="2201"/>
      <c r="D40" s="2223"/>
      <c r="E40" s="2201"/>
      <c r="F40" s="2224"/>
      <c r="G40" s="2224"/>
      <c r="H40" s="2225"/>
      <c r="I40" s="2226"/>
      <c r="J40" s="2227"/>
      <c r="K40" s="2227"/>
      <c r="L40" s="2228"/>
      <c r="M40" s="2228"/>
      <c r="N40" s="2227"/>
      <c r="O40" s="2229"/>
      <c r="P40" s="2230"/>
      <c r="Q40" s="2231"/>
      <c r="R40" s="2232"/>
      <c r="S40" s="2233"/>
      <c r="T40" s="2234"/>
      <c r="U40" s="2229"/>
      <c r="V40" s="2235"/>
      <c r="W40" s="2148"/>
    </row>
    <row r="41" spans="2:23" s="2131" customFormat="1" ht="16.5" customHeight="1" thickBot="1" thickTop="1">
      <c r="B41" s="2145"/>
      <c r="C41" s="2236" t="s">
        <v>392</v>
      </c>
      <c r="D41" s="1528" t="s">
        <v>420</v>
      </c>
      <c r="E41" s="2237"/>
      <c r="F41" s="2238"/>
      <c r="G41" s="2239"/>
      <c r="H41" s="2146"/>
      <c r="I41" s="2146"/>
      <c r="J41" s="2146"/>
      <c r="K41" s="2146"/>
      <c r="L41" s="2146"/>
      <c r="M41" s="2146"/>
      <c r="N41" s="2146"/>
      <c r="O41" s="2146"/>
      <c r="P41" s="2146"/>
      <c r="Q41" s="2240">
        <f>SUM(Q22:Q40)</f>
        <v>1673.2373760000003</v>
      </c>
      <c r="R41" s="2241">
        <f>SUM(R22:R40)</f>
        <v>0</v>
      </c>
      <c r="S41" s="2242">
        <f>SUM(S22:S40)</f>
        <v>0</v>
      </c>
      <c r="T41" s="2243">
        <f>SUM(T22:T40)</f>
        <v>0</v>
      </c>
      <c r="U41" s="2244"/>
      <c r="V41" s="2245">
        <f>ROUND(SUM(V22:V40),2)</f>
        <v>1673.24</v>
      </c>
      <c r="W41" s="2148"/>
    </row>
    <row r="42" spans="2:23" s="2131" customFormat="1" ht="16.5" customHeight="1" thickBot="1" thickTop="1">
      <c r="B42" s="2246"/>
      <c r="C42" s="2247"/>
      <c r="D42" s="2247"/>
      <c r="E42" s="2247"/>
      <c r="F42" s="2247"/>
      <c r="G42" s="2247"/>
      <c r="H42" s="2247"/>
      <c r="I42" s="2247"/>
      <c r="J42" s="2247"/>
      <c r="K42" s="2247"/>
      <c r="L42" s="2247"/>
      <c r="M42" s="2247"/>
      <c r="N42" s="2247"/>
      <c r="O42" s="2247"/>
      <c r="P42" s="2247"/>
      <c r="Q42" s="2247"/>
      <c r="R42" s="2247"/>
      <c r="S42" s="2247"/>
      <c r="T42" s="2247"/>
      <c r="U42" s="2247"/>
      <c r="V42" s="2247"/>
      <c r="W42" s="2248"/>
    </row>
    <row r="43" spans="23:25" ht="16.5" customHeight="1" thickTop="1">
      <c r="W43" s="2249"/>
      <c r="X43" s="2249"/>
      <c r="Y43" s="2249"/>
    </row>
    <row r="44" spans="23:25" ht="16.5" customHeight="1">
      <c r="W44" s="2249"/>
      <c r="X44" s="2249"/>
      <c r="Y44" s="2249"/>
    </row>
    <row r="45" spans="6:25" ht="16.5" customHeight="1">
      <c r="F45" s="2239" t="s">
        <v>457</v>
      </c>
      <c r="W45" s="2249"/>
      <c r="X45" s="2249"/>
      <c r="Y45" s="2249"/>
    </row>
    <row r="46" spans="23:25" ht="16.5" customHeight="1">
      <c r="W46" s="2249"/>
      <c r="X46" s="2249"/>
      <c r="Y46" s="2249"/>
    </row>
    <row r="47" spans="23:25" ht="16.5" customHeight="1">
      <c r="W47" s="2249"/>
      <c r="X47" s="2249"/>
      <c r="Y47" s="2249"/>
    </row>
    <row r="48" spans="6:25" ht="16.5" customHeight="1">
      <c r="F48" s="2249"/>
      <c r="G48" s="2249"/>
      <c r="H48" s="2249"/>
      <c r="I48" s="2249"/>
      <c r="J48" s="2249"/>
      <c r="K48" s="2249"/>
      <c r="L48" s="2249"/>
      <c r="M48" s="2249"/>
      <c r="N48" s="2249"/>
      <c r="O48" s="2249"/>
      <c r="P48" s="2249"/>
      <c r="Q48" s="2249"/>
      <c r="R48" s="2249"/>
      <c r="S48" s="2249"/>
      <c r="T48" s="2249"/>
      <c r="U48" s="2249"/>
      <c r="V48" s="2249"/>
      <c r="W48" s="2249"/>
      <c r="X48" s="2249"/>
      <c r="Y48" s="2249"/>
    </row>
    <row r="49" spans="6:25" ht="16.5" customHeight="1">
      <c r="F49" s="2249"/>
      <c r="G49" s="2249"/>
      <c r="H49" s="2249"/>
      <c r="I49" s="2249"/>
      <c r="J49" s="2249"/>
      <c r="K49" s="2249"/>
      <c r="L49" s="2249"/>
      <c r="M49" s="2249"/>
      <c r="N49" s="2249"/>
      <c r="O49" s="2249"/>
      <c r="P49" s="2249"/>
      <c r="Q49" s="2249"/>
      <c r="R49" s="2249"/>
      <c r="S49" s="2249"/>
      <c r="T49" s="2249"/>
      <c r="U49" s="2249"/>
      <c r="V49" s="2249"/>
      <c r="W49" s="2249"/>
      <c r="X49" s="2249"/>
      <c r="Y49" s="2249"/>
    </row>
    <row r="50" spans="6:25" ht="16.5" customHeight="1">
      <c r="F50" s="2249"/>
      <c r="G50" s="2249"/>
      <c r="H50" s="2249"/>
      <c r="I50" s="2249"/>
      <c r="J50" s="2249"/>
      <c r="K50" s="2249"/>
      <c r="L50" s="2249"/>
      <c r="M50" s="2249"/>
      <c r="N50" s="2249"/>
      <c r="O50" s="2249"/>
      <c r="P50" s="2249"/>
      <c r="Q50" s="2249"/>
      <c r="R50" s="2249"/>
      <c r="S50" s="2249"/>
      <c r="T50" s="2249"/>
      <c r="U50" s="2249"/>
      <c r="V50" s="2249"/>
      <c r="W50" s="2249"/>
      <c r="X50" s="2249"/>
      <c r="Y50" s="2249"/>
    </row>
    <row r="51" spans="6:25" ht="16.5" customHeight="1">
      <c r="F51" s="2249"/>
      <c r="G51" s="2249"/>
      <c r="H51" s="2249"/>
      <c r="I51" s="2249"/>
      <c r="J51" s="2249"/>
      <c r="K51" s="2249"/>
      <c r="L51" s="2249"/>
      <c r="M51" s="2249"/>
      <c r="N51" s="2249"/>
      <c r="O51" s="2249"/>
      <c r="P51" s="2249"/>
      <c r="Q51" s="2249"/>
      <c r="R51" s="2249"/>
      <c r="S51" s="2249"/>
      <c r="T51" s="2249"/>
      <c r="U51" s="2249"/>
      <c r="V51" s="2249"/>
      <c r="W51" s="2249"/>
      <c r="X51" s="2249"/>
      <c r="Y51" s="2249"/>
    </row>
    <row r="52" spans="6:25" ht="16.5" customHeight="1">
      <c r="F52" s="2249"/>
      <c r="G52" s="2249"/>
      <c r="H52" s="2249"/>
      <c r="I52" s="2249"/>
      <c r="J52" s="2249"/>
      <c r="K52" s="2249"/>
      <c r="L52" s="2249"/>
      <c r="M52" s="2249"/>
      <c r="N52" s="2249"/>
      <c r="O52" s="2249"/>
      <c r="P52" s="2249"/>
      <c r="Q52" s="2249"/>
      <c r="R52" s="2249"/>
      <c r="S52" s="2249"/>
      <c r="T52" s="2249"/>
      <c r="U52" s="2249"/>
      <c r="V52" s="2249"/>
      <c r="W52" s="2249"/>
      <c r="X52" s="2249"/>
      <c r="Y52" s="2249"/>
    </row>
    <row r="53" spans="6:25" ht="16.5" customHeight="1">
      <c r="F53" s="2249"/>
      <c r="G53" s="2249"/>
      <c r="H53" s="2249"/>
      <c r="I53" s="2249"/>
      <c r="J53" s="2249"/>
      <c r="K53" s="2249"/>
      <c r="L53" s="2249"/>
      <c r="M53" s="2249"/>
      <c r="N53" s="2249"/>
      <c r="O53" s="2249"/>
      <c r="P53" s="2249"/>
      <c r="Q53" s="2249"/>
      <c r="R53" s="2249"/>
      <c r="S53" s="2249"/>
      <c r="T53" s="2249"/>
      <c r="U53" s="2249"/>
      <c r="V53" s="2249"/>
      <c r="W53" s="2249"/>
      <c r="X53" s="2249"/>
      <c r="Y53" s="2249"/>
    </row>
    <row r="54" spans="6:25" ht="16.5" customHeight="1">
      <c r="F54" s="2249"/>
      <c r="G54" s="2249"/>
      <c r="H54" s="2249"/>
      <c r="I54" s="2249"/>
      <c r="J54" s="2249"/>
      <c r="K54" s="2249"/>
      <c r="L54" s="2249"/>
      <c r="M54" s="2249"/>
      <c r="N54" s="2249"/>
      <c r="O54" s="2249"/>
      <c r="P54" s="2249"/>
      <c r="Q54" s="2249"/>
      <c r="R54" s="2249"/>
      <c r="S54" s="2249"/>
      <c r="T54" s="2249"/>
      <c r="U54" s="2249"/>
      <c r="V54" s="2249"/>
      <c r="W54" s="2249"/>
      <c r="X54" s="2249"/>
      <c r="Y54" s="2249"/>
    </row>
    <row r="55" spans="6:25" ht="16.5" customHeight="1">
      <c r="F55" s="2249"/>
      <c r="G55" s="2249"/>
      <c r="H55" s="2249"/>
      <c r="I55" s="2249"/>
      <c r="J55" s="2249"/>
      <c r="K55" s="2249"/>
      <c r="L55" s="2249"/>
      <c r="M55" s="2249"/>
      <c r="N55" s="2249"/>
      <c r="O55" s="2249"/>
      <c r="P55" s="2249"/>
      <c r="Q55" s="2249"/>
      <c r="R55" s="2249"/>
      <c r="S55" s="2249"/>
      <c r="T55" s="2249"/>
      <c r="U55" s="2249"/>
      <c r="V55" s="2249"/>
      <c r="W55" s="2249"/>
      <c r="X55" s="2249"/>
      <c r="Y55" s="2249"/>
    </row>
    <row r="56" spans="6:25" ht="16.5" customHeight="1">
      <c r="F56" s="2249"/>
      <c r="G56" s="2249"/>
      <c r="H56" s="2249"/>
      <c r="I56" s="2249"/>
      <c r="J56" s="2249"/>
      <c r="K56" s="2249"/>
      <c r="L56" s="2249"/>
      <c r="M56" s="2249"/>
      <c r="N56" s="2249"/>
      <c r="O56" s="2249"/>
      <c r="P56" s="2249"/>
      <c r="Q56" s="2249"/>
      <c r="R56" s="2249"/>
      <c r="S56" s="2249"/>
      <c r="T56" s="2249"/>
      <c r="U56" s="2249"/>
      <c r="V56" s="2249"/>
      <c r="W56" s="2249"/>
      <c r="X56" s="2249"/>
      <c r="Y56" s="2249"/>
    </row>
    <row r="57" spans="6:25" ht="16.5" customHeight="1">
      <c r="F57" s="2249"/>
      <c r="G57" s="2249"/>
      <c r="H57" s="2249"/>
      <c r="I57" s="2249"/>
      <c r="J57" s="2249"/>
      <c r="K57" s="2249"/>
      <c r="L57" s="2249"/>
      <c r="M57" s="2249"/>
      <c r="N57" s="2249"/>
      <c r="O57" s="2249"/>
      <c r="P57" s="2249"/>
      <c r="Q57" s="2249"/>
      <c r="R57" s="2249"/>
      <c r="S57" s="2249"/>
      <c r="T57" s="2249"/>
      <c r="U57" s="2249"/>
      <c r="V57" s="2249"/>
      <c r="W57" s="2249"/>
      <c r="X57" s="2249"/>
      <c r="Y57" s="2249"/>
    </row>
    <row r="58" spans="6:25" ht="16.5" customHeight="1">
      <c r="F58" s="2249"/>
      <c r="G58" s="2249"/>
      <c r="H58" s="2249"/>
      <c r="I58" s="2249"/>
      <c r="J58" s="2249"/>
      <c r="K58" s="2249"/>
      <c r="L58" s="2249"/>
      <c r="M58" s="2249"/>
      <c r="N58" s="2249"/>
      <c r="O58" s="2249"/>
      <c r="P58" s="2249"/>
      <c r="Q58" s="2249"/>
      <c r="R58" s="2249"/>
      <c r="S58" s="2249"/>
      <c r="T58" s="2249"/>
      <c r="U58" s="2249"/>
      <c r="V58" s="2249"/>
      <c r="W58" s="2249"/>
      <c r="X58" s="2249"/>
      <c r="Y58" s="2249"/>
    </row>
    <row r="59" spans="6:25" ht="16.5" customHeight="1">
      <c r="F59" s="2249"/>
      <c r="G59" s="2249"/>
      <c r="H59" s="2249"/>
      <c r="I59" s="2249"/>
      <c r="J59" s="2249"/>
      <c r="K59" s="2249"/>
      <c r="L59" s="2249"/>
      <c r="M59" s="2249"/>
      <c r="N59" s="2249"/>
      <c r="O59" s="2249"/>
      <c r="P59" s="2249"/>
      <c r="Q59" s="2249"/>
      <c r="R59" s="2249"/>
      <c r="S59" s="2249"/>
      <c r="T59" s="2249"/>
      <c r="U59" s="2249"/>
      <c r="V59" s="2249"/>
      <c r="W59" s="2249"/>
      <c r="X59" s="2249"/>
      <c r="Y59" s="2249"/>
    </row>
    <row r="60" spans="6:25" ht="16.5" customHeight="1">
      <c r="F60" s="2249"/>
      <c r="G60" s="2249"/>
      <c r="H60" s="2249"/>
      <c r="I60" s="2249"/>
      <c r="J60" s="2249"/>
      <c r="K60" s="2249"/>
      <c r="L60" s="2249"/>
      <c r="M60" s="2249"/>
      <c r="N60" s="2249"/>
      <c r="O60" s="2249"/>
      <c r="P60" s="2249"/>
      <c r="Q60" s="2249"/>
      <c r="R60" s="2249"/>
      <c r="S60" s="2249"/>
      <c r="T60" s="2249"/>
      <c r="U60" s="2249"/>
      <c r="V60" s="2249"/>
      <c r="W60" s="2249"/>
      <c r="X60" s="2249"/>
      <c r="Y60" s="2249"/>
    </row>
    <row r="61" spans="6:25" ht="16.5" customHeight="1">
      <c r="F61" s="2249"/>
      <c r="G61" s="2249"/>
      <c r="H61" s="2249"/>
      <c r="I61" s="2249"/>
      <c r="J61" s="2249"/>
      <c r="K61" s="2249"/>
      <c r="L61" s="2249"/>
      <c r="M61" s="2249"/>
      <c r="N61" s="2249"/>
      <c r="O61" s="2249"/>
      <c r="P61" s="2249"/>
      <c r="Q61" s="2249"/>
      <c r="R61" s="2249"/>
      <c r="S61" s="2249"/>
      <c r="T61" s="2249"/>
      <c r="U61" s="2249"/>
      <c r="V61" s="2249"/>
      <c r="W61" s="2249"/>
      <c r="X61" s="2249"/>
      <c r="Y61" s="2249"/>
    </row>
    <row r="62" spans="6:25" ht="16.5" customHeight="1">
      <c r="F62" s="2249"/>
      <c r="G62" s="2249"/>
      <c r="H62" s="2249"/>
      <c r="I62" s="2249"/>
      <c r="J62" s="2249"/>
      <c r="K62" s="2249"/>
      <c r="L62" s="2249"/>
      <c r="M62" s="2249"/>
      <c r="N62" s="2249"/>
      <c r="O62" s="2249"/>
      <c r="P62" s="2249"/>
      <c r="Q62" s="2249"/>
      <c r="R62" s="2249"/>
      <c r="S62" s="2249"/>
      <c r="T62" s="2249"/>
      <c r="U62" s="2249"/>
      <c r="V62" s="2249"/>
      <c r="W62" s="2249"/>
      <c r="X62" s="2249"/>
      <c r="Y62" s="2249"/>
    </row>
    <row r="63" spans="6:25" ht="16.5" customHeight="1">
      <c r="F63" s="2249"/>
      <c r="G63" s="2249"/>
      <c r="H63" s="2249"/>
      <c r="I63" s="2249"/>
      <c r="J63" s="2249"/>
      <c r="K63" s="2249"/>
      <c r="L63" s="2249"/>
      <c r="M63" s="2249"/>
      <c r="N63" s="2249"/>
      <c r="O63" s="2249"/>
      <c r="P63" s="2249"/>
      <c r="Q63" s="2249"/>
      <c r="R63" s="2249"/>
      <c r="S63" s="2249"/>
      <c r="T63" s="2249"/>
      <c r="U63" s="2249"/>
      <c r="V63" s="2249"/>
      <c r="W63" s="2249"/>
      <c r="X63" s="2249"/>
      <c r="Y63" s="2249"/>
    </row>
    <row r="64" spans="6:25" ht="16.5" customHeight="1">
      <c r="F64" s="2249"/>
      <c r="G64" s="2249"/>
      <c r="H64" s="2249"/>
      <c r="I64" s="2249"/>
      <c r="J64" s="2249"/>
      <c r="K64" s="2249"/>
      <c r="L64" s="2249"/>
      <c r="M64" s="2249"/>
      <c r="N64" s="2249"/>
      <c r="O64" s="2249"/>
      <c r="P64" s="2249"/>
      <c r="Q64" s="2249"/>
      <c r="R64" s="2249"/>
      <c r="S64" s="2249"/>
      <c r="T64" s="2249"/>
      <c r="U64" s="2249"/>
      <c r="V64" s="2249"/>
      <c r="W64" s="2249"/>
      <c r="X64" s="2249"/>
      <c r="Y64" s="2249"/>
    </row>
    <row r="65" spans="6:25" ht="16.5" customHeight="1">
      <c r="F65" s="2249"/>
      <c r="G65" s="2249"/>
      <c r="H65" s="2249"/>
      <c r="I65" s="2249"/>
      <c r="J65" s="2249"/>
      <c r="K65" s="2249"/>
      <c r="L65" s="2249"/>
      <c r="M65" s="2249"/>
      <c r="N65" s="2249"/>
      <c r="O65" s="2249"/>
      <c r="P65" s="2249"/>
      <c r="Q65" s="2249"/>
      <c r="R65" s="2249"/>
      <c r="S65" s="2249"/>
      <c r="T65" s="2249"/>
      <c r="U65" s="2249"/>
      <c r="V65" s="2249"/>
      <c r="W65" s="2249"/>
      <c r="X65" s="2249"/>
      <c r="Y65" s="2249"/>
    </row>
    <row r="66" spans="6:25" ht="16.5" customHeight="1">
      <c r="F66" s="2249"/>
      <c r="G66" s="2249"/>
      <c r="H66" s="2249"/>
      <c r="I66" s="2249"/>
      <c r="J66" s="2249"/>
      <c r="K66" s="2249"/>
      <c r="L66" s="2249"/>
      <c r="M66" s="2249"/>
      <c r="N66" s="2249"/>
      <c r="O66" s="2249"/>
      <c r="P66" s="2249"/>
      <c r="Q66" s="2249"/>
      <c r="R66" s="2249"/>
      <c r="S66" s="2249"/>
      <c r="T66" s="2249"/>
      <c r="U66" s="2249"/>
      <c r="V66" s="2249"/>
      <c r="W66" s="2249"/>
      <c r="X66" s="2249"/>
      <c r="Y66" s="2249"/>
    </row>
    <row r="67" spans="6:25" ht="16.5" customHeight="1">
      <c r="F67" s="2249"/>
      <c r="G67" s="2249"/>
      <c r="H67" s="2249"/>
      <c r="I67" s="2249"/>
      <c r="J67" s="2249"/>
      <c r="K67" s="2249"/>
      <c r="L67" s="2249"/>
      <c r="M67" s="2249"/>
      <c r="N67" s="2249"/>
      <c r="O67" s="2249"/>
      <c r="P67" s="2249"/>
      <c r="Q67" s="2249"/>
      <c r="R67" s="2249"/>
      <c r="S67" s="2249"/>
      <c r="T67" s="2249"/>
      <c r="U67" s="2249"/>
      <c r="V67" s="2249"/>
      <c r="W67" s="2249"/>
      <c r="X67" s="2249"/>
      <c r="Y67" s="2249"/>
    </row>
    <row r="68" spans="6:25" ht="16.5" customHeight="1">
      <c r="F68" s="2249"/>
      <c r="G68" s="2249"/>
      <c r="H68" s="2249"/>
      <c r="I68" s="2249"/>
      <c r="J68" s="2249"/>
      <c r="K68" s="2249"/>
      <c r="L68" s="2249"/>
      <c r="M68" s="2249"/>
      <c r="N68" s="2249"/>
      <c r="O68" s="2249"/>
      <c r="P68" s="2249"/>
      <c r="Q68" s="2249"/>
      <c r="R68" s="2249"/>
      <c r="S68" s="2249"/>
      <c r="T68" s="2249"/>
      <c r="U68" s="2249"/>
      <c r="V68" s="2249"/>
      <c r="W68" s="2249"/>
      <c r="X68" s="2249"/>
      <c r="Y68" s="2249"/>
    </row>
    <row r="69" spans="6:25" ht="16.5" customHeight="1">
      <c r="F69" s="2249"/>
      <c r="G69" s="2249"/>
      <c r="H69" s="2249"/>
      <c r="I69" s="2249"/>
      <c r="J69" s="2249"/>
      <c r="K69" s="2249"/>
      <c r="L69" s="2249"/>
      <c r="M69" s="2249"/>
      <c r="N69" s="2249"/>
      <c r="O69" s="2249"/>
      <c r="P69" s="2249"/>
      <c r="Q69" s="2249"/>
      <c r="R69" s="2249"/>
      <c r="S69" s="2249"/>
      <c r="T69" s="2249"/>
      <c r="U69" s="2249"/>
      <c r="V69" s="2249"/>
      <c r="W69" s="2249"/>
      <c r="X69" s="2249"/>
      <c r="Y69" s="2249"/>
    </row>
    <row r="70" spans="6:25" ht="16.5" customHeight="1">
      <c r="F70" s="2249"/>
      <c r="G70" s="2249"/>
      <c r="H70" s="2249"/>
      <c r="I70" s="2249"/>
      <c r="J70" s="2249"/>
      <c r="K70" s="2249"/>
      <c r="L70" s="2249"/>
      <c r="M70" s="2249"/>
      <c r="N70" s="2249"/>
      <c r="O70" s="2249"/>
      <c r="P70" s="2249"/>
      <c r="Q70" s="2249"/>
      <c r="R70" s="2249"/>
      <c r="S70" s="2249"/>
      <c r="T70" s="2249"/>
      <c r="U70" s="2249"/>
      <c r="V70" s="2249"/>
      <c r="W70" s="2249"/>
      <c r="X70" s="2249"/>
      <c r="Y70" s="2249"/>
    </row>
    <row r="71" spans="6:25" ht="16.5" customHeight="1">
      <c r="F71" s="2249"/>
      <c r="G71" s="2249"/>
      <c r="H71" s="2249"/>
      <c r="I71" s="2249"/>
      <c r="J71" s="2249"/>
      <c r="K71" s="2249"/>
      <c r="L71" s="2249"/>
      <c r="M71" s="2249"/>
      <c r="N71" s="2249"/>
      <c r="O71" s="2249"/>
      <c r="P71" s="2249"/>
      <c r="Q71" s="2249"/>
      <c r="R71" s="2249"/>
      <c r="S71" s="2249"/>
      <c r="T71" s="2249"/>
      <c r="U71" s="2249"/>
      <c r="V71" s="2249"/>
      <c r="W71" s="2249"/>
      <c r="X71" s="2249"/>
      <c r="Y71" s="2249"/>
    </row>
    <row r="72" spans="6:25" ht="16.5" customHeight="1">
      <c r="F72" s="2249"/>
      <c r="G72" s="2249"/>
      <c r="H72" s="2249"/>
      <c r="I72" s="2249"/>
      <c r="J72" s="2249"/>
      <c r="K72" s="2249"/>
      <c r="L72" s="2249"/>
      <c r="M72" s="2249"/>
      <c r="N72" s="2249"/>
      <c r="O72" s="2249"/>
      <c r="P72" s="2249"/>
      <c r="Q72" s="2249"/>
      <c r="R72" s="2249"/>
      <c r="S72" s="2249"/>
      <c r="T72" s="2249"/>
      <c r="U72" s="2249"/>
      <c r="V72" s="2249"/>
      <c r="W72" s="2249"/>
      <c r="X72" s="2249"/>
      <c r="Y72" s="2249"/>
    </row>
    <row r="73" spans="6:25" ht="16.5" customHeight="1">
      <c r="F73" s="2249"/>
      <c r="G73" s="2249"/>
      <c r="H73" s="2249"/>
      <c r="I73" s="2249"/>
      <c r="J73" s="2249"/>
      <c r="K73" s="2249"/>
      <c r="L73" s="2249"/>
      <c r="M73" s="2249"/>
      <c r="N73" s="2249"/>
      <c r="O73" s="2249"/>
      <c r="P73" s="2249"/>
      <c r="Q73" s="2249"/>
      <c r="R73" s="2249"/>
      <c r="S73" s="2249"/>
      <c r="T73" s="2249"/>
      <c r="U73" s="2249"/>
      <c r="V73" s="2249"/>
      <c r="W73" s="2249"/>
      <c r="X73" s="2249"/>
      <c r="Y73" s="2249"/>
    </row>
    <row r="74" spans="6:25" ht="16.5" customHeight="1">
      <c r="F74" s="2249"/>
      <c r="G74" s="2249"/>
      <c r="H74" s="2249"/>
      <c r="I74" s="2249"/>
      <c r="J74" s="2249"/>
      <c r="K74" s="2249"/>
      <c r="L74" s="2249"/>
      <c r="M74" s="2249"/>
      <c r="N74" s="2249"/>
      <c r="O74" s="2249"/>
      <c r="P74" s="2249"/>
      <c r="Q74" s="2249"/>
      <c r="R74" s="2249"/>
      <c r="S74" s="2249"/>
      <c r="T74" s="2249"/>
      <c r="U74" s="2249"/>
      <c r="V74" s="2249"/>
      <c r="W74" s="2249"/>
      <c r="X74" s="2249"/>
      <c r="Y74" s="2249"/>
    </row>
    <row r="75" spans="6:25" ht="16.5" customHeight="1">
      <c r="F75" s="2249"/>
      <c r="G75" s="2249"/>
      <c r="H75" s="2249"/>
      <c r="I75" s="2249"/>
      <c r="J75" s="2249"/>
      <c r="K75" s="2249"/>
      <c r="L75" s="2249"/>
      <c r="M75" s="2249"/>
      <c r="N75" s="2249"/>
      <c r="O75" s="2249"/>
      <c r="P75" s="2249"/>
      <c r="Q75" s="2249"/>
      <c r="R75" s="2249"/>
      <c r="S75" s="2249"/>
      <c r="T75" s="2249"/>
      <c r="U75" s="2249"/>
      <c r="V75" s="2249"/>
      <c r="W75" s="2249"/>
      <c r="X75" s="2249"/>
      <c r="Y75" s="2249"/>
    </row>
    <row r="76" spans="6:25" ht="16.5" customHeight="1">
      <c r="F76" s="2249"/>
      <c r="G76" s="2249"/>
      <c r="H76" s="2249"/>
      <c r="I76" s="2249"/>
      <c r="J76" s="2249"/>
      <c r="K76" s="2249"/>
      <c r="L76" s="2249"/>
      <c r="M76" s="2249"/>
      <c r="N76" s="2249"/>
      <c r="O76" s="2249"/>
      <c r="P76" s="2249"/>
      <c r="Q76" s="2249"/>
      <c r="R76" s="2249"/>
      <c r="S76" s="2249"/>
      <c r="T76" s="2249"/>
      <c r="U76" s="2249"/>
      <c r="V76" s="2249"/>
      <c r="W76" s="2249"/>
      <c r="X76" s="2249"/>
      <c r="Y76" s="2249"/>
    </row>
    <row r="77" spans="6:25" ht="16.5" customHeight="1">
      <c r="F77" s="2249"/>
      <c r="G77" s="2249"/>
      <c r="H77" s="2249"/>
      <c r="I77" s="2249"/>
      <c r="J77" s="2249"/>
      <c r="K77" s="2249"/>
      <c r="L77" s="2249"/>
      <c r="M77" s="2249"/>
      <c r="N77" s="2249"/>
      <c r="O77" s="2249"/>
      <c r="P77" s="2249"/>
      <c r="Q77" s="2249"/>
      <c r="R77" s="2249"/>
      <c r="S77" s="2249"/>
      <c r="T77" s="2249"/>
      <c r="U77" s="2249"/>
      <c r="V77" s="2249"/>
      <c r="W77" s="2249"/>
      <c r="X77" s="2249"/>
      <c r="Y77" s="2249"/>
    </row>
    <row r="78" spans="6:25" ht="16.5" customHeight="1">
      <c r="F78" s="2249"/>
      <c r="G78" s="2249"/>
      <c r="H78" s="2249"/>
      <c r="I78" s="2249"/>
      <c r="J78" s="2249"/>
      <c r="K78" s="2249"/>
      <c r="L78" s="2249"/>
      <c r="M78" s="2249"/>
      <c r="N78" s="2249"/>
      <c r="O78" s="2249"/>
      <c r="P78" s="2249"/>
      <c r="Q78" s="2249"/>
      <c r="R78" s="2249"/>
      <c r="S78" s="2249"/>
      <c r="T78" s="2249"/>
      <c r="U78" s="2249"/>
      <c r="V78" s="2249"/>
      <c r="W78" s="2249"/>
      <c r="X78" s="2249"/>
      <c r="Y78" s="2249"/>
    </row>
    <row r="79" spans="6:25" ht="16.5" customHeight="1">
      <c r="F79" s="2249"/>
      <c r="G79" s="2249"/>
      <c r="H79" s="2249"/>
      <c r="I79" s="2249"/>
      <c r="J79" s="2249"/>
      <c r="K79" s="2249"/>
      <c r="L79" s="2249"/>
      <c r="M79" s="2249"/>
      <c r="N79" s="2249"/>
      <c r="O79" s="2249"/>
      <c r="P79" s="2249"/>
      <c r="Q79" s="2249"/>
      <c r="R79" s="2249"/>
      <c r="S79" s="2249"/>
      <c r="T79" s="2249"/>
      <c r="U79" s="2249"/>
      <c r="V79" s="2249"/>
      <c r="W79" s="2249"/>
      <c r="X79" s="2249"/>
      <c r="Y79" s="2249"/>
    </row>
    <row r="80" spans="6:25" ht="16.5" customHeight="1">
      <c r="F80" s="2249"/>
      <c r="G80" s="2249"/>
      <c r="H80" s="2249"/>
      <c r="I80" s="2249"/>
      <c r="J80" s="2249"/>
      <c r="K80" s="2249"/>
      <c r="L80" s="2249"/>
      <c r="M80" s="2249"/>
      <c r="N80" s="2249"/>
      <c r="O80" s="2249"/>
      <c r="P80" s="2249"/>
      <c r="Q80" s="2249"/>
      <c r="R80" s="2249"/>
      <c r="S80" s="2249"/>
      <c r="T80" s="2249"/>
      <c r="U80" s="2249"/>
      <c r="V80" s="2249"/>
      <c r="W80" s="2249"/>
      <c r="X80" s="2249"/>
      <c r="Y80" s="2249"/>
    </row>
    <row r="81" spans="6:25" ht="16.5" customHeight="1">
      <c r="F81" s="2249"/>
      <c r="G81" s="2249"/>
      <c r="H81" s="2249"/>
      <c r="I81" s="2249"/>
      <c r="J81" s="2249"/>
      <c r="K81" s="2249"/>
      <c r="L81" s="2249"/>
      <c r="M81" s="2249"/>
      <c r="N81" s="2249"/>
      <c r="O81" s="2249"/>
      <c r="P81" s="2249"/>
      <c r="Q81" s="2249"/>
      <c r="R81" s="2249"/>
      <c r="S81" s="2249"/>
      <c r="T81" s="2249"/>
      <c r="U81" s="2249"/>
      <c r="V81" s="2249"/>
      <c r="W81" s="2249"/>
      <c r="X81" s="2249"/>
      <c r="Y81" s="2249"/>
    </row>
    <row r="82" spans="6:25" ht="16.5" customHeight="1">
      <c r="F82" s="2249"/>
      <c r="G82" s="2249"/>
      <c r="H82" s="2249"/>
      <c r="I82" s="2249"/>
      <c r="J82" s="2249"/>
      <c r="K82" s="2249"/>
      <c r="L82" s="2249"/>
      <c r="M82" s="2249"/>
      <c r="N82" s="2249"/>
      <c r="O82" s="2249"/>
      <c r="P82" s="2249"/>
      <c r="Q82" s="2249"/>
      <c r="R82" s="2249"/>
      <c r="S82" s="2249"/>
      <c r="T82" s="2249"/>
      <c r="U82" s="2249"/>
      <c r="V82" s="2249"/>
      <c r="W82" s="2249"/>
      <c r="X82" s="2249"/>
      <c r="Y82" s="2249"/>
    </row>
    <row r="83" spans="6:25" ht="16.5" customHeight="1">
      <c r="F83" s="2249"/>
      <c r="G83" s="2249"/>
      <c r="H83" s="2249"/>
      <c r="I83" s="2249"/>
      <c r="J83" s="2249"/>
      <c r="K83" s="2249"/>
      <c r="L83" s="2249"/>
      <c r="M83" s="2249"/>
      <c r="N83" s="2249"/>
      <c r="O83" s="2249"/>
      <c r="P83" s="2249"/>
      <c r="Q83" s="2249"/>
      <c r="R83" s="2249"/>
      <c r="S83" s="2249"/>
      <c r="T83" s="2249"/>
      <c r="U83" s="2249"/>
      <c r="V83" s="2249"/>
      <c r="W83" s="2249"/>
      <c r="X83" s="2249"/>
      <c r="Y83" s="2249"/>
    </row>
    <row r="84" spans="6:25" ht="16.5" customHeight="1">
      <c r="F84" s="2249"/>
      <c r="G84" s="2249"/>
      <c r="H84" s="2249"/>
      <c r="I84" s="2249"/>
      <c r="J84" s="2249"/>
      <c r="K84" s="2249"/>
      <c r="L84" s="2249"/>
      <c r="M84" s="2249"/>
      <c r="N84" s="2249"/>
      <c r="O84" s="2249"/>
      <c r="P84" s="2249"/>
      <c r="Q84" s="2249"/>
      <c r="R84" s="2249"/>
      <c r="S84" s="2249"/>
      <c r="T84" s="2249"/>
      <c r="U84" s="2249"/>
      <c r="V84" s="2249"/>
      <c r="W84" s="2249"/>
      <c r="X84" s="2249"/>
      <c r="Y84" s="2249"/>
    </row>
    <row r="85" spans="6:25" ht="16.5" customHeight="1">
      <c r="F85" s="2249"/>
      <c r="G85" s="2249"/>
      <c r="H85" s="2249"/>
      <c r="I85" s="2249"/>
      <c r="J85" s="2249"/>
      <c r="K85" s="2249"/>
      <c r="L85" s="2249"/>
      <c r="M85" s="2249"/>
      <c r="N85" s="2249"/>
      <c r="O85" s="2249"/>
      <c r="P85" s="2249"/>
      <c r="Q85" s="2249"/>
      <c r="R85" s="2249"/>
      <c r="S85" s="2249"/>
      <c r="T85" s="2249"/>
      <c r="U85" s="2249"/>
      <c r="V85" s="2249"/>
      <c r="W85" s="2249"/>
      <c r="X85" s="2249"/>
      <c r="Y85" s="2249"/>
    </row>
    <row r="86" spans="6:25" ht="16.5" customHeight="1">
      <c r="F86" s="2249"/>
      <c r="G86" s="2249"/>
      <c r="H86" s="2249"/>
      <c r="I86" s="2249"/>
      <c r="J86" s="2249"/>
      <c r="K86" s="2249"/>
      <c r="L86" s="2249"/>
      <c r="M86" s="2249"/>
      <c r="N86" s="2249"/>
      <c r="O86" s="2249"/>
      <c r="P86" s="2249"/>
      <c r="Q86" s="2249"/>
      <c r="R86" s="2249"/>
      <c r="S86" s="2249"/>
      <c r="T86" s="2249"/>
      <c r="U86" s="2249"/>
      <c r="V86" s="2249"/>
      <c r="W86" s="2249"/>
      <c r="X86" s="2249"/>
      <c r="Y86" s="2249"/>
    </row>
    <row r="87" spans="6:25" ht="16.5" customHeight="1">
      <c r="F87" s="2249"/>
      <c r="G87" s="2249"/>
      <c r="H87" s="2249"/>
      <c r="I87" s="2249"/>
      <c r="J87" s="2249"/>
      <c r="K87" s="2249"/>
      <c r="L87" s="2249"/>
      <c r="M87" s="2249"/>
      <c r="N87" s="2249"/>
      <c r="O87" s="2249"/>
      <c r="P87" s="2249"/>
      <c r="Q87" s="2249"/>
      <c r="R87" s="2249"/>
      <c r="S87" s="2249"/>
      <c r="T87" s="2249"/>
      <c r="U87" s="2249"/>
      <c r="V87" s="2249"/>
      <c r="W87" s="2249"/>
      <c r="X87" s="2249"/>
      <c r="Y87" s="2249"/>
    </row>
    <row r="88" spans="6:25" ht="16.5" customHeight="1">
      <c r="F88" s="2249"/>
      <c r="G88" s="2249"/>
      <c r="H88" s="2249"/>
      <c r="I88" s="2249"/>
      <c r="J88" s="2249"/>
      <c r="K88" s="2249"/>
      <c r="L88" s="2249"/>
      <c r="M88" s="2249"/>
      <c r="N88" s="2249"/>
      <c r="O88" s="2249"/>
      <c r="P88" s="2249"/>
      <c r="Q88" s="2249"/>
      <c r="R88" s="2249"/>
      <c r="S88" s="2249"/>
      <c r="T88" s="2249"/>
      <c r="U88" s="2249"/>
      <c r="V88" s="2249"/>
      <c r="W88" s="2249"/>
      <c r="X88" s="2249"/>
      <c r="Y88" s="2249"/>
    </row>
    <row r="89" spans="6:25" ht="16.5" customHeight="1">
      <c r="F89" s="2249"/>
      <c r="G89" s="2249"/>
      <c r="H89" s="2249"/>
      <c r="I89" s="2249"/>
      <c r="J89" s="2249"/>
      <c r="K89" s="2249"/>
      <c r="L89" s="2249"/>
      <c r="M89" s="2249"/>
      <c r="N89" s="2249"/>
      <c r="O89" s="2249"/>
      <c r="P89" s="2249"/>
      <c r="Q89" s="2249"/>
      <c r="R89" s="2249"/>
      <c r="S89" s="2249"/>
      <c r="T89" s="2249"/>
      <c r="U89" s="2249"/>
      <c r="V89" s="2249"/>
      <c r="W89" s="2249"/>
      <c r="X89" s="2249"/>
      <c r="Y89" s="2249"/>
    </row>
    <row r="90" spans="6:25" ht="16.5" customHeight="1">
      <c r="F90" s="2249"/>
      <c r="G90" s="2249"/>
      <c r="H90" s="2249"/>
      <c r="I90" s="2249"/>
      <c r="J90" s="2249"/>
      <c r="K90" s="2249"/>
      <c r="L90" s="2249"/>
      <c r="M90" s="2249"/>
      <c r="N90" s="2249"/>
      <c r="O90" s="2249"/>
      <c r="P90" s="2249"/>
      <c r="Q90" s="2249"/>
      <c r="R90" s="2249"/>
      <c r="S90" s="2249"/>
      <c r="T90" s="2249"/>
      <c r="U90" s="2249"/>
      <c r="V90" s="2249"/>
      <c r="W90" s="2249"/>
      <c r="X90" s="2249"/>
      <c r="Y90" s="2249"/>
    </row>
    <row r="91" spans="6:25" ht="16.5" customHeight="1">
      <c r="F91" s="2249"/>
      <c r="G91" s="2249"/>
      <c r="H91" s="2249"/>
      <c r="I91" s="2249"/>
      <c r="J91" s="2249"/>
      <c r="K91" s="2249"/>
      <c r="L91" s="2249"/>
      <c r="M91" s="2249"/>
      <c r="N91" s="2249"/>
      <c r="O91" s="2249"/>
      <c r="P91" s="2249"/>
      <c r="Q91" s="2249"/>
      <c r="R91" s="2249"/>
      <c r="S91" s="2249"/>
      <c r="T91" s="2249"/>
      <c r="U91" s="2249"/>
      <c r="V91" s="2249"/>
      <c r="W91" s="2249"/>
      <c r="X91" s="2249"/>
      <c r="Y91" s="2249"/>
    </row>
    <row r="92" spans="6:25" ht="16.5" customHeight="1">
      <c r="F92" s="2249"/>
      <c r="G92" s="2249"/>
      <c r="H92" s="2249"/>
      <c r="I92" s="2249"/>
      <c r="J92" s="2249"/>
      <c r="K92" s="2249"/>
      <c r="L92" s="2249"/>
      <c r="M92" s="2249"/>
      <c r="N92" s="2249"/>
      <c r="O92" s="2249"/>
      <c r="P92" s="2249"/>
      <c r="Q92" s="2249"/>
      <c r="R92" s="2249"/>
      <c r="S92" s="2249"/>
      <c r="T92" s="2249"/>
      <c r="U92" s="2249"/>
      <c r="V92" s="2249"/>
      <c r="W92" s="2249"/>
      <c r="X92" s="2249"/>
      <c r="Y92" s="2249"/>
    </row>
    <row r="93" spans="6:25" ht="16.5" customHeight="1">
      <c r="F93" s="2249"/>
      <c r="G93" s="2249"/>
      <c r="H93" s="2249"/>
      <c r="I93" s="2249"/>
      <c r="J93" s="2249"/>
      <c r="K93" s="2249"/>
      <c r="L93" s="2249"/>
      <c r="M93" s="2249"/>
      <c r="N93" s="2249"/>
      <c r="O93" s="2249"/>
      <c r="P93" s="2249"/>
      <c r="Q93" s="2249"/>
      <c r="R93" s="2249"/>
      <c r="S93" s="2249"/>
      <c r="T93" s="2249"/>
      <c r="U93" s="2249"/>
      <c r="V93" s="2249"/>
      <c r="W93" s="2249"/>
      <c r="X93" s="2249"/>
      <c r="Y93" s="2249"/>
    </row>
    <row r="94" spans="6:25" ht="16.5" customHeight="1">
      <c r="F94" s="2249"/>
      <c r="G94" s="2249"/>
      <c r="H94" s="2249"/>
      <c r="I94" s="2249"/>
      <c r="J94" s="2249"/>
      <c r="K94" s="2249"/>
      <c r="L94" s="2249"/>
      <c r="M94" s="2249"/>
      <c r="N94" s="2249"/>
      <c r="O94" s="2249"/>
      <c r="P94" s="2249"/>
      <c r="Q94" s="2249"/>
      <c r="R94" s="2249"/>
      <c r="S94" s="2249"/>
      <c r="T94" s="2249"/>
      <c r="U94" s="2249"/>
      <c r="V94" s="2249"/>
      <c r="W94" s="2249"/>
      <c r="X94" s="2249"/>
      <c r="Y94" s="2249"/>
    </row>
    <row r="95" spans="6:25" ht="16.5" customHeight="1">
      <c r="F95" s="2249"/>
      <c r="G95" s="2249"/>
      <c r="H95" s="2249"/>
      <c r="I95" s="2249"/>
      <c r="J95" s="2249"/>
      <c r="K95" s="2249"/>
      <c r="L95" s="2249"/>
      <c r="M95" s="2249"/>
      <c r="N95" s="2249"/>
      <c r="O95" s="2249"/>
      <c r="P95" s="2249"/>
      <c r="Q95" s="2249"/>
      <c r="R95" s="2249"/>
      <c r="S95" s="2249"/>
      <c r="T95" s="2249"/>
      <c r="U95" s="2249"/>
      <c r="V95" s="2249"/>
      <c r="W95" s="2249"/>
      <c r="X95" s="2249"/>
      <c r="Y95" s="2249"/>
    </row>
    <row r="96" spans="6:25" ht="16.5" customHeight="1">
      <c r="F96" s="2249"/>
      <c r="G96" s="2249"/>
      <c r="H96" s="2249"/>
      <c r="I96" s="2249"/>
      <c r="J96" s="2249"/>
      <c r="K96" s="2249"/>
      <c r="L96" s="2249"/>
      <c r="M96" s="2249"/>
      <c r="N96" s="2249"/>
      <c r="O96" s="2249"/>
      <c r="P96" s="2249"/>
      <c r="Q96" s="2249"/>
      <c r="R96" s="2249"/>
      <c r="S96" s="2249"/>
      <c r="T96" s="2249"/>
      <c r="U96" s="2249"/>
      <c r="V96" s="2249"/>
      <c r="W96" s="2249"/>
      <c r="X96" s="2249"/>
      <c r="Y96" s="2249"/>
    </row>
    <row r="97" spans="6:25" ht="16.5" customHeight="1">
      <c r="F97" s="2249"/>
      <c r="G97" s="2249"/>
      <c r="H97" s="2249"/>
      <c r="I97" s="2249"/>
      <c r="J97" s="2249"/>
      <c r="K97" s="2249"/>
      <c r="L97" s="2249"/>
      <c r="M97" s="2249"/>
      <c r="N97" s="2249"/>
      <c r="O97" s="2249"/>
      <c r="P97" s="2249"/>
      <c r="Q97" s="2249"/>
      <c r="R97" s="2249"/>
      <c r="S97" s="2249"/>
      <c r="T97" s="2249"/>
      <c r="U97" s="2249"/>
      <c r="V97" s="2249"/>
      <c r="W97" s="2249"/>
      <c r="X97" s="2249"/>
      <c r="Y97" s="2249"/>
    </row>
    <row r="98" spans="6:25" ht="16.5" customHeight="1">
      <c r="F98" s="2249"/>
      <c r="G98" s="2249"/>
      <c r="H98" s="2249"/>
      <c r="I98" s="2249"/>
      <c r="J98" s="2249"/>
      <c r="K98" s="2249"/>
      <c r="L98" s="2249"/>
      <c r="M98" s="2249"/>
      <c r="N98" s="2249"/>
      <c r="O98" s="2249"/>
      <c r="P98" s="2249"/>
      <c r="Q98" s="2249"/>
      <c r="R98" s="2249"/>
      <c r="S98" s="2249"/>
      <c r="T98" s="2249"/>
      <c r="U98" s="2249"/>
      <c r="V98" s="2249"/>
      <c r="W98" s="2249"/>
      <c r="X98" s="2249"/>
      <c r="Y98" s="2249"/>
    </row>
    <row r="99" spans="6:25" ht="16.5" customHeight="1">
      <c r="F99" s="2249"/>
      <c r="G99" s="2249"/>
      <c r="H99" s="2249"/>
      <c r="I99" s="2249"/>
      <c r="J99" s="2249"/>
      <c r="K99" s="2249"/>
      <c r="L99" s="2249"/>
      <c r="M99" s="2249"/>
      <c r="N99" s="2249"/>
      <c r="O99" s="2249"/>
      <c r="P99" s="2249"/>
      <c r="Q99" s="2249"/>
      <c r="R99" s="2249"/>
      <c r="S99" s="2249"/>
      <c r="T99" s="2249"/>
      <c r="U99" s="2249"/>
      <c r="V99" s="2249"/>
      <c r="W99" s="2249"/>
      <c r="X99" s="2249"/>
      <c r="Y99" s="2249"/>
    </row>
    <row r="100" spans="6:25" ht="16.5" customHeight="1">
      <c r="F100" s="2249"/>
      <c r="G100" s="2249"/>
      <c r="H100" s="2249"/>
      <c r="I100" s="2249"/>
      <c r="J100" s="2249"/>
      <c r="K100" s="2249"/>
      <c r="L100" s="2249"/>
      <c r="M100" s="2249"/>
      <c r="N100" s="2249"/>
      <c r="O100" s="2249"/>
      <c r="P100" s="2249"/>
      <c r="Q100" s="2249"/>
      <c r="R100" s="2249"/>
      <c r="S100" s="2249"/>
      <c r="T100" s="2249"/>
      <c r="U100" s="2249"/>
      <c r="V100" s="2249"/>
      <c r="W100" s="2249"/>
      <c r="X100" s="2249"/>
      <c r="Y100" s="2249"/>
    </row>
    <row r="101" spans="6:25" ht="16.5" customHeight="1">
      <c r="F101" s="2249"/>
      <c r="G101" s="2249"/>
      <c r="H101" s="2249"/>
      <c r="I101" s="2249"/>
      <c r="J101" s="2249"/>
      <c r="K101" s="2249"/>
      <c r="L101" s="2249"/>
      <c r="M101" s="2249"/>
      <c r="N101" s="2249"/>
      <c r="O101" s="2249"/>
      <c r="P101" s="2249"/>
      <c r="Q101" s="2249"/>
      <c r="R101" s="2249"/>
      <c r="S101" s="2249"/>
      <c r="T101" s="2249"/>
      <c r="U101" s="2249"/>
      <c r="V101" s="2249"/>
      <c r="W101" s="2249"/>
      <c r="X101" s="2249"/>
      <c r="Y101" s="2249"/>
    </row>
    <row r="102" spans="6:25" ht="16.5" customHeight="1">
      <c r="F102" s="2249"/>
      <c r="G102" s="2249"/>
      <c r="H102" s="2249"/>
      <c r="I102" s="2249"/>
      <c r="J102" s="2249"/>
      <c r="K102" s="2249"/>
      <c r="L102" s="2249"/>
      <c r="M102" s="2249"/>
      <c r="N102" s="2249"/>
      <c r="O102" s="2249"/>
      <c r="P102" s="2249"/>
      <c r="Q102" s="2249"/>
      <c r="R102" s="2249"/>
      <c r="S102" s="2249"/>
      <c r="T102" s="2249"/>
      <c r="U102" s="2249"/>
      <c r="V102" s="2249"/>
      <c r="W102" s="2249"/>
      <c r="X102" s="2249"/>
      <c r="Y102" s="2249"/>
    </row>
    <row r="103" spans="6:25" ht="16.5" customHeight="1">
      <c r="F103" s="2249"/>
      <c r="G103" s="2249"/>
      <c r="H103" s="2249"/>
      <c r="I103" s="2249"/>
      <c r="J103" s="2249"/>
      <c r="K103" s="2249"/>
      <c r="L103" s="2249"/>
      <c r="M103" s="2249"/>
      <c r="N103" s="2249"/>
      <c r="O103" s="2249"/>
      <c r="P103" s="2249"/>
      <c r="Q103" s="2249"/>
      <c r="R103" s="2249"/>
      <c r="S103" s="2249"/>
      <c r="T103" s="2249"/>
      <c r="U103" s="2249"/>
      <c r="V103" s="2249"/>
      <c r="W103" s="2249"/>
      <c r="X103" s="2249"/>
      <c r="Y103" s="2249"/>
    </row>
    <row r="104" spans="6:25" ht="16.5" customHeight="1">
      <c r="F104" s="2249"/>
      <c r="G104" s="2249"/>
      <c r="H104" s="2249"/>
      <c r="I104" s="2249"/>
      <c r="J104" s="2249"/>
      <c r="K104" s="2249"/>
      <c r="L104" s="2249"/>
      <c r="M104" s="2249"/>
      <c r="N104" s="2249"/>
      <c r="O104" s="2249"/>
      <c r="P104" s="2249"/>
      <c r="Q104" s="2249"/>
      <c r="R104" s="2249"/>
      <c r="S104" s="2249"/>
      <c r="T104" s="2249"/>
      <c r="U104" s="2249"/>
      <c r="V104" s="2249"/>
      <c r="W104" s="2249"/>
      <c r="X104" s="2249"/>
      <c r="Y104" s="2249"/>
    </row>
    <row r="105" spans="6:25" ht="16.5" customHeight="1">
      <c r="F105" s="2249"/>
      <c r="G105" s="2249"/>
      <c r="H105" s="2249"/>
      <c r="I105" s="2249"/>
      <c r="J105" s="2249"/>
      <c r="K105" s="2249"/>
      <c r="L105" s="2249"/>
      <c r="M105" s="2249"/>
      <c r="N105" s="2249"/>
      <c r="O105" s="2249"/>
      <c r="P105" s="2249"/>
      <c r="Q105" s="2249"/>
      <c r="R105" s="2249"/>
      <c r="S105" s="2249"/>
      <c r="T105" s="2249"/>
      <c r="U105" s="2249"/>
      <c r="V105" s="2249"/>
      <c r="W105" s="2249"/>
      <c r="X105" s="2249"/>
      <c r="Y105" s="2249"/>
    </row>
    <row r="106" spans="6:25" ht="16.5" customHeight="1">
      <c r="F106" s="2249"/>
      <c r="G106" s="2249"/>
      <c r="H106" s="2249"/>
      <c r="I106" s="2249"/>
      <c r="J106" s="2249"/>
      <c r="K106" s="2249"/>
      <c r="L106" s="2249"/>
      <c r="M106" s="2249"/>
      <c r="N106" s="2249"/>
      <c r="O106" s="2249"/>
      <c r="P106" s="2249"/>
      <c r="Q106" s="2249"/>
      <c r="R106" s="2249"/>
      <c r="S106" s="2249"/>
      <c r="T106" s="2249"/>
      <c r="U106" s="2249"/>
      <c r="V106" s="2249"/>
      <c r="W106" s="2249"/>
      <c r="X106" s="2249"/>
      <c r="Y106" s="2249"/>
    </row>
    <row r="107" spans="6:25" ht="16.5" customHeight="1">
      <c r="F107" s="2249"/>
      <c r="G107" s="2249"/>
      <c r="H107" s="2249"/>
      <c r="I107" s="2249"/>
      <c r="J107" s="2249"/>
      <c r="K107" s="2249"/>
      <c r="L107" s="2249"/>
      <c r="M107" s="2249"/>
      <c r="N107" s="2249"/>
      <c r="O107" s="2249"/>
      <c r="P107" s="2249"/>
      <c r="Q107" s="2249"/>
      <c r="R107" s="2249"/>
      <c r="S107" s="2249"/>
      <c r="T107" s="2249"/>
      <c r="U107" s="2249"/>
      <c r="V107" s="2249"/>
      <c r="W107" s="2249"/>
      <c r="X107" s="2249"/>
      <c r="Y107" s="2249"/>
    </row>
    <row r="108" spans="6:25" ht="16.5" customHeight="1">
      <c r="F108" s="2249"/>
      <c r="G108" s="2249"/>
      <c r="H108" s="2249"/>
      <c r="I108" s="2249"/>
      <c r="J108" s="2249"/>
      <c r="K108" s="2249"/>
      <c r="L108" s="2249"/>
      <c r="M108" s="2249"/>
      <c r="N108" s="2249"/>
      <c r="O108" s="2249"/>
      <c r="P108" s="2249"/>
      <c r="Q108" s="2249"/>
      <c r="R108" s="2249"/>
      <c r="S108" s="2249"/>
      <c r="T108" s="2249"/>
      <c r="U108" s="2249"/>
      <c r="V108" s="2249"/>
      <c r="W108" s="2249"/>
      <c r="X108" s="2249"/>
      <c r="Y108" s="2249"/>
    </row>
    <row r="109" spans="6:25" ht="16.5" customHeight="1">
      <c r="F109" s="2249"/>
      <c r="G109" s="2249"/>
      <c r="H109" s="2249"/>
      <c r="I109" s="2249"/>
      <c r="J109" s="2249"/>
      <c r="K109" s="2249"/>
      <c r="L109" s="2249"/>
      <c r="M109" s="2249"/>
      <c r="N109" s="2249"/>
      <c r="O109" s="2249"/>
      <c r="P109" s="2249"/>
      <c r="Q109" s="2249"/>
      <c r="R109" s="2249"/>
      <c r="S109" s="2249"/>
      <c r="T109" s="2249"/>
      <c r="U109" s="2249"/>
      <c r="V109" s="2249"/>
      <c r="W109" s="2249"/>
      <c r="X109" s="2249"/>
      <c r="Y109" s="2249"/>
    </row>
    <row r="110" spans="6:25" ht="16.5" customHeight="1">
      <c r="F110" s="2249"/>
      <c r="G110" s="2249"/>
      <c r="H110" s="2249"/>
      <c r="I110" s="2249"/>
      <c r="J110" s="2249"/>
      <c r="K110" s="2249"/>
      <c r="L110" s="2249"/>
      <c r="M110" s="2249"/>
      <c r="N110" s="2249"/>
      <c r="O110" s="2249"/>
      <c r="P110" s="2249"/>
      <c r="Q110" s="2249"/>
      <c r="R110" s="2249"/>
      <c r="S110" s="2249"/>
      <c r="T110" s="2249"/>
      <c r="U110" s="2249"/>
      <c r="V110" s="2249"/>
      <c r="W110" s="2249"/>
      <c r="X110" s="2249"/>
      <c r="Y110" s="2249"/>
    </row>
    <row r="111" spans="6:25" ht="16.5" customHeight="1">
      <c r="F111" s="2249"/>
      <c r="G111" s="2249"/>
      <c r="H111" s="2249"/>
      <c r="I111" s="2249"/>
      <c r="J111" s="2249"/>
      <c r="K111" s="2249"/>
      <c r="L111" s="2249"/>
      <c r="M111" s="2249"/>
      <c r="N111" s="2249"/>
      <c r="O111" s="2249"/>
      <c r="P111" s="2249"/>
      <c r="Q111" s="2249"/>
      <c r="R111" s="2249"/>
      <c r="S111" s="2249"/>
      <c r="T111" s="2249"/>
      <c r="U111" s="2249"/>
      <c r="V111" s="2249"/>
      <c r="W111" s="2249"/>
      <c r="X111" s="2249"/>
      <c r="Y111" s="2249"/>
    </row>
    <row r="112" spans="6:25" ht="16.5" customHeight="1">
      <c r="F112" s="2249"/>
      <c r="G112" s="2249"/>
      <c r="H112" s="2249"/>
      <c r="I112" s="2249"/>
      <c r="J112" s="2249"/>
      <c r="K112" s="2249"/>
      <c r="L112" s="2249"/>
      <c r="M112" s="2249"/>
      <c r="N112" s="2249"/>
      <c r="O112" s="2249"/>
      <c r="P112" s="2249"/>
      <c r="Q112" s="2249"/>
      <c r="R112" s="2249"/>
      <c r="S112" s="2249"/>
      <c r="T112" s="2249"/>
      <c r="U112" s="2249"/>
      <c r="V112" s="2249"/>
      <c r="W112" s="2249"/>
      <c r="X112" s="2249"/>
      <c r="Y112" s="2249"/>
    </row>
    <row r="113" spans="6:25" ht="16.5" customHeight="1">
      <c r="F113" s="2249"/>
      <c r="G113" s="2249"/>
      <c r="H113" s="2249"/>
      <c r="I113" s="2249"/>
      <c r="J113" s="2249"/>
      <c r="K113" s="2249"/>
      <c r="L113" s="2249"/>
      <c r="M113" s="2249"/>
      <c r="N113" s="2249"/>
      <c r="O113" s="2249"/>
      <c r="P113" s="2249"/>
      <c r="Q113" s="2249"/>
      <c r="R113" s="2249"/>
      <c r="S113" s="2249"/>
      <c r="T113" s="2249"/>
      <c r="U113" s="2249"/>
      <c r="V113" s="2249"/>
      <c r="W113" s="2249"/>
      <c r="X113" s="2249"/>
      <c r="Y113" s="2249"/>
    </row>
    <row r="114" spans="6:25" ht="16.5" customHeight="1">
      <c r="F114" s="2249"/>
      <c r="G114" s="2249"/>
      <c r="H114" s="2249"/>
      <c r="I114" s="2249"/>
      <c r="J114" s="2249"/>
      <c r="K114" s="2249"/>
      <c r="L114" s="2249"/>
      <c r="M114" s="2249"/>
      <c r="N114" s="2249"/>
      <c r="O114" s="2249"/>
      <c r="P114" s="2249"/>
      <c r="Q114" s="2249"/>
      <c r="R114" s="2249"/>
      <c r="S114" s="2249"/>
      <c r="T114" s="2249"/>
      <c r="U114" s="2249"/>
      <c r="V114" s="2249"/>
      <c r="W114" s="2249"/>
      <c r="X114" s="2249"/>
      <c r="Y114" s="2249"/>
    </row>
    <row r="115" spans="6:25" ht="16.5" customHeight="1">
      <c r="F115" s="2249"/>
      <c r="G115" s="2249"/>
      <c r="H115" s="2249"/>
      <c r="I115" s="2249"/>
      <c r="J115" s="2249"/>
      <c r="K115" s="2249"/>
      <c r="L115" s="2249"/>
      <c r="M115" s="2249"/>
      <c r="N115" s="2249"/>
      <c r="O115" s="2249"/>
      <c r="P115" s="2249"/>
      <c r="Q115" s="2249"/>
      <c r="R115" s="2249"/>
      <c r="S115" s="2249"/>
      <c r="T115" s="2249"/>
      <c r="U115" s="2249"/>
      <c r="V115" s="2249"/>
      <c r="W115" s="2249"/>
      <c r="X115" s="2249"/>
      <c r="Y115" s="2249"/>
    </row>
    <row r="116" spans="6:25" ht="16.5" customHeight="1">
      <c r="F116" s="2249"/>
      <c r="G116" s="2249"/>
      <c r="H116" s="2249"/>
      <c r="I116" s="2249"/>
      <c r="J116" s="2249"/>
      <c r="K116" s="2249"/>
      <c r="L116" s="2249"/>
      <c r="M116" s="2249"/>
      <c r="N116" s="2249"/>
      <c r="O116" s="2249"/>
      <c r="P116" s="2249"/>
      <c r="Q116" s="2249"/>
      <c r="R116" s="2249"/>
      <c r="S116" s="2249"/>
      <c r="T116" s="2249"/>
      <c r="U116" s="2249"/>
      <c r="V116" s="2249"/>
      <c r="W116" s="2249"/>
      <c r="X116" s="2249"/>
      <c r="Y116" s="2249"/>
    </row>
    <row r="117" spans="6:25" ht="16.5" customHeight="1">
      <c r="F117" s="2249"/>
      <c r="G117" s="2249"/>
      <c r="H117" s="2249"/>
      <c r="I117" s="2249"/>
      <c r="J117" s="2249"/>
      <c r="K117" s="2249"/>
      <c r="L117" s="2249"/>
      <c r="M117" s="2249"/>
      <c r="N117" s="2249"/>
      <c r="O117" s="2249"/>
      <c r="P117" s="2249"/>
      <c r="Q117" s="2249"/>
      <c r="R117" s="2249"/>
      <c r="S117" s="2249"/>
      <c r="T117" s="2249"/>
      <c r="U117" s="2249"/>
      <c r="V117" s="2249"/>
      <c r="W117" s="2249"/>
      <c r="X117" s="2249"/>
      <c r="Y117" s="2249"/>
    </row>
    <row r="118" spans="6:25" ht="16.5" customHeight="1">
      <c r="F118" s="2249"/>
      <c r="G118" s="2249"/>
      <c r="H118" s="2249"/>
      <c r="I118" s="2249"/>
      <c r="J118" s="2249"/>
      <c r="K118" s="2249"/>
      <c r="L118" s="2249"/>
      <c r="M118" s="2249"/>
      <c r="N118" s="2249"/>
      <c r="O118" s="2249"/>
      <c r="P118" s="2249"/>
      <c r="Q118" s="2249"/>
      <c r="R118" s="2249"/>
      <c r="S118" s="2249"/>
      <c r="T118" s="2249"/>
      <c r="U118" s="2249"/>
      <c r="V118" s="2249"/>
      <c r="W118" s="2249"/>
      <c r="X118" s="2249"/>
      <c r="Y118" s="2249"/>
    </row>
    <row r="119" spans="6:25" ht="16.5" customHeight="1">
      <c r="F119" s="2249"/>
      <c r="G119" s="2249"/>
      <c r="H119" s="2249"/>
      <c r="I119" s="2249"/>
      <c r="J119" s="2249"/>
      <c r="K119" s="2249"/>
      <c r="L119" s="2249"/>
      <c r="M119" s="2249"/>
      <c r="N119" s="2249"/>
      <c r="O119" s="2249"/>
      <c r="P119" s="2249"/>
      <c r="Q119" s="2249"/>
      <c r="R119" s="2249"/>
      <c r="S119" s="2249"/>
      <c r="T119" s="2249"/>
      <c r="U119" s="2249"/>
      <c r="V119" s="2249"/>
      <c r="W119" s="2249"/>
      <c r="X119" s="2249"/>
      <c r="Y119" s="2249"/>
    </row>
    <row r="120" spans="6:25" ht="16.5" customHeight="1">
      <c r="F120" s="2249"/>
      <c r="G120" s="2249"/>
      <c r="H120" s="2249"/>
      <c r="I120" s="2249"/>
      <c r="J120" s="2249"/>
      <c r="K120" s="2249"/>
      <c r="L120" s="2249"/>
      <c r="M120" s="2249"/>
      <c r="N120" s="2249"/>
      <c r="O120" s="2249"/>
      <c r="P120" s="2249"/>
      <c r="Q120" s="2249"/>
      <c r="R120" s="2249"/>
      <c r="S120" s="2249"/>
      <c r="T120" s="2249"/>
      <c r="U120" s="2249"/>
      <c r="V120" s="2249"/>
      <c r="W120" s="2249"/>
      <c r="X120" s="2249"/>
      <c r="Y120" s="2249"/>
    </row>
    <row r="121" spans="6:25" ht="16.5" customHeight="1">
      <c r="F121" s="2249"/>
      <c r="G121" s="2249"/>
      <c r="H121" s="2249"/>
      <c r="I121" s="2249"/>
      <c r="J121" s="2249"/>
      <c r="K121" s="2249"/>
      <c r="L121" s="2249"/>
      <c r="M121" s="2249"/>
      <c r="N121" s="2249"/>
      <c r="O121" s="2249"/>
      <c r="P121" s="2249"/>
      <c r="Q121" s="2249"/>
      <c r="R121" s="2249"/>
      <c r="S121" s="2249"/>
      <c r="T121" s="2249"/>
      <c r="U121" s="2249"/>
      <c r="V121" s="2249"/>
      <c r="W121" s="2249"/>
      <c r="X121" s="2249"/>
      <c r="Y121" s="2249"/>
    </row>
    <row r="122" spans="6:25" ht="16.5" customHeight="1">
      <c r="F122" s="2249"/>
      <c r="G122" s="2249"/>
      <c r="H122" s="2249"/>
      <c r="I122" s="2249"/>
      <c r="J122" s="2249"/>
      <c r="K122" s="2249"/>
      <c r="L122" s="2249"/>
      <c r="M122" s="2249"/>
      <c r="N122" s="2249"/>
      <c r="O122" s="2249"/>
      <c r="P122" s="2249"/>
      <c r="Q122" s="2249"/>
      <c r="R122" s="2249"/>
      <c r="S122" s="2249"/>
      <c r="T122" s="2249"/>
      <c r="U122" s="2249"/>
      <c r="V122" s="2249"/>
      <c r="W122" s="2249"/>
      <c r="X122" s="2249"/>
      <c r="Y122" s="2249"/>
    </row>
    <row r="123" spans="6:25" ht="16.5" customHeight="1">
      <c r="F123" s="2249"/>
      <c r="G123" s="2249"/>
      <c r="H123" s="2249"/>
      <c r="I123" s="2249"/>
      <c r="J123" s="2249"/>
      <c r="K123" s="2249"/>
      <c r="L123" s="2249"/>
      <c r="M123" s="2249"/>
      <c r="N123" s="2249"/>
      <c r="O123" s="2249"/>
      <c r="P123" s="2249"/>
      <c r="Q123" s="2249"/>
      <c r="R123" s="2249"/>
      <c r="S123" s="2249"/>
      <c r="T123" s="2249"/>
      <c r="U123" s="2249"/>
      <c r="V123" s="2249"/>
      <c r="W123" s="2249"/>
      <c r="X123" s="2249"/>
      <c r="Y123" s="2249"/>
    </row>
    <row r="124" spans="6:25" ht="16.5" customHeight="1">
      <c r="F124" s="2249"/>
      <c r="G124" s="2249"/>
      <c r="H124" s="2249"/>
      <c r="I124" s="2249"/>
      <c r="J124" s="2249"/>
      <c r="K124" s="2249"/>
      <c r="L124" s="2249"/>
      <c r="M124" s="2249"/>
      <c r="N124" s="2249"/>
      <c r="O124" s="2249"/>
      <c r="P124" s="2249"/>
      <c r="Q124" s="2249"/>
      <c r="R124" s="2249"/>
      <c r="S124" s="2249"/>
      <c r="T124" s="2249"/>
      <c r="U124" s="2249"/>
      <c r="V124" s="2249"/>
      <c r="W124" s="2249"/>
      <c r="X124" s="2249"/>
      <c r="Y124" s="2249"/>
    </row>
    <row r="125" spans="6:25" ht="16.5" customHeight="1">
      <c r="F125" s="2249"/>
      <c r="G125" s="2249"/>
      <c r="H125" s="2249"/>
      <c r="I125" s="2249"/>
      <c r="J125" s="2249"/>
      <c r="K125" s="2249"/>
      <c r="L125" s="2249"/>
      <c r="M125" s="2249"/>
      <c r="N125" s="2249"/>
      <c r="O125" s="2249"/>
      <c r="P125" s="2249"/>
      <c r="Q125" s="2249"/>
      <c r="R125" s="2249"/>
      <c r="S125" s="2249"/>
      <c r="T125" s="2249"/>
      <c r="U125" s="2249"/>
      <c r="V125" s="2249"/>
      <c r="W125" s="2249"/>
      <c r="X125" s="2249"/>
      <c r="Y125" s="2249"/>
    </row>
    <row r="126" spans="6:25" ht="16.5" customHeight="1">
      <c r="F126" s="2249"/>
      <c r="G126" s="2249"/>
      <c r="H126" s="2249"/>
      <c r="I126" s="2249"/>
      <c r="J126" s="2249"/>
      <c r="K126" s="2249"/>
      <c r="L126" s="2249"/>
      <c r="M126" s="2249"/>
      <c r="N126" s="2249"/>
      <c r="O126" s="2249"/>
      <c r="P126" s="2249"/>
      <c r="Q126" s="2249"/>
      <c r="R126" s="2249"/>
      <c r="S126" s="2249"/>
      <c r="T126" s="2249"/>
      <c r="U126" s="2249"/>
      <c r="V126" s="2249"/>
      <c r="W126" s="2249"/>
      <c r="X126" s="2249"/>
      <c r="Y126" s="2249"/>
    </row>
    <row r="127" spans="6:25" ht="16.5" customHeight="1">
      <c r="F127" s="2249"/>
      <c r="G127" s="2249"/>
      <c r="H127" s="2249"/>
      <c r="I127" s="2249"/>
      <c r="J127" s="2249"/>
      <c r="K127" s="2249"/>
      <c r="L127" s="2249"/>
      <c r="M127" s="2249"/>
      <c r="N127" s="2249"/>
      <c r="O127" s="2249"/>
      <c r="P127" s="2249"/>
      <c r="Q127" s="2249"/>
      <c r="R127" s="2249"/>
      <c r="S127" s="2249"/>
      <c r="T127" s="2249"/>
      <c r="U127" s="2249"/>
      <c r="V127" s="2249"/>
      <c r="W127" s="2249"/>
      <c r="X127" s="2249"/>
      <c r="Y127" s="2249"/>
    </row>
    <row r="128" spans="6:25" ht="16.5" customHeight="1">
      <c r="F128" s="2249"/>
      <c r="G128" s="2249"/>
      <c r="H128" s="2249"/>
      <c r="I128" s="2249"/>
      <c r="J128" s="2249"/>
      <c r="K128" s="2249"/>
      <c r="L128" s="2249"/>
      <c r="M128" s="2249"/>
      <c r="N128" s="2249"/>
      <c r="O128" s="2249"/>
      <c r="P128" s="2249"/>
      <c r="Q128" s="2249"/>
      <c r="R128" s="2249"/>
      <c r="S128" s="2249"/>
      <c r="T128" s="2249"/>
      <c r="U128" s="2249"/>
      <c r="V128" s="2249"/>
      <c r="W128" s="2249"/>
      <c r="X128" s="2249"/>
      <c r="Y128" s="2249"/>
    </row>
    <row r="129" spans="6:25" ht="16.5" customHeight="1">
      <c r="F129" s="2249"/>
      <c r="G129" s="2249"/>
      <c r="H129" s="2249"/>
      <c r="I129" s="2249"/>
      <c r="J129" s="2249"/>
      <c r="K129" s="2249"/>
      <c r="L129" s="2249"/>
      <c r="M129" s="2249"/>
      <c r="N129" s="2249"/>
      <c r="O129" s="2249"/>
      <c r="P129" s="2249"/>
      <c r="Q129" s="2249"/>
      <c r="R129" s="2249"/>
      <c r="S129" s="2249"/>
      <c r="T129" s="2249"/>
      <c r="U129" s="2249"/>
      <c r="V129" s="2249"/>
      <c r="W129" s="2249"/>
      <c r="X129" s="2249"/>
      <c r="Y129" s="2249"/>
    </row>
    <row r="130" spans="6:25" ht="16.5" customHeight="1">
      <c r="F130" s="2249"/>
      <c r="G130" s="2249"/>
      <c r="H130" s="2249"/>
      <c r="I130" s="2249"/>
      <c r="J130" s="2249"/>
      <c r="K130" s="2249"/>
      <c r="L130" s="2249"/>
      <c r="M130" s="2249"/>
      <c r="N130" s="2249"/>
      <c r="O130" s="2249"/>
      <c r="P130" s="2249"/>
      <c r="Q130" s="2249"/>
      <c r="R130" s="2249"/>
      <c r="S130" s="2249"/>
      <c r="T130" s="2249"/>
      <c r="U130" s="2249"/>
      <c r="V130" s="2249"/>
      <c r="W130" s="2249"/>
      <c r="X130" s="2249"/>
      <c r="Y130" s="2249"/>
    </row>
    <row r="131" spans="6:25" ht="16.5" customHeight="1">
      <c r="F131" s="2249"/>
      <c r="G131" s="2249"/>
      <c r="H131" s="2249"/>
      <c r="I131" s="2249"/>
      <c r="J131" s="2249"/>
      <c r="K131" s="2249"/>
      <c r="L131" s="2249"/>
      <c r="M131" s="2249"/>
      <c r="N131" s="2249"/>
      <c r="O131" s="2249"/>
      <c r="P131" s="2249"/>
      <c r="Q131" s="2249"/>
      <c r="R131" s="2249"/>
      <c r="S131" s="2249"/>
      <c r="T131" s="2249"/>
      <c r="U131" s="2249"/>
      <c r="V131" s="2249"/>
      <c r="W131" s="2249"/>
      <c r="X131" s="2249"/>
      <c r="Y131" s="2249"/>
    </row>
    <row r="132" spans="6:25" ht="16.5" customHeight="1">
      <c r="F132" s="2249"/>
      <c r="G132" s="2249"/>
      <c r="H132" s="2249"/>
      <c r="I132" s="2249"/>
      <c r="J132" s="2249"/>
      <c r="K132" s="2249"/>
      <c r="L132" s="2249"/>
      <c r="M132" s="2249"/>
      <c r="N132" s="2249"/>
      <c r="O132" s="2249"/>
      <c r="P132" s="2249"/>
      <c r="Q132" s="2249"/>
      <c r="R132" s="2249"/>
      <c r="S132" s="2249"/>
      <c r="T132" s="2249"/>
      <c r="U132" s="2249"/>
      <c r="V132" s="2249"/>
      <c r="W132" s="2249"/>
      <c r="X132" s="2249"/>
      <c r="Y132" s="2249"/>
    </row>
    <row r="133" spans="6:25" ht="16.5" customHeight="1">
      <c r="F133" s="2249"/>
      <c r="G133" s="2249"/>
      <c r="H133" s="2249"/>
      <c r="I133" s="2249"/>
      <c r="J133" s="2249"/>
      <c r="K133" s="2249"/>
      <c r="L133" s="2249"/>
      <c r="M133" s="2249"/>
      <c r="N133" s="2249"/>
      <c r="O133" s="2249"/>
      <c r="P133" s="2249"/>
      <c r="Q133" s="2249"/>
      <c r="R133" s="2249"/>
      <c r="S133" s="2249"/>
      <c r="T133" s="2249"/>
      <c r="U133" s="2249"/>
      <c r="V133" s="2249"/>
      <c r="W133" s="2249"/>
      <c r="X133" s="2249"/>
      <c r="Y133" s="2249"/>
    </row>
    <row r="134" spans="6:25" ht="16.5" customHeight="1">
      <c r="F134" s="2249"/>
      <c r="G134" s="2249"/>
      <c r="H134" s="2249"/>
      <c r="I134" s="2249"/>
      <c r="J134" s="2249"/>
      <c r="K134" s="2249"/>
      <c r="L134" s="2249"/>
      <c r="M134" s="2249"/>
      <c r="N134" s="2249"/>
      <c r="O134" s="2249"/>
      <c r="P134" s="2249"/>
      <c r="Q134" s="2249"/>
      <c r="R134" s="2249"/>
      <c r="S134" s="2249"/>
      <c r="T134" s="2249"/>
      <c r="U134" s="2249"/>
      <c r="V134" s="2249"/>
      <c r="W134" s="2249"/>
      <c r="X134" s="2249"/>
      <c r="Y134" s="2249"/>
    </row>
    <row r="135" spans="6:25" ht="16.5" customHeight="1">
      <c r="F135" s="2249"/>
      <c r="G135" s="2249"/>
      <c r="H135" s="2249"/>
      <c r="I135" s="2249"/>
      <c r="J135" s="2249"/>
      <c r="K135" s="2249"/>
      <c r="L135" s="2249"/>
      <c r="M135" s="2249"/>
      <c r="N135" s="2249"/>
      <c r="O135" s="2249"/>
      <c r="P135" s="2249"/>
      <c r="Q135" s="2249"/>
      <c r="R135" s="2249"/>
      <c r="S135" s="2249"/>
      <c r="T135" s="2249"/>
      <c r="U135" s="2249"/>
      <c r="V135" s="2249"/>
      <c r="W135" s="2249"/>
      <c r="X135" s="2249"/>
      <c r="Y135" s="2249"/>
    </row>
    <row r="136" spans="6:25" ht="16.5" customHeight="1">
      <c r="F136" s="2249"/>
      <c r="G136" s="2249"/>
      <c r="H136" s="2249"/>
      <c r="I136" s="2249"/>
      <c r="J136" s="2249"/>
      <c r="K136" s="2249"/>
      <c r="L136" s="2249"/>
      <c r="M136" s="2249"/>
      <c r="N136" s="2249"/>
      <c r="O136" s="2249"/>
      <c r="P136" s="2249"/>
      <c r="Q136" s="2249"/>
      <c r="R136" s="2249"/>
      <c r="S136" s="2249"/>
      <c r="T136" s="2249"/>
      <c r="U136" s="2249"/>
      <c r="V136" s="2249"/>
      <c r="W136" s="2249"/>
      <c r="X136" s="2249"/>
      <c r="Y136" s="2249"/>
    </row>
    <row r="137" spans="6:25" ht="16.5" customHeight="1">
      <c r="F137" s="2249"/>
      <c r="G137" s="2249"/>
      <c r="H137" s="2249"/>
      <c r="I137" s="2249"/>
      <c r="J137" s="2249"/>
      <c r="K137" s="2249"/>
      <c r="L137" s="2249"/>
      <c r="M137" s="2249"/>
      <c r="N137" s="2249"/>
      <c r="O137" s="2249"/>
      <c r="P137" s="2249"/>
      <c r="Q137" s="2249"/>
      <c r="R137" s="2249"/>
      <c r="S137" s="2249"/>
      <c r="T137" s="2249"/>
      <c r="U137" s="2249"/>
      <c r="V137" s="2249"/>
      <c r="W137" s="2249"/>
      <c r="X137" s="2249"/>
      <c r="Y137" s="2249"/>
    </row>
    <row r="138" spans="6:25" ht="16.5" customHeight="1">
      <c r="F138" s="2249"/>
      <c r="G138" s="2249"/>
      <c r="H138" s="2249"/>
      <c r="I138" s="2249"/>
      <c r="J138" s="2249"/>
      <c r="K138" s="2249"/>
      <c r="L138" s="2249"/>
      <c r="M138" s="2249"/>
      <c r="N138" s="2249"/>
      <c r="O138" s="2249"/>
      <c r="P138" s="2249"/>
      <c r="Q138" s="2249"/>
      <c r="R138" s="2249"/>
      <c r="S138" s="2249"/>
      <c r="T138" s="2249"/>
      <c r="U138" s="2249"/>
      <c r="V138" s="2249"/>
      <c r="W138" s="2249"/>
      <c r="X138" s="2249"/>
      <c r="Y138" s="2249"/>
    </row>
    <row r="139" spans="6:25" ht="16.5" customHeight="1">
      <c r="F139" s="2249"/>
      <c r="G139" s="2249"/>
      <c r="H139" s="2249"/>
      <c r="I139" s="2249"/>
      <c r="J139" s="2249"/>
      <c r="K139" s="2249"/>
      <c r="L139" s="2249"/>
      <c r="M139" s="2249"/>
      <c r="N139" s="2249"/>
      <c r="O139" s="2249"/>
      <c r="P139" s="2249"/>
      <c r="Q139" s="2249"/>
      <c r="R139" s="2249"/>
      <c r="S139" s="2249"/>
      <c r="T139" s="2249"/>
      <c r="U139" s="2249"/>
      <c r="V139" s="2249"/>
      <c r="W139" s="2249"/>
      <c r="X139" s="2249"/>
      <c r="Y139" s="2249"/>
    </row>
    <row r="140" spans="6:25" ht="16.5" customHeight="1">
      <c r="F140" s="2249"/>
      <c r="G140" s="2249"/>
      <c r="H140" s="2249"/>
      <c r="I140" s="2249"/>
      <c r="J140" s="2249"/>
      <c r="K140" s="2249"/>
      <c r="L140" s="2249"/>
      <c r="M140" s="2249"/>
      <c r="N140" s="2249"/>
      <c r="O140" s="2249"/>
      <c r="P140" s="2249"/>
      <c r="Q140" s="2249"/>
      <c r="R140" s="2249"/>
      <c r="S140" s="2249"/>
      <c r="T140" s="2249"/>
      <c r="U140" s="2249"/>
      <c r="V140" s="2249"/>
      <c r="W140" s="2249"/>
      <c r="X140" s="2249"/>
      <c r="Y140" s="2249"/>
    </row>
    <row r="141" spans="6:25" ht="16.5" customHeight="1">
      <c r="F141" s="2249"/>
      <c r="G141" s="2249"/>
      <c r="H141" s="2249"/>
      <c r="I141" s="2249"/>
      <c r="J141" s="2249"/>
      <c r="K141" s="2249"/>
      <c r="L141" s="2249"/>
      <c r="M141" s="2249"/>
      <c r="N141" s="2249"/>
      <c r="O141" s="2249"/>
      <c r="P141" s="2249"/>
      <c r="Q141" s="2249"/>
      <c r="R141" s="2249"/>
      <c r="S141" s="2249"/>
      <c r="T141" s="2249"/>
      <c r="U141" s="2249"/>
      <c r="V141" s="2249"/>
      <c r="W141" s="2249"/>
      <c r="X141" s="2249"/>
      <c r="Y141" s="2249"/>
    </row>
    <row r="142" spans="6:25" ht="16.5" customHeight="1">
      <c r="F142" s="2249"/>
      <c r="G142" s="2249"/>
      <c r="H142" s="2249"/>
      <c r="I142" s="2249"/>
      <c r="J142" s="2249"/>
      <c r="K142" s="2249"/>
      <c r="L142" s="2249"/>
      <c r="M142" s="2249"/>
      <c r="N142" s="2249"/>
      <c r="O142" s="2249"/>
      <c r="P142" s="2249"/>
      <c r="Q142" s="2249"/>
      <c r="R142" s="2249"/>
      <c r="S142" s="2249"/>
      <c r="T142" s="2249"/>
      <c r="U142" s="2249"/>
      <c r="V142" s="2249"/>
      <c r="W142" s="2249"/>
      <c r="X142" s="2249"/>
      <c r="Y142" s="2249"/>
    </row>
    <row r="143" spans="6:25" ht="16.5" customHeight="1">
      <c r="F143" s="2249"/>
      <c r="G143" s="2249"/>
      <c r="H143" s="2249"/>
      <c r="I143" s="2249"/>
      <c r="J143" s="2249"/>
      <c r="K143" s="2249"/>
      <c r="L143" s="2249"/>
      <c r="M143" s="2249"/>
      <c r="N143" s="2249"/>
      <c r="O143" s="2249"/>
      <c r="P143" s="2249"/>
      <c r="Q143" s="2249"/>
      <c r="R143" s="2249"/>
      <c r="S143" s="2249"/>
      <c r="T143" s="2249"/>
      <c r="U143" s="2249"/>
      <c r="V143" s="2249"/>
      <c r="W143" s="2249"/>
      <c r="X143" s="2249"/>
      <c r="Y143" s="2249"/>
    </row>
    <row r="144" spans="6:25" ht="16.5" customHeight="1">
      <c r="F144" s="2249"/>
      <c r="G144" s="2249"/>
      <c r="H144" s="2249"/>
      <c r="I144" s="2249"/>
      <c r="J144" s="2249"/>
      <c r="K144" s="2249"/>
      <c r="L144" s="2249"/>
      <c r="M144" s="2249"/>
      <c r="N144" s="2249"/>
      <c r="O144" s="2249"/>
      <c r="P144" s="2249"/>
      <c r="Q144" s="2249"/>
      <c r="R144" s="2249"/>
      <c r="S144" s="2249"/>
      <c r="T144" s="2249"/>
      <c r="U144" s="2249"/>
      <c r="V144" s="2249"/>
      <c r="W144" s="2249"/>
      <c r="X144" s="2249"/>
      <c r="Y144" s="2249"/>
    </row>
    <row r="145" spans="6:25" ht="16.5" customHeight="1">
      <c r="F145" s="2249"/>
      <c r="G145" s="2249"/>
      <c r="H145" s="2249"/>
      <c r="I145" s="2249"/>
      <c r="J145" s="2249"/>
      <c r="K145" s="2249"/>
      <c r="L145" s="2249"/>
      <c r="M145" s="2249"/>
      <c r="N145" s="2249"/>
      <c r="O145" s="2249"/>
      <c r="P145" s="2249"/>
      <c r="Q145" s="2249"/>
      <c r="R145" s="2249"/>
      <c r="S145" s="2249"/>
      <c r="T145" s="2249"/>
      <c r="U145" s="2249"/>
      <c r="V145" s="2249"/>
      <c r="W145" s="2249"/>
      <c r="X145" s="2249"/>
      <c r="Y145" s="2249"/>
    </row>
    <row r="146" spans="6:25" ht="16.5" customHeight="1">
      <c r="F146" s="2249"/>
      <c r="G146" s="2249"/>
      <c r="H146" s="2249"/>
      <c r="I146" s="2249"/>
      <c r="J146" s="2249"/>
      <c r="K146" s="2249"/>
      <c r="L146" s="2249"/>
      <c r="M146" s="2249"/>
      <c r="N146" s="2249"/>
      <c r="O146" s="2249"/>
      <c r="P146" s="2249"/>
      <c r="Q146" s="2249"/>
      <c r="R146" s="2249"/>
      <c r="S146" s="2249"/>
      <c r="T146" s="2249"/>
      <c r="U146" s="2249"/>
      <c r="V146" s="2249"/>
      <c r="W146" s="2249"/>
      <c r="X146" s="2249"/>
      <c r="Y146" s="2249"/>
    </row>
    <row r="147" spans="6:25" ht="16.5" customHeight="1">
      <c r="F147" s="2249"/>
      <c r="G147" s="2249"/>
      <c r="H147" s="2249"/>
      <c r="I147" s="2249"/>
      <c r="J147" s="2249"/>
      <c r="K147" s="2249"/>
      <c r="L147" s="2249"/>
      <c r="M147" s="2249"/>
      <c r="N147" s="2249"/>
      <c r="O147" s="2249"/>
      <c r="P147" s="2249"/>
      <c r="Q147" s="2249"/>
      <c r="R147" s="2249"/>
      <c r="S147" s="2249"/>
      <c r="T147" s="2249"/>
      <c r="U147" s="2249"/>
      <c r="V147" s="2249"/>
      <c r="W147" s="2249"/>
      <c r="X147" s="2249"/>
      <c r="Y147" s="2249"/>
    </row>
    <row r="148" spans="6:25" ht="16.5" customHeight="1">
      <c r="F148" s="2249"/>
      <c r="G148" s="2249"/>
      <c r="H148" s="2249"/>
      <c r="I148" s="2249"/>
      <c r="J148" s="2249"/>
      <c r="K148" s="2249"/>
      <c r="L148" s="2249"/>
      <c r="M148" s="2249"/>
      <c r="N148" s="2249"/>
      <c r="O148" s="2249"/>
      <c r="P148" s="2249"/>
      <c r="Q148" s="2249"/>
      <c r="R148" s="2249"/>
      <c r="S148" s="2249"/>
      <c r="T148" s="2249"/>
      <c r="U148" s="2249"/>
      <c r="V148" s="2249"/>
      <c r="W148" s="2249"/>
      <c r="X148" s="2249"/>
      <c r="Y148" s="2249"/>
    </row>
    <row r="149" spans="6:25" ht="16.5" customHeight="1">
      <c r="F149" s="2249"/>
      <c r="G149" s="2249"/>
      <c r="H149" s="2249"/>
      <c r="I149" s="2249"/>
      <c r="J149" s="2249"/>
      <c r="K149" s="2249"/>
      <c r="L149" s="2249"/>
      <c r="M149" s="2249"/>
      <c r="N149" s="2249"/>
      <c r="O149" s="2249"/>
      <c r="P149" s="2249"/>
      <c r="Q149" s="2249"/>
      <c r="R149" s="2249"/>
      <c r="S149" s="2249"/>
      <c r="T149" s="2249"/>
      <c r="U149" s="2249"/>
      <c r="V149" s="2249"/>
      <c r="W149" s="2249"/>
      <c r="X149" s="2249"/>
      <c r="Y149" s="2249"/>
    </row>
    <row r="150" spans="6:25" ht="16.5" customHeight="1">
      <c r="F150" s="2249"/>
      <c r="G150" s="2249"/>
      <c r="H150" s="2249"/>
      <c r="I150" s="2249"/>
      <c r="J150" s="2249"/>
      <c r="K150" s="2249"/>
      <c r="L150" s="2249"/>
      <c r="M150" s="2249"/>
      <c r="N150" s="2249"/>
      <c r="O150" s="2249"/>
      <c r="P150" s="2249"/>
      <c r="Q150" s="2249"/>
      <c r="R150" s="2249"/>
      <c r="S150" s="2249"/>
      <c r="T150" s="2249"/>
      <c r="U150" s="2249"/>
      <c r="V150" s="2249"/>
      <c r="W150" s="2249"/>
      <c r="X150" s="2249"/>
      <c r="Y150" s="2249"/>
    </row>
    <row r="151" spans="6:25" ht="16.5" customHeight="1">
      <c r="F151" s="2249"/>
      <c r="G151" s="2249"/>
      <c r="H151" s="2249"/>
      <c r="I151" s="2249"/>
      <c r="J151" s="2249"/>
      <c r="K151" s="2249"/>
      <c r="L151" s="2249"/>
      <c r="M151" s="2249"/>
      <c r="N151" s="2249"/>
      <c r="O151" s="2249"/>
      <c r="P151" s="2249"/>
      <c r="Q151" s="2249"/>
      <c r="R151" s="2249"/>
      <c r="S151" s="2249"/>
      <c r="T151" s="2249"/>
      <c r="U151" s="2249"/>
      <c r="V151" s="2249"/>
      <c r="W151" s="2249"/>
      <c r="X151" s="2249"/>
      <c r="Y151" s="2249"/>
    </row>
    <row r="152" spans="6:25" ht="16.5" customHeight="1">
      <c r="F152" s="2249"/>
      <c r="G152" s="2249"/>
      <c r="H152" s="2249"/>
      <c r="I152" s="2249"/>
      <c r="J152" s="2249"/>
      <c r="K152" s="2249"/>
      <c r="L152" s="2249"/>
      <c r="M152" s="2249"/>
      <c r="N152" s="2249"/>
      <c r="O152" s="2249"/>
      <c r="P152" s="2249"/>
      <c r="Q152" s="2249"/>
      <c r="R152" s="2249"/>
      <c r="S152" s="2249"/>
      <c r="T152" s="2249"/>
      <c r="U152" s="2249"/>
      <c r="V152" s="2249"/>
      <c r="W152" s="2249"/>
      <c r="X152" s="2249"/>
      <c r="Y152" s="2249"/>
    </row>
    <row r="153" spans="6:25" ht="16.5" customHeight="1">
      <c r="F153" s="2249"/>
      <c r="G153" s="2249"/>
      <c r="H153" s="2249"/>
      <c r="I153" s="2249"/>
      <c r="J153" s="2249"/>
      <c r="K153" s="2249"/>
      <c r="L153" s="2249"/>
      <c r="M153" s="2249"/>
      <c r="N153" s="2249"/>
      <c r="O153" s="2249"/>
      <c r="P153" s="2249"/>
      <c r="Q153" s="2249"/>
      <c r="R153" s="2249"/>
      <c r="S153" s="2249"/>
      <c r="T153" s="2249"/>
      <c r="U153" s="2249"/>
      <c r="V153" s="2249"/>
      <c r="W153" s="2249"/>
      <c r="X153" s="2249"/>
      <c r="Y153" s="2249"/>
    </row>
    <row r="154" spans="6:25" ht="16.5" customHeight="1">
      <c r="F154" s="2249"/>
      <c r="G154" s="2249"/>
      <c r="H154" s="2249"/>
      <c r="I154" s="2249"/>
      <c r="J154" s="2249"/>
      <c r="K154" s="2249"/>
      <c r="L154" s="2249"/>
      <c r="M154" s="2249"/>
      <c r="N154" s="2249"/>
      <c r="O154" s="2249"/>
      <c r="P154" s="2249"/>
      <c r="Q154" s="2249"/>
      <c r="R154" s="2249"/>
      <c r="S154" s="2249"/>
      <c r="T154" s="2249"/>
      <c r="U154" s="2249"/>
      <c r="V154" s="2249"/>
      <c r="W154" s="2249"/>
      <c r="X154" s="2249"/>
      <c r="Y154" s="2249"/>
    </row>
    <row r="155" spans="6:25" ht="16.5" customHeight="1">
      <c r="F155" s="2249"/>
      <c r="G155" s="2249"/>
      <c r="H155" s="2249"/>
      <c r="I155" s="2249"/>
      <c r="J155" s="2249"/>
      <c r="K155" s="2249"/>
      <c r="L155" s="2249"/>
      <c r="M155" s="2249"/>
      <c r="N155" s="2249"/>
      <c r="O155" s="2249"/>
      <c r="P155" s="2249"/>
      <c r="Q155" s="2249"/>
      <c r="R155" s="2249"/>
      <c r="S155" s="2249"/>
      <c r="T155" s="2249"/>
      <c r="U155" s="2249"/>
      <c r="V155" s="2249"/>
      <c r="W155" s="2249"/>
      <c r="X155" s="2249"/>
      <c r="Y155" s="2249"/>
    </row>
  </sheetData>
  <sheetProtection/>
  <printOptions/>
  <pageMargins left="0.43" right="0.1968503937007874" top="0.7874015748031497" bottom="0.7874015748031497" header="0.5118110236220472" footer="0.5118110236220472"/>
  <pageSetup fitToHeight="1" fitToWidth="1" horizontalDpi="600" verticalDpi="600" orientation="landscape" paperSize="9" scale="65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C157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6" width="30.7109375" style="9" customWidth="1"/>
    <col min="7" max="7" width="25.7109375" style="9" customWidth="1"/>
    <col min="8" max="8" width="8.00390625" style="9" customWidth="1"/>
    <col min="9" max="9" width="5.421875" style="9" hidden="1" customWidth="1"/>
    <col min="10" max="10" width="16.8515625" style="9" customWidth="1"/>
    <col min="11" max="11" width="16.421875" style="9" customWidth="1"/>
    <col min="12" max="15" width="9.7109375" style="9" customWidth="1"/>
    <col min="16" max="16" width="6.00390625" style="9" customWidth="1"/>
    <col min="17" max="17" width="3.7109375" style="9" hidden="1" customWidth="1"/>
    <col min="18" max="18" width="13.140625" style="9" hidden="1" customWidth="1"/>
    <col min="19" max="22" width="9.57421875" style="9" hidden="1" customWidth="1"/>
    <col min="23" max="24" width="12.28125" style="9" hidden="1" customWidth="1"/>
    <col min="25" max="25" width="9.7109375" style="9" customWidth="1"/>
    <col min="26" max="26" width="15.7109375" style="9" customWidth="1"/>
    <col min="27" max="27" width="4.140625" style="9" customWidth="1"/>
    <col min="28" max="16384" width="11.421875" style="9" customWidth="1"/>
  </cols>
  <sheetData>
    <row r="1" s="3" customFormat="1" ht="26.25">
      <c r="AA1" s="5"/>
    </row>
    <row r="2" spans="1:27" s="3" customFormat="1" ht="26.25">
      <c r="A2" s="88"/>
      <c r="B2" s="496" t="str">
        <f>+'TOT-0614'!B2</f>
        <v>ANEXO I al Memorándum D.T.E.E. N°         347   / 2015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27" s="8" customFormat="1" ht="13.5" thickTop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418"/>
    </row>
    <row r="8" spans="2:27" s="18" customFormat="1" ht="20.25">
      <c r="B8" s="95"/>
      <c r="C8" s="23"/>
      <c r="D8" s="23"/>
      <c r="F8" s="96" t="s">
        <v>78</v>
      </c>
      <c r="G8" s="497"/>
      <c r="H8" s="22"/>
      <c r="I8" s="21"/>
      <c r="J8" s="21"/>
      <c r="K8" s="21"/>
      <c r="L8" s="21"/>
      <c r="M8" s="21"/>
      <c r="N8" s="21"/>
      <c r="O8" s="21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498"/>
    </row>
    <row r="9" spans="2:27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60"/>
    </row>
    <row r="10" spans="2:27" s="18" customFormat="1" ht="20.25">
      <c r="B10" s="95"/>
      <c r="C10" s="23"/>
      <c r="D10" s="23"/>
      <c r="F10" s="97" t="s">
        <v>79</v>
      </c>
      <c r="H10" s="499"/>
      <c r="I10" s="500"/>
      <c r="J10" s="500"/>
      <c r="K10" s="500"/>
      <c r="L10" s="500"/>
      <c r="M10" s="500"/>
      <c r="N10" s="500"/>
      <c r="O10" s="500"/>
      <c r="P10" s="500"/>
      <c r="Q10" s="500"/>
      <c r="R10" s="23"/>
      <c r="S10" s="23"/>
      <c r="T10" s="23"/>
      <c r="U10" s="23"/>
      <c r="V10" s="23"/>
      <c r="W10" s="23"/>
      <c r="X10" s="23"/>
      <c r="Y10" s="23"/>
      <c r="Z10" s="23"/>
      <c r="AA10" s="420"/>
    </row>
    <row r="11" spans="2:27" s="8" customFormat="1" ht="16.5" customHeight="1">
      <c r="B11" s="55"/>
      <c r="C11" s="11"/>
      <c r="D11" s="11"/>
      <c r="E11" s="11"/>
      <c r="F11" s="501"/>
      <c r="H11" s="24"/>
      <c r="I11" s="100"/>
      <c r="J11" s="100"/>
      <c r="K11" s="100"/>
      <c r="L11" s="100"/>
      <c r="M11" s="100"/>
      <c r="N11" s="100"/>
      <c r="O11" s="100"/>
      <c r="P11" s="100"/>
      <c r="Q11" s="100"/>
      <c r="R11" s="11"/>
      <c r="S11" s="11"/>
      <c r="T11" s="11"/>
      <c r="U11" s="11"/>
      <c r="V11" s="11"/>
      <c r="W11" s="11"/>
      <c r="X11" s="11"/>
      <c r="Y11" s="11"/>
      <c r="Z11" s="11"/>
      <c r="AA11" s="60"/>
    </row>
    <row r="12" spans="2:27" s="18" customFormat="1" ht="20.25">
      <c r="B12" s="95"/>
      <c r="C12" s="23"/>
      <c r="D12" s="23"/>
      <c r="F12" s="97" t="s">
        <v>80</v>
      </c>
      <c r="H12" s="499"/>
      <c r="I12" s="500"/>
      <c r="J12" s="500"/>
      <c r="K12" s="500"/>
      <c r="L12" s="500"/>
      <c r="M12" s="500"/>
      <c r="N12" s="500"/>
      <c r="O12" s="500"/>
      <c r="P12" s="500"/>
      <c r="Q12" s="500"/>
      <c r="R12" s="23"/>
      <c r="S12" s="23"/>
      <c r="T12" s="23"/>
      <c r="U12" s="23"/>
      <c r="V12" s="23"/>
      <c r="W12" s="23"/>
      <c r="X12" s="23"/>
      <c r="Y12" s="23"/>
      <c r="Z12" s="23"/>
      <c r="AA12" s="420"/>
    </row>
    <row r="13" spans="2:27" s="8" customFormat="1" ht="16.5" customHeight="1">
      <c r="B13" s="55"/>
      <c r="C13" s="11"/>
      <c r="D13" s="11"/>
      <c r="E13" s="11"/>
      <c r="F13" s="501"/>
      <c r="H13" s="24"/>
      <c r="I13" s="100"/>
      <c r="J13" s="100"/>
      <c r="K13" s="100"/>
      <c r="L13" s="100"/>
      <c r="M13" s="100"/>
      <c r="N13" s="100"/>
      <c r="O13" s="100"/>
      <c r="P13" s="100"/>
      <c r="Q13" s="100"/>
      <c r="R13" s="11"/>
      <c r="S13" s="11"/>
      <c r="T13" s="11"/>
      <c r="U13" s="11"/>
      <c r="V13" s="11"/>
      <c r="W13" s="11"/>
      <c r="X13" s="11"/>
      <c r="Y13" s="11"/>
      <c r="Z13" s="11"/>
      <c r="AA13" s="60"/>
    </row>
    <row r="14" spans="2:27" s="34" customFormat="1" ht="16.5" customHeight="1">
      <c r="B14" s="35" t="str">
        <f>'TOT-0614'!B14</f>
        <v>Desde el 01 al 30 de junio de 2014</v>
      </c>
      <c r="C14" s="39"/>
      <c r="D14" s="39"/>
      <c r="E14" s="502"/>
      <c r="F14" s="503"/>
      <c r="G14" s="503"/>
      <c r="H14" s="503"/>
      <c r="I14" s="503"/>
      <c r="J14" s="503"/>
      <c r="K14" s="503"/>
      <c r="L14" s="503"/>
      <c r="M14" s="503"/>
      <c r="N14" s="503"/>
      <c r="O14" s="503"/>
      <c r="P14" s="503"/>
      <c r="Q14" s="503"/>
      <c r="R14" s="502"/>
      <c r="S14" s="502"/>
      <c r="T14" s="502"/>
      <c r="U14" s="502"/>
      <c r="V14" s="502"/>
      <c r="W14" s="502"/>
      <c r="X14" s="502"/>
      <c r="Y14" s="502"/>
      <c r="Z14" s="502"/>
      <c r="AA14" s="504"/>
    </row>
    <row r="15" spans="2:27" s="8" customFormat="1" ht="16.5" customHeight="1" thickBot="1">
      <c r="B15" s="55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R15" s="11"/>
      <c r="S15" s="11"/>
      <c r="T15" s="11"/>
      <c r="U15" s="11"/>
      <c r="V15" s="11"/>
      <c r="W15" s="11"/>
      <c r="X15" s="11"/>
      <c r="Y15" s="11"/>
      <c r="Z15" s="11"/>
      <c r="AA15" s="60"/>
    </row>
    <row r="16" spans="2:27" s="8" customFormat="1" ht="16.5" customHeight="1" thickBot="1" thickTop="1">
      <c r="B16" s="55"/>
      <c r="C16" s="11"/>
      <c r="D16" s="11"/>
      <c r="E16" s="11"/>
      <c r="F16" s="505" t="s">
        <v>58</v>
      </c>
      <c r="G16" s="274"/>
      <c r="H16" s="310">
        <v>1.077</v>
      </c>
      <c r="I16" s="432"/>
      <c r="J16" s="9"/>
      <c r="K16" s="11"/>
      <c r="L16" s="11"/>
      <c r="M16" s="11"/>
      <c r="N16" s="11"/>
      <c r="O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60"/>
    </row>
    <row r="17" spans="2:27" s="8" customFormat="1" ht="16.5" customHeight="1" thickBot="1" thickTop="1">
      <c r="B17" s="55"/>
      <c r="C17" s="11"/>
      <c r="D17" s="11"/>
      <c r="E17" s="11"/>
      <c r="F17" s="506" t="s">
        <v>59</v>
      </c>
      <c r="G17" s="507"/>
      <c r="H17" s="508">
        <v>20</v>
      </c>
      <c r="I17" s="432"/>
      <c r="J17" s="9"/>
      <c r="K17" s="107"/>
      <c r="L17" s="108"/>
      <c r="M17" s="11"/>
      <c r="N17" s="11"/>
      <c r="O17" s="11"/>
      <c r="Q17" s="11"/>
      <c r="R17" s="11"/>
      <c r="S17" s="11"/>
      <c r="T17" s="109"/>
      <c r="U17" s="109"/>
      <c r="V17" s="109"/>
      <c r="W17" s="109"/>
      <c r="X17" s="109"/>
      <c r="Y17" s="109"/>
      <c r="Z17" s="109"/>
      <c r="AA17" s="60"/>
    </row>
    <row r="18" spans="2:27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60"/>
    </row>
    <row r="19" spans="2:27" s="8" customFormat="1" ht="33.75" customHeight="1" thickBot="1" thickTop="1">
      <c r="B19" s="55"/>
      <c r="C19" s="316" t="s">
        <v>29</v>
      </c>
      <c r="D19" s="111" t="s">
        <v>30</v>
      </c>
      <c r="E19" s="111" t="s">
        <v>31</v>
      </c>
      <c r="F19" s="114" t="s">
        <v>60</v>
      </c>
      <c r="G19" s="112" t="s">
        <v>61</v>
      </c>
      <c r="H19" s="509" t="s">
        <v>81</v>
      </c>
      <c r="I19" s="321" t="s">
        <v>36</v>
      </c>
      <c r="J19" s="112" t="s">
        <v>37</v>
      </c>
      <c r="K19" s="112" t="s">
        <v>38</v>
      </c>
      <c r="L19" s="114" t="s">
        <v>39</v>
      </c>
      <c r="M19" s="114" t="s">
        <v>40</v>
      </c>
      <c r="N19" s="119" t="s">
        <v>316</v>
      </c>
      <c r="O19" s="119" t="s">
        <v>41</v>
      </c>
      <c r="P19" s="112" t="s">
        <v>43</v>
      </c>
      <c r="Q19" s="321" t="s">
        <v>35</v>
      </c>
      <c r="R19" s="510" t="s">
        <v>73</v>
      </c>
      <c r="S19" s="511" t="s">
        <v>82</v>
      </c>
      <c r="T19" s="512"/>
      <c r="U19" s="326" t="s">
        <v>83</v>
      </c>
      <c r="V19" s="327"/>
      <c r="W19" s="513" t="s">
        <v>48</v>
      </c>
      <c r="X19" s="325" t="s">
        <v>45</v>
      </c>
      <c r="Y19" s="130" t="s">
        <v>50</v>
      </c>
      <c r="Z19" s="514" t="s">
        <v>51</v>
      </c>
      <c r="AA19" s="60"/>
    </row>
    <row r="20" spans="2:27" s="8" customFormat="1" ht="16.5" customHeight="1" thickTop="1">
      <c r="B20" s="55"/>
      <c r="C20" s="330"/>
      <c r="D20" s="330"/>
      <c r="E20" s="330"/>
      <c r="F20" s="515"/>
      <c r="G20" s="515"/>
      <c r="H20" s="515"/>
      <c r="I20" s="414"/>
      <c r="J20" s="516"/>
      <c r="K20" s="516"/>
      <c r="L20" s="517"/>
      <c r="M20" s="517"/>
      <c r="N20" s="515"/>
      <c r="O20" s="151"/>
      <c r="P20" s="517"/>
      <c r="Q20" s="518"/>
      <c r="R20" s="519"/>
      <c r="S20" s="520"/>
      <c r="T20" s="521"/>
      <c r="U20" s="339"/>
      <c r="V20" s="340"/>
      <c r="W20" s="522"/>
      <c r="X20" s="522"/>
      <c r="Y20" s="523"/>
      <c r="Z20" s="524"/>
      <c r="AA20" s="60"/>
    </row>
    <row r="21" spans="2:27" s="8" customFormat="1" ht="16.5" customHeight="1">
      <c r="B21" s="55"/>
      <c r="C21" s="150"/>
      <c r="D21" s="150"/>
      <c r="E21" s="150"/>
      <c r="F21" s="525"/>
      <c r="G21" s="526"/>
      <c r="H21" s="527"/>
      <c r="I21" s="528"/>
      <c r="J21" s="529"/>
      <c r="K21" s="530"/>
      <c r="L21" s="531"/>
      <c r="M21" s="532"/>
      <c r="N21" s="533"/>
      <c r="O21" s="157"/>
      <c r="P21" s="415"/>
      <c r="Q21" s="534"/>
      <c r="R21" s="535"/>
      <c r="S21" s="536"/>
      <c r="T21" s="537"/>
      <c r="U21" s="352"/>
      <c r="V21" s="353"/>
      <c r="W21" s="538"/>
      <c r="X21" s="538"/>
      <c r="Y21" s="415"/>
      <c r="Z21" s="539"/>
      <c r="AA21" s="60"/>
    </row>
    <row r="22" spans="2:27" s="8" customFormat="1" ht="16.5" customHeight="1">
      <c r="B22" s="55"/>
      <c r="C22" s="150">
        <v>45</v>
      </c>
      <c r="D22" s="150">
        <v>273949</v>
      </c>
      <c r="E22" s="169">
        <v>647</v>
      </c>
      <c r="F22" s="540" t="s">
        <v>374</v>
      </c>
      <c r="G22" s="463" t="s">
        <v>375</v>
      </c>
      <c r="H22" s="541">
        <v>25</v>
      </c>
      <c r="I22" s="361">
        <f aca="true" t="shared" si="0" ref="I22:I41">H22*$H$16</f>
        <v>26.924999999999997</v>
      </c>
      <c r="J22" s="466">
        <v>41791</v>
      </c>
      <c r="K22" s="204">
        <v>41820.99998842592</v>
      </c>
      <c r="L22" s="468">
        <f aca="true" t="shared" si="1" ref="L22:L41">IF(F22="","",(K22-J22)*24)</f>
        <v>719.9997222221573</v>
      </c>
      <c r="M22" s="469">
        <f aca="true" t="shared" si="2" ref="M22:M41">IF(F22="","",ROUND((K22-J22)*24*60,0))</f>
        <v>43200</v>
      </c>
      <c r="N22" s="178" t="s">
        <v>332</v>
      </c>
      <c r="O22" s="593" t="s">
        <v>376</v>
      </c>
      <c r="P22" s="180" t="str">
        <f aca="true" t="shared" si="3" ref="P22:P41">IF(F22="","",IF(OR(N22="P",N22="RP"),"--","NO"))</f>
        <v>--</v>
      </c>
      <c r="Q22" s="542">
        <f aca="true" t="shared" si="4" ref="Q22:Q41">IF(OR(N22="P",N22="RP"),$H$17/10,$H$17)</f>
        <v>2</v>
      </c>
      <c r="R22" s="543">
        <f aca="true" t="shared" si="5" ref="R22:R41">IF(N22="P",I22*Q22*ROUND(M22/60,2),"--")</f>
        <v>38771.99999999999</v>
      </c>
      <c r="S22" s="536" t="str">
        <f aca="true" t="shared" si="6" ref="S22:S41">IF(AND(N22="F",P22="NO"),I22*Q22,"--")</f>
        <v>--</v>
      </c>
      <c r="T22" s="537" t="str">
        <f aca="true" t="shared" si="7" ref="T22:T41">IF(N22="F",I22*Q22*ROUND(M22/60,2),"--")</f>
        <v>--</v>
      </c>
      <c r="U22" s="372" t="str">
        <f aca="true" t="shared" si="8" ref="U22:U41">IF(AND(N22="R",P22="NO"),I22*Q22*O22/100,"--")</f>
        <v>--</v>
      </c>
      <c r="V22" s="373" t="str">
        <f aca="true" t="shared" si="9" ref="V22:V41">IF(N22="R",I22*Q22*O22/100*ROUND(M22/60,2),"--")</f>
        <v>--</v>
      </c>
      <c r="W22" s="538" t="str">
        <f aca="true" t="shared" si="10" ref="W22:W41">IF(N22="RF",I22*Q22*ROUND(M22/60,2),"--")</f>
        <v>--</v>
      </c>
      <c r="X22" s="416" t="str">
        <f aca="true" t="shared" si="11" ref="X22:X41">IF(N22="RP",I22*Q22*O22/100*ROUND(M22/60,2),"--")</f>
        <v>--</v>
      </c>
      <c r="Y22" s="180" t="s">
        <v>84</v>
      </c>
      <c r="Z22" s="472">
        <f aca="true" t="shared" si="12" ref="Z22:Z41">IF(F22="","",SUM(R22:X22)*IF(Y22="SI",1,2)*IF(AND(O22&lt;&gt;"--",N22="RF"),O22/100,1))</f>
        <v>38771.99999999999</v>
      </c>
      <c r="AA22" s="60"/>
    </row>
    <row r="23" spans="2:27" s="8" customFormat="1" ht="16.5" customHeight="1">
      <c r="B23" s="55"/>
      <c r="C23" s="150">
        <v>46</v>
      </c>
      <c r="D23" s="150">
        <v>275445</v>
      </c>
      <c r="E23" s="150">
        <v>589</v>
      </c>
      <c r="F23" s="540" t="s">
        <v>377</v>
      </c>
      <c r="G23" s="463" t="s">
        <v>378</v>
      </c>
      <c r="H23" s="541">
        <v>245</v>
      </c>
      <c r="I23" s="361">
        <f t="shared" si="0"/>
        <v>263.865</v>
      </c>
      <c r="J23" s="466">
        <v>41791</v>
      </c>
      <c r="K23" s="204">
        <v>41797.67916666667</v>
      </c>
      <c r="L23" s="468">
        <f t="shared" si="1"/>
        <v>160.30000000004657</v>
      </c>
      <c r="M23" s="469">
        <f t="shared" si="2"/>
        <v>9618</v>
      </c>
      <c r="N23" s="178" t="s">
        <v>332</v>
      </c>
      <c r="O23" s="593" t="s">
        <v>376</v>
      </c>
      <c r="P23" s="180" t="str">
        <f t="shared" si="3"/>
        <v>--</v>
      </c>
      <c r="Q23" s="542">
        <f t="shared" si="4"/>
        <v>2</v>
      </c>
      <c r="R23" s="543">
        <f t="shared" si="5"/>
        <v>84595.119</v>
      </c>
      <c r="S23" s="536" t="str">
        <f t="shared" si="6"/>
        <v>--</v>
      </c>
      <c r="T23" s="537" t="str">
        <f t="shared" si="7"/>
        <v>--</v>
      </c>
      <c r="U23" s="372" t="str">
        <f t="shared" si="8"/>
        <v>--</v>
      </c>
      <c r="V23" s="373" t="str">
        <f t="shared" si="9"/>
        <v>--</v>
      </c>
      <c r="W23" s="538" t="str">
        <f t="shared" si="10"/>
        <v>--</v>
      </c>
      <c r="X23" s="416" t="str">
        <f t="shared" si="11"/>
        <v>--</v>
      </c>
      <c r="Y23" s="180" t="s">
        <v>84</v>
      </c>
      <c r="Z23" s="472">
        <f t="shared" si="12"/>
        <v>84595.119</v>
      </c>
      <c r="AA23" s="60"/>
    </row>
    <row r="24" spans="2:27" s="8" customFormat="1" ht="16.5" customHeight="1">
      <c r="B24" s="55"/>
      <c r="C24" s="150">
        <v>47</v>
      </c>
      <c r="D24" s="150">
        <v>275623</v>
      </c>
      <c r="E24" s="169">
        <v>669</v>
      </c>
      <c r="F24" s="540" t="s">
        <v>379</v>
      </c>
      <c r="G24" s="463" t="s">
        <v>465</v>
      </c>
      <c r="H24" s="541">
        <v>70</v>
      </c>
      <c r="I24" s="361">
        <f t="shared" si="0"/>
        <v>75.39</v>
      </c>
      <c r="J24" s="466">
        <v>41793.29722222222</v>
      </c>
      <c r="K24" s="204">
        <v>41796.69583333333</v>
      </c>
      <c r="L24" s="468">
        <f t="shared" si="1"/>
        <v>81.56666666659294</v>
      </c>
      <c r="M24" s="469">
        <f t="shared" si="2"/>
        <v>4894</v>
      </c>
      <c r="N24" s="178" t="s">
        <v>332</v>
      </c>
      <c r="O24" s="593" t="s">
        <v>376</v>
      </c>
      <c r="P24" s="180" t="str">
        <f t="shared" si="3"/>
        <v>--</v>
      </c>
      <c r="Q24" s="542">
        <f t="shared" si="4"/>
        <v>2</v>
      </c>
      <c r="R24" s="543">
        <f t="shared" si="5"/>
        <v>12299.1246</v>
      </c>
      <c r="S24" s="536" t="str">
        <f t="shared" si="6"/>
        <v>--</v>
      </c>
      <c r="T24" s="537" t="str">
        <f t="shared" si="7"/>
        <v>--</v>
      </c>
      <c r="U24" s="372" t="str">
        <f t="shared" si="8"/>
        <v>--</v>
      </c>
      <c r="V24" s="373" t="str">
        <f t="shared" si="9"/>
        <v>--</v>
      </c>
      <c r="W24" s="538" t="str">
        <f t="shared" si="10"/>
        <v>--</v>
      </c>
      <c r="X24" s="416" t="str">
        <f t="shared" si="11"/>
        <v>--</v>
      </c>
      <c r="Y24" s="180" t="s">
        <v>84</v>
      </c>
      <c r="Z24" s="472">
        <f t="shared" si="12"/>
        <v>12299.1246</v>
      </c>
      <c r="AA24" s="60"/>
    </row>
    <row r="25" spans="2:27" s="8" customFormat="1" ht="16.5" customHeight="1">
      <c r="B25" s="55"/>
      <c r="C25" s="150">
        <v>48</v>
      </c>
      <c r="D25" s="150">
        <v>275863</v>
      </c>
      <c r="E25" s="150">
        <v>590</v>
      </c>
      <c r="F25" s="540" t="s">
        <v>377</v>
      </c>
      <c r="G25" s="463" t="s">
        <v>380</v>
      </c>
      <c r="H25" s="541">
        <v>245</v>
      </c>
      <c r="I25" s="361">
        <f t="shared" si="0"/>
        <v>263.865</v>
      </c>
      <c r="J25" s="466">
        <v>41799.24722222222</v>
      </c>
      <c r="K25" s="204">
        <v>41799.66527777778</v>
      </c>
      <c r="L25" s="468">
        <f t="shared" si="1"/>
        <v>10.03333333338378</v>
      </c>
      <c r="M25" s="469">
        <f t="shared" si="2"/>
        <v>602</v>
      </c>
      <c r="N25" s="178" t="s">
        <v>332</v>
      </c>
      <c r="O25" s="593" t="s">
        <v>376</v>
      </c>
      <c r="P25" s="180" t="str">
        <f t="shared" si="3"/>
        <v>--</v>
      </c>
      <c r="Q25" s="542">
        <f t="shared" si="4"/>
        <v>2</v>
      </c>
      <c r="R25" s="543">
        <f t="shared" si="5"/>
        <v>5293.131899999999</v>
      </c>
      <c r="S25" s="536" t="str">
        <f t="shared" si="6"/>
        <v>--</v>
      </c>
      <c r="T25" s="537" t="str">
        <f t="shared" si="7"/>
        <v>--</v>
      </c>
      <c r="U25" s="372" t="str">
        <f t="shared" si="8"/>
        <v>--</v>
      </c>
      <c r="V25" s="373" t="str">
        <f t="shared" si="9"/>
        <v>--</v>
      </c>
      <c r="W25" s="538" t="str">
        <f t="shared" si="10"/>
        <v>--</v>
      </c>
      <c r="X25" s="416" t="str">
        <f t="shared" si="11"/>
        <v>--</v>
      </c>
      <c r="Y25" s="180" t="s">
        <v>84</v>
      </c>
      <c r="Z25" s="472">
        <f t="shared" si="12"/>
        <v>5293.131899999999</v>
      </c>
      <c r="AA25" s="544"/>
    </row>
    <row r="26" spans="2:27" s="8" customFormat="1" ht="16.5" customHeight="1">
      <c r="B26" s="55"/>
      <c r="C26" s="150">
        <v>49</v>
      </c>
      <c r="D26" s="150">
        <v>275864</v>
      </c>
      <c r="E26" s="169">
        <v>590</v>
      </c>
      <c r="F26" s="540" t="s">
        <v>377</v>
      </c>
      <c r="G26" s="463" t="s">
        <v>380</v>
      </c>
      <c r="H26" s="541">
        <v>245</v>
      </c>
      <c r="I26" s="361">
        <f t="shared" si="0"/>
        <v>263.865</v>
      </c>
      <c r="J26" s="466">
        <v>41800.24375</v>
      </c>
      <c r="K26" s="204">
        <v>41800.788194444445</v>
      </c>
      <c r="L26" s="468">
        <f t="shared" si="1"/>
        <v>13.066666666651145</v>
      </c>
      <c r="M26" s="469">
        <f t="shared" si="2"/>
        <v>784</v>
      </c>
      <c r="N26" s="178" t="s">
        <v>332</v>
      </c>
      <c r="O26" s="593" t="s">
        <v>376</v>
      </c>
      <c r="P26" s="180" t="str">
        <f t="shared" si="3"/>
        <v>--</v>
      </c>
      <c r="Q26" s="542">
        <f t="shared" si="4"/>
        <v>2</v>
      </c>
      <c r="R26" s="543">
        <f t="shared" si="5"/>
        <v>6897.431100000001</v>
      </c>
      <c r="S26" s="536" t="str">
        <f t="shared" si="6"/>
        <v>--</v>
      </c>
      <c r="T26" s="537" t="str">
        <f t="shared" si="7"/>
        <v>--</v>
      </c>
      <c r="U26" s="372" t="str">
        <f t="shared" si="8"/>
        <v>--</v>
      </c>
      <c r="V26" s="373" t="str">
        <f t="shared" si="9"/>
        <v>--</v>
      </c>
      <c r="W26" s="538" t="str">
        <f t="shared" si="10"/>
        <v>--</v>
      </c>
      <c r="X26" s="416" t="str">
        <f t="shared" si="11"/>
        <v>--</v>
      </c>
      <c r="Y26" s="180" t="s">
        <v>84</v>
      </c>
      <c r="Z26" s="472">
        <f t="shared" si="12"/>
        <v>6897.431100000001</v>
      </c>
      <c r="AA26" s="544"/>
    </row>
    <row r="27" spans="2:27" s="8" customFormat="1" ht="16.5" customHeight="1">
      <c r="B27" s="55"/>
      <c r="C27" s="150">
        <v>50</v>
      </c>
      <c r="D27" s="150">
        <v>275866</v>
      </c>
      <c r="E27" s="150">
        <v>591</v>
      </c>
      <c r="F27" s="540" t="s">
        <v>377</v>
      </c>
      <c r="G27" s="463" t="s">
        <v>381</v>
      </c>
      <c r="H27" s="541">
        <v>245</v>
      </c>
      <c r="I27" s="361">
        <f t="shared" si="0"/>
        <v>263.865</v>
      </c>
      <c r="J27" s="466">
        <v>41801.24444444444</v>
      </c>
      <c r="K27" s="204">
        <v>41801.71875</v>
      </c>
      <c r="L27" s="468">
        <f t="shared" si="1"/>
        <v>11.383333333418705</v>
      </c>
      <c r="M27" s="469">
        <f t="shared" si="2"/>
        <v>683</v>
      </c>
      <c r="N27" s="178" t="s">
        <v>332</v>
      </c>
      <c r="O27" s="593" t="s">
        <v>376</v>
      </c>
      <c r="P27" s="180" t="str">
        <f t="shared" si="3"/>
        <v>--</v>
      </c>
      <c r="Q27" s="542">
        <f t="shared" si="4"/>
        <v>2</v>
      </c>
      <c r="R27" s="543">
        <f t="shared" si="5"/>
        <v>6005.567400000001</v>
      </c>
      <c r="S27" s="536" t="str">
        <f t="shared" si="6"/>
        <v>--</v>
      </c>
      <c r="T27" s="537" t="str">
        <f t="shared" si="7"/>
        <v>--</v>
      </c>
      <c r="U27" s="372" t="str">
        <f t="shared" si="8"/>
        <v>--</v>
      </c>
      <c r="V27" s="373" t="str">
        <f t="shared" si="9"/>
        <v>--</v>
      </c>
      <c r="W27" s="538" t="str">
        <f t="shared" si="10"/>
        <v>--</v>
      </c>
      <c r="X27" s="416" t="str">
        <f t="shared" si="11"/>
        <v>--</v>
      </c>
      <c r="Y27" s="180" t="s">
        <v>84</v>
      </c>
      <c r="Z27" s="472">
        <f t="shared" si="12"/>
        <v>6005.567400000001</v>
      </c>
      <c r="AA27" s="544"/>
    </row>
    <row r="28" spans="2:27" s="8" customFormat="1" ht="16.5" customHeight="1">
      <c r="B28" s="55"/>
      <c r="C28" s="150">
        <v>51</v>
      </c>
      <c r="D28" s="150">
        <v>275869</v>
      </c>
      <c r="E28" s="169">
        <v>591</v>
      </c>
      <c r="F28" s="540" t="s">
        <v>377</v>
      </c>
      <c r="G28" s="463" t="s">
        <v>381</v>
      </c>
      <c r="H28" s="541">
        <v>245</v>
      </c>
      <c r="I28" s="361">
        <f t="shared" si="0"/>
        <v>263.865</v>
      </c>
      <c r="J28" s="466">
        <v>41802.34305555555</v>
      </c>
      <c r="K28" s="204">
        <v>41802.69930555556</v>
      </c>
      <c r="L28" s="468">
        <f t="shared" si="1"/>
        <v>8.550000000104774</v>
      </c>
      <c r="M28" s="469">
        <f t="shared" si="2"/>
        <v>513</v>
      </c>
      <c r="N28" s="178" t="s">
        <v>332</v>
      </c>
      <c r="O28" s="593" t="s">
        <v>376</v>
      </c>
      <c r="P28" s="180" t="str">
        <f t="shared" si="3"/>
        <v>--</v>
      </c>
      <c r="Q28" s="542">
        <f t="shared" si="4"/>
        <v>2</v>
      </c>
      <c r="R28" s="543">
        <f t="shared" si="5"/>
        <v>4512.0915</v>
      </c>
      <c r="S28" s="536" t="str">
        <f t="shared" si="6"/>
        <v>--</v>
      </c>
      <c r="T28" s="537" t="str">
        <f t="shared" si="7"/>
        <v>--</v>
      </c>
      <c r="U28" s="372" t="str">
        <f t="shared" si="8"/>
        <v>--</v>
      </c>
      <c r="V28" s="373" t="str">
        <f t="shared" si="9"/>
        <v>--</v>
      </c>
      <c r="W28" s="538" t="str">
        <f t="shared" si="10"/>
        <v>--</v>
      </c>
      <c r="X28" s="416" t="str">
        <f t="shared" si="11"/>
        <v>--</v>
      </c>
      <c r="Y28" s="180" t="s">
        <v>84</v>
      </c>
      <c r="Z28" s="472">
        <f t="shared" si="12"/>
        <v>4512.0915</v>
      </c>
      <c r="AA28" s="544"/>
    </row>
    <row r="29" spans="2:27" s="8" customFormat="1" ht="16.5" customHeight="1">
      <c r="B29" s="55"/>
      <c r="C29" s="150">
        <v>52</v>
      </c>
      <c r="D29" s="150">
        <v>275871</v>
      </c>
      <c r="E29" s="150">
        <v>592</v>
      </c>
      <c r="F29" s="540" t="s">
        <v>377</v>
      </c>
      <c r="G29" s="463" t="s">
        <v>382</v>
      </c>
      <c r="H29" s="541">
        <v>245</v>
      </c>
      <c r="I29" s="361">
        <f t="shared" si="0"/>
        <v>263.865</v>
      </c>
      <c r="J29" s="466">
        <v>41803.245833333334</v>
      </c>
      <c r="K29" s="204">
        <v>41803.683333333334</v>
      </c>
      <c r="L29" s="468">
        <f t="shared" si="1"/>
        <v>10.5</v>
      </c>
      <c r="M29" s="469">
        <f t="shared" si="2"/>
        <v>630</v>
      </c>
      <c r="N29" s="178" t="s">
        <v>332</v>
      </c>
      <c r="O29" s="593" t="s">
        <v>376</v>
      </c>
      <c r="P29" s="180" t="str">
        <f t="shared" si="3"/>
        <v>--</v>
      </c>
      <c r="Q29" s="542">
        <f t="shared" si="4"/>
        <v>2</v>
      </c>
      <c r="R29" s="543">
        <f t="shared" si="5"/>
        <v>5541.165</v>
      </c>
      <c r="S29" s="536" t="str">
        <f t="shared" si="6"/>
        <v>--</v>
      </c>
      <c r="T29" s="537" t="str">
        <f t="shared" si="7"/>
        <v>--</v>
      </c>
      <c r="U29" s="372" t="str">
        <f t="shared" si="8"/>
        <v>--</v>
      </c>
      <c r="V29" s="373" t="str">
        <f t="shared" si="9"/>
        <v>--</v>
      </c>
      <c r="W29" s="538" t="str">
        <f t="shared" si="10"/>
        <v>--</v>
      </c>
      <c r="X29" s="416" t="str">
        <f t="shared" si="11"/>
        <v>--</v>
      </c>
      <c r="Y29" s="180" t="s">
        <v>84</v>
      </c>
      <c r="Z29" s="472">
        <f t="shared" si="12"/>
        <v>5541.165</v>
      </c>
      <c r="AA29" s="544"/>
    </row>
    <row r="30" spans="2:27" s="8" customFormat="1" ht="16.5" customHeight="1">
      <c r="B30" s="55"/>
      <c r="C30" s="150">
        <v>53</v>
      </c>
      <c r="D30" s="150">
        <v>275874</v>
      </c>
      <c r="E30" s="169">
        <v>678</v>
      </c>
      <c r="F30" s="540" t="s">
        <v>467</v>
      </c>
      <c r="G30" s="463" t="s">
        <v>466</v>
      </c>
      <c r="H30" s="541" t="s">
        <v>334</v>
      </c>
      <c r="I30" s="361">
        <f t="shared" si="0"/>
        <v>0</v>
      </c>
      <c r="J30" s="466">
        <v>41804.54305555556</v>
      </c>
      <c r="K30" s="204">
        <v>41804.59861111111</v>
      </c>
      <c r="L30" s="468">
        <f t="shared" si="1"/>
        <v>1.3333333333139308</v>
      </c>
      <c r="M30" s="469">
        <f t="shared" si="2"/>
        <v>80</v>
      </c>
      <c r="N30" s="178" t="s">
        <v>332</v>
      </c>
      <c r="O30" s="593" t="s">
        <v>376</v>
      </c>
      <c r="P30" s="180" t="str">
        <f t="shared" si="3"/>
        <v>--</v>
      </c>
      <c r="Q30" s="542">
        <f t="shared" si="4"/>
        <v>2</v>
      </c>
      <c r="R30" s="543">
        <f t="shared" si="5"/>
        <v>0</v>
      </c>
      <c r="S30" s="536" t="str">
        <f t="shared" si="6"/>
        <v>--</v>
      </c>
      <c r="T30" s="537" t="str">
        <f t="shared" si="7"/>
        <v>--</v>
      </c>
      <c r="U30" s="372" t="str">
        <f t="shared" si="8"/>
        <v>--</v>
      </c>
      <c r="V30" s="373" t="str">
        <f t="shared" si="9"/>
        <v>--</v>
      </c>
      <c r="W30" s="538" t="str">
        <f t="shared" si="10"/>
        <v>--</v>
      </c>
      <c r="X30" s="416" t="str">
        <f t="shared" si="11"/>
        <v>--</v>
      </c>
      <c r="Y30" s="180" t="s">
        <v>84</v>
      </c>
      <c r="Z30" s="472">
        <f t="shared" si="12"/>
        <v>0</v>
      </c>
      <c r="AA30" s="544"/>
    </row>
    <row r="31" spans="2:27" s="8" customFormat="1" ht="16.5" customHeight="1">
      <c r="B31" s="55"/>
      <c r="C31" s="150">
        <v>54</v>
      </c>
      <c r="D31" s="150">
        <v>276435</v>
      </c>
      <c r="E31" s="150">
        <v>589</v>
      </c>
      <c r="F31" s="540" t="s">
        <v>377</v>
      </c>
      <c r="G31" s="463" t="s">
        <v>378</v>
      </c>
      <c r="H31" s="541">
        <v>245</v>
      </c>
      <c r="I31" s="361">
        <f t="shared" si="0"/>
        <v>263.865</v>
      </c>
      <c r="J31" s="466">
        <v>41820.38680555556</v>
      </c>
      <c r="K31" s="204">
        <v>41820.70277777778</v>
      </c>
      <c r="L31" s="468">
        <f t="shared" si="1"/>
        <v>7.583333333255723</v>
      </c>
      <c r="M31" s="469">
        <f t="shared" si="2"/>
        <v>455</v>
      </c>
      <c r="N31" s="178" t="s">
        <v>329</v>
      </c>
      <c r="O31" s="593" t="s">
        <v>376</v>
      </c>
      <c r="P31" s="180" t="str">
        <f t="shared" si="3"/>
        <v>NO</v>
      </c>
      <c r="Q31" s="542">
        <f t="shared" si="4"/>
        <v>20</v>
      </c>
      <c r="R31" s="543" t="str">
        <f t="shared" si="5"/>
        <v>--</v>
      </c>
      <c r="S31" s="536">
        <f t="shared" si="6"/>
        <v>5277.3</v>
      </c>
      <c r="T31" s="537">
        <f t="shared" si="7"/>
        <v>40001.934</v>
      </c>
      <c r="U31" s="372" t="str">
        <f t="shared" si="8"/>
        <v>--</v>
      </c>
      <c r="V31" s="373" t="str">
        <f t="shared" si="9"/>
        <v>--</v>
      </c>
      <c r="W31" s="538" t="str">
        <f t="shared" si="10"/>
        <v>--</v>
      </c>
      <c r="X31" s="416" t="str">
        <f t="shared" si="11"/>
        <v>--</v>
      </c>
      <c r="Y31" s="180" t="s">
        <v>84</v>
      </c>
      <c r="Z31" s="472">
        <f t="shared" si="12"/>
        <v>45279.234000000004</v>
      </c>
      <c r="AA31" s="60"/>
    </row>
    <row r="32" spans="2:27" s="8" customFormat="1" ht="16.5" customHeight="1">
      <c r="B32" s="55"/>
      <c r="C32" s="150">
        <v>55</v>
      </c>
      <c r="D32" s="150">
        <v>276436</v>
      </c>
      <c r="E32" s="169">
        <v>590</v>
      </c>
      <c r="F32" s="540" t="s">
        <v>377</v>
      </c>
      <c r="G32" s="463" t="s">
        <v>380</v>
      </c>
      <c r="H32" s="541">
        <v>245</v>
      </c>
      <c r="I32" s="361">
        <f t="shared" si="0"/>
        <v>263.865</v>
      </c>
      <c r="J32" s="466">
        <v>41820.38680555556</v>
      </c>
      <c r="K32" s="204">
        <v>41820.694444444445</v>
      </c>
      <c r="L32" s="468">
        <f t="shared" si="1"/>
        <v>7.383333333302289</v>
      </c>
      <c r="M32" s="469">
        <f t="shared" si="2"/>
        <v>443</v>
      </c>
      <c r="N32" s="178" t="s">
        <v>329</v>
      </c>
      <c r="O32" s="593" t="s">
        <v>376</v>
      </c>
      <c r="P32" s="180" t="str">
        <f t="shared" si="3"/>
        <v>NO</v>
      </c>
      <c r="Q32" s="542">
        <f t="shared" si="4"/>
        <v>20</v>
      </c>
      <c r="R32" s="543" t="str">
        <f t="shared" si="5"/>
        <v>--</v>
      </c>
      <c r="S32" s="536">
        <f t="shared" si="6"/>
        <v>5277.3</v>
      </c>
      <c r="T32" s="537">
        <f t="shared" si="7"/>
        <v>38946.474</v>
      </c>
      <c r="U32" s="372" t="str">
        <f t="shared" si="8"/>
        <v>--</v>
      </c>
      <c r="V32" s="373" t="str">
        <f t="shared" si="9"/>
        <v>--</v>
      </c>
      <c r="W32" s="538" t="str">
        <f t="shared" si="10"/>
        <v>--</v>
      </c>
      <c r="X32" s="416" t="str">
        <f t="shared" si="11"/>
        <v>--</v>
      </c>
      <c r="Y32" s="180" t="s">
        <v>84</v>
      </c>
      <c r="Z32" s="472">
        <f t="shared" si="12"/>
        <v>44223.774000000005</v>
      </c>
      <c r="AA32" s="60"/>
    </row>
    <row r="33" spans="2:27" s="8" customFormat="1" ht="16.5" customHeight="1">
      <c r="B33" s="55"/>
      <c r="C33" s="150">
        <v>56</v>
      </c>
      <c r="D33" s="150">
        <v>276437</v>
      </c>
      <c r="E33" s="150">
        <v>590</v>
      </c>
      <c r="F33" s="540" t="s">
        <v>377</v>
      </c>
      <c r="G33" s="463" t="s">
        <v>380</v>
      </c>
      <c r="H33" s="541">
        <v>245</v>
      </c>
      <c r="I33" s="361">
        <f t="shared" si="0"/>
        <v>263.865</v>
      </c>
      <c r="J33" s="466">
        <v>41820.69513888889</v>
      </c>
      <c r="K33" s="204">
        <v>41820.99930555555</v>
      </c>
      <c r="L33" s="468">
        <f t="shared" si="1"/>
        <v>7.299999999871943</v>
      </c>
      <c r="M33" s="469">
        <f t="shared" si="2"/>
        <v>438</v>
      </c>
      <c r="N33" s="178" t="s">
        <v>329</v>
      </c>
      <c r="O33" s="593" t="s">
        <v>376</v>
      </c>
      <c r="P33" s="180" t="s">
        <v>84</v>
      </c>
      <c r="Q33" s="542">
        <f t="shared" si="4"/>
        <v>20</v>
      </c>
      <c r="R33" s="543" t="str">
        <f t="shared" si="5"/>
        <v>--</v>
      </c>
      <c r="S33" s="536" t="str">
        <f t="shared" si="6"/>
        <v>--</v>
      </c>
      <c r="T33" s="537">
        <f t="shared" si="7"/>
        <v>38524.29</v>
      </c>
      <c r="U33" s="372" t="str">
        <f t="shared" si="8"/>
        <v>--</v>
      </c>
      <c r="V33" s="373" t="str">
        <f t="shared" si="9"/>
        <v>--</v>
      </c>
      <c r="W33" s="538" t="str">
        <f t="shared" si="10"/>
        <v>--</v>
      </c>
      <c r="X33" s="416" t="str">
        <f t="shared" si="11"/>
        <v>--</v>
      </c>
      <c r="Y33" s="180" t="s">
        <v>84</v>
      </c>
      <c r="Z33" s="472">
        <f t="shared" si="12"/>
        <v>38524.29</v>
      </c>
      <c r="AA33" s="60"/>
    </row>
    <row r="34" spans="2:27" s="8" customFormat="1" ht="16.5" customHeight="1">
      <c r="B34" s="55"/>
      <c r="C34" s="150"/>
      <c r="D34" s="150"/>
      <c r="E34" s="169"/>
      <c r="F34" s="540"/>
      <c r="G34" s="463"/>
      <c r="H34" s="541"/>
      <c r="I34" s="361">
        <f t="shared" si="0"/>
        <v>0</v>
      </c>
      <c r="J34" s="466"/>
      <c r="K34" s="204"/>
      <c r="L34" s="468">
        <f t="shared" si="1"/>
      </c>
      <c r="M34" s="469">
        <f t="shared" si="2"/>
      </c>
      <c r="N34" s="178"/>
      <c r="O34" s="273">
        <f aca="true" t="shared" si="13" ref="O34:O41">IF(F34="","","--")</f>
      </c>
      <c r="P34" s="180">
        <f t="shared" si="3"/>
      </c>
      <c r="Q34" s="542">
        <f t="shared" si="4"/>
        <v>20</v>
      </c>
      <c r="R34" s="543" t="str">
        <f t="shared" si="5"/>
        <v>--</v>
      </c>
      <c r="S34" s="536" t="str">
        <f t="shared" si="6"/>
        <v>--</v>
      </c>
      <c r="T34" s="537" t="str">
        <f t="shared" si="7"/>
        <v>--</v>
      </c>
      <c r="U34" s="372" t="str">
        <f t="shared" si="8"/>
        <v>--</v>
      </c>
      <c r="V34" s="373" t="str">
        <f t="shared" si="9"/>
        <v>--</v>
      </c>
      <c r="W34" s="538" t="str">
        <f t="shared" si="10"/>
        <v>--</v>
      </c>
      <c r="X34" s="416" t="str">
        <f t="shared" si="11"/>
        <v>--</v>
      </c>
      <c r="Y34" s="180">
        <f aca="true" t="shared" si="14" ref="Y34:Y41">IF(F34="","","SI")</f>
      </c>
      <c r="Z34" s="472">
        <f t="shared" si="12"/>
      </c>
      <c r="AA34" s="60"/>
    </row>
    <row r="35" spans="2:27" s="8" customFormat="1" ht="16.5" customHeight="1">
      <c r="B35" s="55"/>
      <c r="C35" s="150"/>
      <c r="D35" s="150"/>
      <c r="E35" s="150"/>
      <c r="F35" s="540"/>
      <c r="G35" s="463"/>
      <c r="H35" s="541"/>
      <c r="I35" s="361">
        <f t="shared" si="0"/>
        <v>0</v>
      </c>
      <c r="J35" s="466"/>
      <c r="K35" s="204"/>
      <c r="L35" s="468">
        <f t="shared" si="1"/>
      </c>
      <c r="M35" s="469">
        <f t="shared" si="2"/>
      </c>
      <c r="N35" s="178"/>
      <c r="O35" s="273">
        <f t="shared" si="13"/>
      </c>
      <c r="P35" s="180">
        <f t="shared" si="3"/>
      </c>
      <c r="Q35" s="542">
        <f t="shared" si="4"/>
        <v>20</v>
      </c>
      <c r="R35" s="543" t="str">
        <f t="shared" si="5"/>
        <v>--</v>
      </c>
      <c r="S35" s="536" t="str">
        <f t="shared" si="6"/>
        <v>--</v>
      </c>
      <c r="T35" s="537" t="str">
        <f t="shared" si="7"/>
        <v>--</v>
      </c>
      <c r="U35" s="372" t="str">
        <f t="shared" si="8"/>
        <v>--</v>
      </c>
      <c r="V35" s="373" t="str">
        <f t="shared" si="9"/>
        <v>--</v>
      </c>
      <c r="W35" s="538" t="str">
        <f t="shared" si="10"/>
        <v>--</v>
      </c>
      <c r="X35" s="416" t="str">
        <f t="shared" si="11"/>
        <v>--</v>
      </c>
      <c r="Y35" s="180">
        <f t="shared" si="14"/>
      </c>
      <c r="Z35" s="472">
        <f t="shared" si="12"/>
      </c>
      <c r="AA35" s="60"/>
    </row>
    <row r="36" spans="2:27" s="8" customFormat="1" ht="16.5" customHeight="1">
      <c r="B36" s="55"/>
      <c r="C36" s="150"/>
      <c r="D36" s="150"/>
      <c r="E36" s="169"/>
      <c r="F36" s="540"/>
      <c r="G36" s="463"/>
      <c r="H36" s="541"/>
      <c r="I36" s="361">
        <f t="shared" si="0"/>
        <v>0</v>
      </c>
      <c r="J36" s="466"/>
      <c r="K36" s="204"/>
      <c r="L36" s="468">
        <f t="shared" si="1"/>
      </c>
      <c r="M36" s="469">
        <f t="shared" si="2"/>
      </c>
      <c r="N36" s="178"/>
      <c r="O36" s="273">
        <f t="shared" si="13"/>
      </c>
      <c r="P36" s="180">
        <f t="shared" si="3"/>
      </c>
      <c r="Q36" s="542">
        <f t="shared" si="4"/>
        <v>20</v>
      </c>
      <c r="R36" s="543" t="str">
        <f t="shared" si="5"/>
        <v>--</v>
      </c>
      <c r="S36" s="536" t="str">
        <f t="shared" si="6"/>
        <v>--</v>
      </c>
      <c r="T36" s="537" t="str">
        <f t="shared" si="7"/>
        <v>--</v>
      </c>
      <c r="U36" s="372" t="str">
        <f t="shared" si="8"/>
        <v>--</v>
      </c>
      <c r="V36" s="373" t="str">
        <f t="shared" si="9"/>
        <v>--</v>
      </c>
      <c r="W36" s="538" t="str">
        <f t="shared" si="10"/>
        <v>--</v>
      </c>
      <c r="X36" s="416" t="str">
        <f t="shared" si="11"/>
        <v>--</v>
      </c>
      <c r="Y36" s="180">
        <f t="shared" si="14"/>
      </c>
      <c r="Z36" s="472">
        <f t="shared" si="12"/>
      </c>
      <c r="AA36" s="60"/>
    </row>
    <row r="37" spans="2:27" s="8" customFormat="1" ht="16.5" customHeight="1">
      <c r="B37" s="55"/>
      <c r="C37" s="150"/>
      <c r="D37" s="150"/>
      <c r="E37" s="150"/>
      <c r="F37" s="540"/>
      <c r="G37" s="463"/>
      <c r="H37" s="541"/>
      <c r="I37" s="361">
        <f t="shared" si="0"/>
        <v>0</v>
      </c>
      <c r="J37" s="466"/>
      <c r="K37" s="204"/>
      <c r="L37" s="468">
        <f t="shared" si="1"/>
      </c>
      <c r="M37" s="469">
        <f t="shared" si="2"/>
      </c>
      <c r="N37" s="178"/>
      <c r="O37" s="273">
        <f t="shared" si="13"/>
      </c>
      <c r="P37" s="180">
        <f t="shared" si="3"/>
      </c>
      <c r="Q37" s="542">
        <f t="shared" si="4"/>
        <v>20</v>
      </c>
      <c r="R37" s="543" t="str">
        <f t="shared" si="5"/>
        <v>--</v>
      </c>
      <c r="S37" s="536" t="str">
        <f t="shared" si="6"/>
        <v>--</v>
      </c>
      <c r="T37" s="537" t="str">
        <f t="shared" si="7"/>
        <v>--</v>
      </c>
      <c r="U37" s="372" t="str">
        <f t="shared" si="8"/>
        <v>--</v>
      </c>
      <c r="V37" s="373" t="str">
        <f t="shared" si="9"/>
        <v>--</v>
      </c>
      <c r="W37" s="538" t="str">
        <f t="shared" si="10"/>
        <v>--</v>
      </c>
      <c r="X37" s="416" t="str">
        <f t="shared" si="11"/>
        <v>--</v>
      </c>
      <c r="Y37" s="180">
        <f t="shared" si="14"/>
      </c>
      <c r="Z37" s="472">
        <f t="shared" si="12"/>
      </c>
      <c r="AA37" s="60"/>
    </row>
    <row r="38" spans="2:27" s="8" customFormat="1" ht="16.5" customHeight="1">
      <c r="B38" s="55"/>
      <c r="C38" s="150"/>
      <c r="D38" s="150"/>
      <c r="E38" s="169"/>
      <c r="F38" s="540"/>
      <c r="G38" s="463"/>
      <c r="H38" s="541"/>
      <c r="I38" s="361">
        <f t="shared" si="0"/>
        <v>0</v>
      </c>
      <c r="J38" s="466"/>
      <c r="K38" s="204"/>
      <c r="L38" s="468">
        <f t="shared" si="1"/>
      </c>
      <c r="M38" s="469">
        <f t="shared" si="2"/>
      </c>
      <c r="N38" s="178"/>
      <c r="O38" s="273">
        <f t="shared" si="13"/>
      </c>
      <c r="P38" s="180">
        <f t="shared" si="3"/>
      </c>
      <c r="Q38" s="542">
        <f t="shared" si="4"/>
        <v>20</v>
      </c>
      <c r="R38" s="543" t="str">
        <f t="shared" si="5"/>
        <v>--</v>
      </c>
      <c r="S38" s="536" t="str">
        <f t="shared" si="6"/>
        <v>--</v>
      </c>
      <c r="T38" s="537" t="str">
        <f t="shared" si="7"/>
        <v>--</v>
      </c>
      <c r="U38" s="372" t="str">
        <f t="shared" si="8"/>
        <v>--</v>
      </c>
      <c r="V38" s="373" t="str">
        <f t="shared" si="9"/>
        <v>--</v>
      </c>
      <c r="W38" s="538" t="str">
        <f t="shared" si="10"/>
        <v>--</v>
      </c>
      <c r="X38" s="416" t="str">
        <f t="shared" si="11"/>
        <v>--</v>
      </c>
      <c r="Y38" s="180">
        <f t="shared" si="14"/>
      </c>
      <c r="Z38" s="472">
        <f t="shared" si="12"/>
      </c>
      <c r="AA38" s="60"/>
    </row>
    <row r="39" spans="2:27" s="8" customFormat="1" ht="16.5" customHeight="1">
      <c r="B39" s="55"/>
      <c r="C39" s="150"/>
      <c r="D39" s="150"/>
      <c r="E39" s="150"/>
      <c r="F39" s="540"/>
      <c r="G39" s="463"/>
      <c r="H39" s="541"/>
      <c r="I39" s="361">
        <f t="shared" si="0"/>
        <v>0</v>
      </c>
      <c r="J39" s="466"/>
      <c r="K39" s="204"/>
      <c r="L39" s="468">
        <f t="shared" si="1"/>
      </c>
      <c r="M39" s="469">
        <f t="shared" si="2"/>
      </c>
      <c r="N39" s="178"/>
      <c r="O39" s="273">
        <f t="shared" si="13"/>
      </c>
      <c r="P39" s="180">
        <f t="shared" si="3"/>
      </c>
      <c r="Q39" s="542">
        <f t="shared" si="4"/>
        <v>20</v>
      </c>
      <c r="R39" s="543" t="str">
        <f t="shared" si="5"/>
        <v>--</v>
      </c>
      <c r="S39" s="536" t="str">
        <f t="shared" si="6"/>
        <v>--</v>
      </c>
      <c r="T39" s="537" t="str">
        <f t="shared" si="7"/>
        <v>--</v>
      </c>
      <c r="U39" s="372" t="str">
        <f t="shared" si="8"/>
        <v>--</v>
      </c>
      <c r="V39" s="373" t="str">
        <f t="shared" si="9"/>
        <v>--</v>
      </c>
      <c r="W39" s="538" t="str">
        <f t="shared" si="10"/>
        <v>--</v>
      </c>
      <c r="X39" s="416" t="str">
        <f t="shared" si="11"/>
        <v>--</v>
      </c>
      <c r="Y39" s="180">
        <f t="shared" si="14"/>
      </c>
      <c r="Z39" s="472">
        <f t="shared" si="12"/>
      </c>
      <c r="AA39" s="60"/>
    </row>
    <row r="40" spans="2:27" s="8" customFormat="1" ht="16.5" customHeight="1">
      <c r="B40" s="55"/>
      <c r="C40" s="150"/>
      <c r="D40" s="150"/>
      <c r="E40" s="169"/>
      <c r="F40" s="540"/>
      <c r="G40" s="463"/>
      <c r="H40" s="541"/>
      <c r="I40" s="361">
        <f t="shared" si="0"/>
        <v>0</v>
      </c>
      <c r="J40" s="466"/>
      <c r="K40" s="204"/>
      <c r="L40" s="468">
        <f t="shared" si="1"/>
      </c>
      <c r="M40" s="469">
        <f t="shared" si="2"/>
      </c>
      <c r="N40" s="178"/>
      <c r="O40" s="273">
        <f t="shared" si="13"/>
      </c>
      <c r="P40" s="180">
        <f t="shared" si="3"/>
      </c>
      <c r="Q40" s="542">
        <f t="shared" si="4"/>
        <v>20</v>
      </c>
      <c r="R40" s="543" t="str">
        <f t="shared" si="5"/>
        <v>--</v>
      </c>
      <c r="S40" s="536" t="str">
        <f t="shared" si="6"/>
        <v>--</v>
      </c>
      <c r="T40" s="537" t="str">
        <f t="shared" si="7"/>
        <v>--</v>
      </c>
      <c r="U40" s="372" t="str">
        <f t="shared" si="8"/>
        <v>--</v>
      </c>
      <c r="V40" s="373" t="str">
        <f t="shared" si="9"/>
        <v>--</v>
      </c>
      <c r="W40" s="538" t="str">
        <f t="shared" si="10"/>
        <v>--</v>
      </c>
      <c r="X40" s="416" t="str">
        <f t="shared" si="11"/>
        <v>--</v>
      </c>
      <c r="Y40" s="180">
        <f t="shared" si="14"/>
      </c>
      <c r="Z40" s="472">
        <f t="shared" si="12"/>
      </c>
      <c r="AA40" s="60"/>
    </row>
    <row r="41" spans="2:27" s="8" customFormat="1" ht="16.5" customHeight="1">
      <c r="B41" s="55"/>
      <c r="C41" s="150"/>
      <c r="D41" s="150"/>
      <c r="E41" s="150"/>
      <c r="F41" s="540"/>
      <c r="G41" s="463"/>
      <c r="H41" s="541"/>
      <c r="I41" s="361">
        <f t="shared" si="0"/>
        <v>0</v>
      </c>
      <c r="J41" s="466"/>
      <c r="K41" s="204"/>
      <c r="L41" s="468">
        <f t="shared" si="1"/>
      </c>
      <c r="M41" s="469">
        <f t="shared" si="2"/>
      </c>
      <c r="N41" s="178"/>
      <c r="O41" s="273">
        <f t="shared" si="13"/>
      </c>
      <c r="P41" s="180">
        <f t="shared" si="3"/>
      </c>
      <c r="Q41" s="542">
        <f t="shared" si="4"/>
        <v>20</v>
      </c>
      <c r="R41" s="543" t="str">
        <f t="shared" si="5"/>
        <v>--</v>
      </c>
      <c r="S41" s="536" t="str">
        <f t="shared" si="6"/>
        <v>--</v>
      </c>
      <c r="T41" s="537" t="str">
        <f t="shared" si="7"/>
        <v>--</v>
      </c>
      <c r="U41" s="372" t="str">
        <f t="shared" si="8"/>
        <v>--</v>
      </c>
      <c r="V41" s="373" t="str">
        <f t="shared" si="9"/>
        <v>--</v>
      </c>
      <c r="W41" s="538" t="str">
        <f t="shared" si="10"/>
        <v>--</v>
      </c>
      <c r="X41" s="416" t="str">
        <f t="shared" si="11"/>
        <v>--</v>
      </c>
      <c r="Y41" s="180">
        <f t="shared" si="14"/>
      </c>
      <c r="Z41" s="472">
        <f t="shared" si="12"/>
      </c>
      <c r="AA41" s="60"/>
    </row>
    <row r="42" spans="2:27" s="8" customFormat="1" ht="16.5" customHeight="1" thickBot="1">
      <c r="B42" s="55"/>
      <c r="C42" s="545"/>
      <c r="D42" s="545"/>
      <c r="E42" s="545"/>
      <c r="F42" s="545"/>
      <c r="G42" s="545"/>
      <c r="H42" s="545"/>
      <c r="I42" s="381"/>
      <c r="J42" s="473"/>
      <c r="K42" s="473"/>
      <c r="L42" s="474"/>
      <c r="M42" s="474"/>
      <c r="N42" s="473"/>
      <c r="O42" s="216"/>
      <c r="P42" s="215"/>
      <c r="Q42" s="546"/>
      <c r="R42" s="547"/>
      <c r="S42" s="548"/>
      <c r="T42" s="549"/>
      <c r="U42" s="393"/>
      <c r="V42" s="394"/>
      <c r="W42" s="550"/>
      <c r="X42" s="550"/>
      <c r="Y42" s="215"/>
      <c r="Z42" s="551"/>
      <c r="AA42" s="60"/>
    </row>
    <row r="43" spans="2:27" s="8" customFormat="1" ht="16.5" customHeight="1" thickBot="1" thickTop="1">
      <c r="B43" s="55"/>
      <c r="C43" s="229" t="s">
        <v>317</v>
      </c>
      <c r="D43" s="270" t="s">
        <v>424</v>
      </c>
      <c r="E43" s="229"/>
      <c r="F43" s="230"/>
      <c r="I43" s="11"/>
      <c r="J43" s="11"/>
      <c r="K43" s="11"/>
      <c r="L43" s="11"/>
      <c r="M43" s="11"/>
      <c r="N43" s="11"/>
      <c r="O43" s="11"/>
      <c r="P43" s="11"/>
      <c r="Q43" s="11"/>
      <c r="R43" s="552">
        <f aca="true" t="shared" si="15" ref="R43:X43">SUM(R20:R42)</f>
        <v>163915.63050000003</v>
      </c>
      <c r="S43" s="553">
        <f t="shared" si="15"/>
        <v>10554.6</v>
      </c>
      <c r="T43" s="554">
        <f t="shared" si="15"/>
        <v>117472.698</v>
      </c>
      <c r="U43" s="403">
        <f t="shared" si="15"/>
        <v>0</v>
      </c>
      <c r="V43" s="404">
        <f t="shared" si="15"/>
        <v>0</v>
      </c>
      <c r="W43" s="555">
        <f t="shared" si="15"/>
        <v>0</v>
      </c>
      <c r="X43" s="555">
        <f t="shared" si="15"/>
        <v>0</v>
      </c>
      <c r="Z43" s="486">
        <f>ROUND(SUM(Z20:Z42),2)</f>
        <v>291942.93</v>
      </c>
      <c r="AA43" s="556"/>
    </row>
    <row r="44" spans="2:27" s="8" customFormat="1" ht="16.5" customHeight="1" thickBot="1" thickTop="1">
      <c r="B44" s="244"/>
      <c r="C44" s="245" t="s">
        <v>475</v>
      </c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6"/>
    </row>
    <row r="45" spans="6:29" ht="16.5" customHeight="1" thickTop="1">
      <c r="F45" s="557"/>
      <c r="G45" s="557"/>
      <c r="H45" s="557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</row>
    <row r="46" spans="6:29" ht="16.5" customHeight="1">
      <c r="F46" s="557"/>
      <c r="G46" s="557"/>
      <c r="H46" s="557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</row>
    <row r="47" spans="6:29" ht="16.5" customHeight="1">
      <c r="F47" s="557"/>
      <c r="G47" s="557"/>
      <c r="H47" s="557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</row>
    <row r="48" spans="6:29" ht="16.5" customHeight="1">
      <c r="F48" s="557"/>
      <c r="G48" s="557"/>
      <c r="H48" s="557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</row>
    <row r="49" spans="6:29" ht="16.5" customHeight="1">
      <c r="F49" s="557"/>
      <c r="G49" s="557"/>
      <c r="H49" s="557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</row>
    <row r="50" spans="6:29" ht="16.5" customHeight="1">
      <c r="F50" s="557"/>
      <c r="G50" s="557"/>
      <c r="H50" s="557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</row>
    <row r="51" spans="6:29" ht="16.5" customHeight="1"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</row>
    <row r="52" spans="6:29" ht="16.5" customHeight="1"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</row>
    <row r="53" spans="6:29" ht="16.5" customHeight="1"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</row>
    <row r="54" spans="6:29" ht="16.5" customHeight="1"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</row>
    <row r="55" spans="6:29" ht="16.5" customHeight="1"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</row>
    <row r="56" spans="6:29" ht="16.5" customHeight="1"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</row>
    <row r="57" spans="6:29" ht="16.5" customHeight="1"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</row>
    <row r="58" spans="6:29" ht="16.5" customHeight="1"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</row>
    <row r="59" spans="6:29" ht="16.5" customHeight="1"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</row>
    <row r="60" spans="6:29" ht="16.5" customHeight="1"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</row>
    <row r="61" spans="6:29" ht="16.5" customHeight="1"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</row>
    <row r="62" spans="6:29" ht="16.5" customHeight="1"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</row>
    <row r="63" spans="6:29" ht="16.5" customHeight="1"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</row>
    <row r="64" spans="6:29" ht="16.5" customHeight="1"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</row>
    <row r="65" spans="6:29" ht="16.5" customHeight="1"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</row>
    <row r="66" spans="6:29" ht="16.5" customHeight="1"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</row>
    <row r="67" spans="6:29" ht="16.5" customHeight="1"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</row>
    <row r="68" spans="6:29" ht="16.5" customHeight="1"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</row>
    <row r="69" spans="6:29" ht="16.5" customHeight="1"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</row>
    <row r="70" spans="6:29" ht="16.5" customHeight="1"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</row>
    <row r="71" spans="6:29" ht="16.5" customHeight="1"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</row>
    <row r="72" spans="6:29" ht="16.5" customHeight="1"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</row>
    <row r="73" spans="6:29" ht="16.5" customHeight="1"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</row>
    <row r="74" spans="6:29" ht="16.5" customHeight="1"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</row>
    <row r="75" spans="6:29" ht="16.5" customHeight="1"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</row>
    <row r="76" spans="6:29" ht="16.5" customHeight="1"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</row>
    <row r="77" spans="6:29" ht="16.5" customHeight="1"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</row>
    <row r="78" spans="6:29" ht="16.5" customHeight="1"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</row>
    <row r="79" spans="6:29" ht="16.5" customHeight="1"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</row>
    <row r="80" spans="6:29" ht="16.5" customHeight="1"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</row>
    <row r="81" spans="6:29" ht="16.5" customHeight="1"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</row>
    <row r="82" spans="6:29" ht="16.5" customHeight="1"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</row>
    <row r="83" spans="6:29" ht="16.5" customHeight="1"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</row>
    <row r="84" spans="6:29" ht="16.5" customHeight="1"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</row>
    <row r="85" spans="6:29" ht="16.5" customHeight="1"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</row>
    <row r="86" spans="6:29" ht="16.5" customHeight="1"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</row>
    <row r="87" spans="6:29" ht="16.5" customHeight="1"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2"/>
      <c r="AC87" s="412"/>
    </row>
    <row r="88" spans="6:29" ht="16.5" customHeight="1"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</row>
    <row r="89" spans="6:29" ht="16.5" customHeight="1"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</row>
    <row r="90" spans="6:29" ht="16.5" customHeight="1"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</row>
    <row r="91" spans="6:29" ht="16.5" customHeight="1"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</row>
    <row r="92" spans="6:29" ht="16.5" customHeight="1"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</row>
    <row r="93" spans="6:29" ht="16.5" customHeight="1"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</row>
    <row r="94" spans="6:29" ht="16.5" customHeight="1"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</row>
    <row r="95" spans="6:29" ht="16.5" customHeight="1"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</row>
    <row r="96" spans="6:29" ht="16.5" customHeight="1"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</row>
    <row r="97" spans="6:29" ht="16.5" customHeight="1"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</row>
    <row r="98" spans="6:29" ht="16.5" customHeight="1"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</row>
    <row r="99" spans="6:29" ht="16.5" customHeight="1"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</row>
    <row r="100" spans="6:29" ht="16.5" customHeight="1"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</row>
    <row r="101" spans="6:29" ht="16.5" customHeight="1"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</row>
    <row r="102" spans="6:29" ht="16.5" customHeight="1"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</row>
    <row r="103" spans="6:29" ht="16.5" customHeight="1"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</row>
    <row r="104" spans="6:29" ht="16.5" customHeight="1"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</row>
    <row r="105" spans="6:29" ht="16.5" customHeight="1"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</row>
    <row r="106" spans="6:29" ht="16.5" customHeight="1"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</row>
    <row r="107" spans="6:29" ht="16.5" customHeight="1"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</row>
    <row r="108" spans="6:29" ht="16.5" customHeight="1"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</row>
    <row r="109" spans="6:29" ht="16.5" customHeight="1"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</row>
    <row r="110" spans="6:29" ht="16.5" customHeight="1"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</row>
    <row r="111" spans="6:29" ht="16.5" customHeight="1"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412"/>
    </row>
    <row r="112" spans="6:29" ht="16.5" customHeight="1"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</row>
    <row r="113" spans="6:29" ht="16.5" customHeight="1"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</row>
    <row r="114" spans="6:29" ht="16.5" customHeight="1"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</row>
    <row r="115" spans="6:29" ht="16.5" customHeight="1"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</row>
    <row r="116" spans="6:29" ht="16.5" customHeight="1"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</row>
    <row r="117" spans="6:29" ht="16.5" customHeight="1"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2"/>
      <c r="AC117" s="412"/>
    </row>
    <row r="118" spans="6:29" ht="16.5" customHeight="1"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</row>
    <row r="119" spans="6:29" ht="16.5" customHeight="1"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</row>
    <row r="120" spans="6:29" ht="16.5" customHeight="1"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2"/>
      <c r="AC120" s="412"/>
    </row>
    <row r="121" spans="6:29" ht="16.5" customHeight="1"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</row>
    <row r="122" spans="6:29" ht="16.5" customHeight="1"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2"/>
      <c r="AB122" s="412"/>
      <c r="AC122" s="412"/>
    </row>
    <row r="123" spans="6:29" ht="16.5" customHeight="1"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</row>
    <row r="124" spans="6:29" ht="16.5" customHeight="1"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2"/>
      <c r="AC124" s="412"/>
    </row>
    <row r="125" spans="6:29" ht="16.5" customHeight="1"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</row>
    <row r="126" spans="6:29" ht="16.5" customHeight="1"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</row>
    <row r="127" spans="6:29" ht="16.5" customHeight="1"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2"/>
      <c r="AC127" s="412"/>
    </row>
    <row r="128" spans="6:29" ht="16.5" customHeight="1"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</row>
    <row r="129" spans="6:29" ht="16.5" customHeight="1"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</row>
    <row r="130" spans="6:29" ht="16.5" customHeight="1"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</row>
    <row r="131" spans="6:29" ht="16.5" customHeight="1"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</row>
    <row r="132" spans="6:29" ht="16.5" customHeight="1"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</row>
    <row r="133" spans="6:29" ht="16.5" customHeight="1"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</row>
    <row r="134" spans="6:29" ht="16.5" customHeight="1"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</row>
    <row r="135" spans="6:29" ht="16.5" customHeight="1"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</row>
    <row r="136" spans="6:29" ht="16.5" customHeight="1"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2"/>
      <c r="AC136" s="412"/>
    </row>
    <row r="137" spans="6:29" ht="16.5" customHeight="1"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</row>
    <row r="138" spans="6:29" ht="16.5" customHeight="1"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</row>
    <row r="139" spans="6:29" ht="16.5" customHeight="1"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</row>
    <row r="140" spans="6:29" ht="16.5" customHeight="1"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</row>
    <row r="141" spans="6:29" ht="16.5" customHeight="1"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</row>
    <row r="142" spans="6:29" ht="16.5" customHeight="1"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</row>
    <row r="143" spans="6:29" ht="16.5" customHeight="1"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2"/>
      <c r="AC143" s="412"/>
    </row>
    <row r="144" spans="6:29" ht="16.5" customHeight="1"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2"/>
      <c r="AC144" s="412"/>
    </row>
    <row r="145" spans="6:29" ht="16.5" customHeight="1"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2"/>
      <c r="AC145" s="412"/>
    </row>
    <row r="146" spans="6:29" ht="16.5" customHeight="1"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</row>
    <row r="147" spans="6:29" ht="16.5" customHeight="1"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</row>
    <row r="148" spans="6:29" ht="16.5" customHeight="1"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</row>
    <row r="149" spans="6:29" ht="16.5" customHeight="1"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</row>
    <row r="150" spans="6:29" ht="16.5" customHeight="1"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</row>
    <row r="151" spans="6:29" ht="16.5" customHeight="1">
      <c r="F151" s="412"/>
      <c r="G151" s="412"/>
      <c r="H151" s="412"/>
      <c r="I151" s="412"/>
      <c r="J151" s="412"/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</row>
    <row r="152" spans="6:29" ht="16.5" customHeight="1">
      <c r="F152" s="412"/>
      <c r="G152" s="412"/>
      <c r="H152" s="412"/>
      <c r="AB152" s="412"/>
      <c r="AC152" s="412"/>
    </row>
    <row r="153" spans="6:8" ht="16.5" customHeight="1">
      <c r="F153" s="412"/>
      <c r="G153" s="412"/>
      <c r="H153" s="412"/>
    </row>
    <row r="154" spans="6:8" ht="16.5" customHeight="1">
      <c r="F154" s="412"/>
      <c r="G154" s="412"/>
      <c r="H154" s="412"/>
    </row>
    <row r="155" spans="6:8" ht="16.5" customHeight="1">
      <c r="F155" s="412"/>
      <c r="G155" s="412"/>
      <c r="H155" s="412"/>
    </row>
    <row r="156" spans="6:8" ht="16.5" customHeight="1">
      <c r="F156" s="412"/>
      <c r="G156" s="412"/>
      <c r="H156" s="412"/>
    </row>
    <row r="157" spans="6:8" ht="16.5" customHeight="1">
      <c r="F157" s="412"/>
      <c r="G157" s="412"/>
      <c r="H157" s="412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AC157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2" width="4.140625" style="1428" customWidth="1"/>
    <col min="3" max="3" width="5.421875" style="1428" customWidth="1"/>
    <col min="4" max="5" width="13.57421875" style="1428" customWidth="1"/>
    <col min="6" max="6" width="30.7109375" style="1428" customWidth="1"/>
    <col min="7" max="7" width="25.7109375" style="1428" customWidth="1"/>
    <col min="8" max="8" width="8.00390625" style="1428" customWidth="1"/>
    <col min="9" max="9" width="5.421875" style="1428" hidden="1" customWidth="1"/>
    <col min="10" max="10" width="17.421875" style="1428" customWidth="1"/>
    <col min="11" max="11" width="16.8515625" style="1428" customWidth="1"/>
    <col min="12" max="15" width="9.7109375" style="1428" customWidth="1"/>
    <col min="16" max="16" width="6.00390625" style="1428" customWidth="1"/>
    <col min="17" max="17" width="3.7109375" style="1428" hidden="1" customWidth="1"/>
    <col min="18" max="18" width="13.140625" style="1428" hidden="1" customWidth="1"/>
    <col min="19" max="22" width="9.57421875" style="1428" hidden="1" customWidth="1"/>
    <col min="23" max="24" width="12.28125" style="1428" hidden="1" customWidth="1"/>
    <col min="25" max="25" width="9.7109375" style="1428" customWidth="1"/>
    <col min="26" max="26" width="15.7109375" style="1428" customWidth="1"/>
    <col min="27" max="27" width="4.140625" style="1428" customWidth="1"/>
    <col min="28" max="16384" width="11.421875" style="1428" customWidth="1"/>
  </cols>
  <sheetData>
    <row r="1" s="1376" customFormat="1" ht="26.25">
      <c r="AA1" s="1544"/>
    </row>
    <row r="2" spans="1:27" s="1376" customFormat="1" ht="26.25">
      <c r="A2" s="1377"/>
      <c r="B2" s="1380" t="str">
        <f>'TOT-0614'!B2</f>
        <v>ANEXO I al Memorándum D.T.E.E. N°         347   / 2015</v>
      </c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1380"/>
      <c r="Y2" s="1380"/>
      <c r="Z2" s="1380"/>
      <c r="AA2" s="1380"/>
    </row>
    <row r="3" s="1382" customFormat="1" ht="12.75">
      <c r="A3" s="1381"/>
    </row>
    <row r="4" spans="1:4" s="1386" customFormat="1" ht="11.25">
      <c r="A4" s="1545" t="s">
        <v>2</v>
      </c>
      <c r="B4" s="1546"/>
      <c r="C4" s="1546"/>
      <c r="D4" s="1546"/>
    </row>
    <row r="5" spans="1:4" s="1386" customFormat="1" ht="11.25">
      <c r="A5" s="1545" t="s">
        <v>3</v>
      </c>
      <c r="B5" s="1546"/>
      <c r="C5" s="1546"/>
      <c r="D5" s="1546"/>
    </row>
    <row r="6" s="1382" customFormat="1" ht="13.5" thickBot="1"/>
    <row r="7" spans="2:27" s="1382" customFormat="1" ht="13.5" thickTop="1">
      <c r="B7" s="1547"/>
      <c r="C7" s="1548"/>
      <c r="D7" s="1548"/>
      <c r="E7" s="1548"/>
      <c r="F7" s="1548"/>
      <c r="G7" s="1548"/>
      <c r="H7" s="1548"/>
      <c r="I7" s="1548"/>
      <c r="J7" s="1548"/>
      <c r="K7" s="1548"/>
      <c r="L7" s="1548"/>
      <c r="M7" s="1548"/>
      <c r="N7" s="1548"/>
      <c r="O7" s="1548"/>
      <c r="P7" s="1548"/>
      <c r="Q7" s="1548"/>
      <c r="R7" s="1548"/>
      <c r="S7" s="1548"/>
      <c r="T7" s="1548"/>
      <c r="U7" s="1548"/>
      <c r="V7" s="1548"/>
      <c r="W7" s="1548"/>
      <c r="X7" s="1548"/>
      <c r="Y7" s="1548"/>
      <c r="Z7" s="1548"/>
      <c r="AA7" s="1549"/>
    </row>
    <row r="8" spans="2:27" s="1396" customFormat="1" ht="20.25">
      <c r="B8" s="1550"/>
      <c r="C8" s="1551"/>
      <c r="D8" s="1551"/>
      <c r="F8" s="1806" t="s">
        <v>78</v>
      </c>
      <c r="G8" s="2353"/>
      <c r="H8" s="2354"/>
      <c r="I8" s="2355"/>
      <c r="J8" s="2355"/>
      <c r="K8" s="2355"/>
      <c r="L8" s="2355"/>
      <c r="M8" s="2355"/>
      <c r="N8" s="2355"/>
      <c r="O8" s="2355"/>
      <c r="P8" s="2354"/>
      <c r="Q8" s="2354"/>
      <c r="R8" s="2354"/>
      <c r="S8" s="2354"/>
      <c r="T8" s="2354"/>
      <c r="U8" s="2354"/>
      <c r="V8" s="2354"/>
      <c r="W8" s="2354"/>
      <c r="X8" s="2354"/>
      <c r="Y8" s="2354"/>
      <c r="Z8" s="2354"/>
      <c r="AA8" s="2356"/>
    </row>
    <row r="9" spans="2:27" s="1382" customFormat="1" ht="12.75">
      <c r="B9" s="1554"/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5"/>
      <c r="N9" s="1555"/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6"/>
    </row>
    <row r="10" spans="2:27" s="1396" customFormat="1" ht="20.25">
      <c r="B10" s="1550"/>
      <c r="C10" s="1551"/>
      <c r="D10" s="1551"/>
      <c r="F10" s="2251" t="s">
        <v>79</v>
      </c>
      <c r="H10" s="2357"/>
      <c r="I10" s="2358"/>
      <c r="J10" s="2358"/>
      <c r="K10" s="2358"/>
      <c r="L10" s="2358"/>
      <c r="M10" s="2358"/>
      <c r="N10" s="2358"/>
      <c r="O10" s="2358"/>
      <c r="P10" s="2358"/>
      <c r="Q10" s="2358"/>
      <c r="R10" s="1551"/>
      <c r="S10" s="1551"/>
      <c r="T10" s="1551"/>
      <c r="U10" s="1551"/>
      <c r="V10" s="1551"/>
      <c r="W10" s="1551"/>
      <c r="X10" s="1551"/>
      <c r="Y10" s="1551"/>
      <c r="Z10" s="1551"/>
      <c r="AA10" s="1553"/>
    </row>
    <row r="11" spans="2:27" s="1382" customFormat="1" ht="16.5" customHeight="1">
      <c r="B11" s="1554"/>
      <c r="C11" s="1555"/>
      <c r="D11" s="1555"/>
      <c r="E11" s="1555"/>
      <c r="F11" s="2359"/>
      <c r="H11" s="2360"/>
      <c r="I11" s="1812"/>
      <c r="J11" s="1812"/>
      <c r="K11" s="1812"/>
      <c r="L11" s="1812"/>
      <c r="M11" s="1812"/>
      <c r="N11" s="1812"/>
      <c r="O11" s="1812"/>
      <c r="P11" s="1812"/>
      <c r="Q11" s="1812"/>
      <c r="R11" s="1555"/>
      <c r="S11" s="1555"/>
      <c r="T11" s="1555"/>
      <c r="U11" s="1555"/>
      <c r="V11" s="1555"/>
      <c r="W11" s="1555"/>
      <c r="X11" s="1555"/>
      <c r="Y11" s="1555"/>
      <c r="Z11" s="1555"/>
      <c r="AA11" s="1556"/>
    </row>
    <row r="12" spans="2:27" s="1396" customFormat="1" ht="20.25">
      <c r="B12" s="1550"/>
      <c r="C12" s="1551"/>
      <c r="D12" s="1551"/>
      <c r="F12" s="2251" t="s">
        <v>459</v>
      </c>
      <c r="H12" s="2357"/>
      <c r="I12" s="2358"/>
      <c r="J12" s="2358"/>
      <c r="K12" s="2358"/>
      <c r="L12" s="2358"/>
      <c r="M12" s="2358"/>
      <c r="N12" s="2358"/>
      <c r="O12" s="2358"/>
      <c r="P12" s="2358"/>
      <c r="Q12" s="2358"/>
      <c r="R12" s="1551"/>
      <c r="S12" s="1551"/>
      <c r="T12" s="1551"/>
      <c r="U12" s="1551"/>
      <c r="V12" s="1551"/>
      <c r="W12" s="1551"/>
      <c r="X12" s="1551"/>
      <c r="Y12" s="1551"/>
      <c r="Z12" s="1551"/>
      <c r="AA12" s="1553"/>
    </row>
    <row r="13" spans="2:27" s="1382" customFormat="1" ht="16.5" customHeight="1">
      <c r="B13" s="1554"/>
      <c r="C13" s="1555"/>
      <c r="D13" s="1555"/>
      <c r="E13" s="1555"/>
      <c r="F13" s="2359"/>
      <c r="H13" s="2360"/>
      <c r="I13" s="1812"/>
      <c r="J13" s="1812"/>
      <c r="K13" s="1812"/>
      <c r="L13" s="1812"/>
      <c r="M13" s="1812"/>
      <c r="N13" s="1812"/>
      <c r="O13" s="1812"/>
      <c r="P13" s="1812"/>
      <c r="Q13" s="1812"/>
      <c r="R13" s="1555"/>
      <c r="S13" s="1555"/>
      <c r="T13" s="1555"/>
      <c r="U13" s="1555"/>
      <c r="V13" s="1555"/>
      <c r="W13" s="1555"/>
      <c r="X13" s="1555"/>
      <c r="Y13" s="1555"/>
      <c r="Z13" s="1555"/>
      <c r="AA13" s="1556"/>
    </row>
    <row r="14" spans="2:27" s="1420" customFormat="1" ht="16.5" customHeight="1">
      <c r="B14" s="634" t="str">
        <f>'TOT-0614'!B14</f>
        <v>Desde el 01 al 30 de junio de 2014</v>
      </c>
      <c r="C14" s="1416"/>
      <c r="D14" s="1416"/>
      <c r="E14" s="1416"/>
      <c r="F14" s="1563"/>
      <c r="G14" s="1563"/>
      <c r="H14" s="1563"/>
      <c r="I14" s="1563"/>
      <c r="J14" s="1563"/>
      <c r="K14" s="1563"/>
      <c r="L14" s="1563"/>
      <c r="M14" s="1563"/>
      <c r="N14" s="1563"/>
      <c r="O14" s="1563"/>
      <c r="P14" s="1563"/>
      <c r="Q14" s="1563"/>
      <c r="R14" s="1416"/>
      <c r="S14" s="1416"/>
      <c r="T14" s="1416"/>
      <c r="U14" s="1416"/>
      <c r="V14" s="1416"/>
      <c r="W14" s="1416"/>
      <c r="X14" s="1416"/>
      <c r="Y14" s="1416"/>
      <c r="Z14" s="1416"/>
      <c r="AA14" s="1564"/>
    </row>
    <row r="15" spans="2:27" s="1382" customFormat="1" ht="16.5" customHeight="1" thickBot="1">
      <c r="B15" s="1554"/>
      <c r="C15" s="1555"/>
      <c r="D15" s="1555"/>
      <c r="E15" s="1555"/>
      <c r="F15" s="1555"/>
      <c r="G15" s="1555"/>
      <c r="H15" s="1555"/>
      <c r="I15" s="1555"/>
      <c r="J15" s="1555"/>
      <c r="K15" s="1555"/>
      <c r="L15" s="1555"/>
      <c r="M15" s="1555"/>
      <c r="R15" s="1555"/>
      <c r="S15" s="1555"/>
      <c r="T15" s="1555"/>
      <c r="U15" s="1555"/>
      <c r="V15" s="1555"/>
      <c r="W15" s="1555"/>
      <c r="X15" s="1555"/>
      <c r="Y15" s="1555"/>
      <c r="Z15" s="1555"/>
      <c r="AA15" s="1556"/>
    </row>
    <row r="16" spans="2:27" s="1382" customFormat="1" ht="16.5" customHeight="1" thickBot="1" thickTop="1">
      <c r="B16" s="1554"/>
      <c r="C16" s="1555"/>
      <c r="D16" s="1555"/>
      <c r="E16" s="1555"/>
      <c r="F16" s="2361" t="s">
        <v>58</v>
      </c>
      <c r="G16" s="2362"/>
      <c r="H16" s="1424">
        <v>0.319</v>
      </c>
      <c r="I16" s="1569"/>
      <c r="J16" s="1428"/>
      <c r="K16" s="1555"/>
      <c r="L16" s="1555"/>
      <c r="M16" s="1555"/>
      <c r="N16" s="1555"/>
      <c r="O16" s="1555"/>
      <c r="Q16" s="1555"/>
      <c r="R16" s="1555"/>
      <c r="S16" s="1555"/>
      <c r="T16" s="1555"/>
      <c r="U16" s="1555"/>
      <c r="V16" s="1555"/>
      <c r="W16" s="1555"/>
      <c r="X16" s="1555"/>
      <c r="Y16" s="1555"/>
      <c r="Z16" s="1555"/>
      <c r="AA16" s="1556"/>
    </row>
    <row r="17" spans="2:27" s="1382" customFormat="1" ht="16.5" customHeight="1" thickBot="1" thickTop="1">
      <c r="B17" s="1554"/>
      <c r="C17" s="1555"/>
      <c r="D17" s="1555"/>
      <c r="E17" s="1555"/>
      <c r="F17" s="2363" t="s">
        <v>59</v>
      </c>
      <c r="G17" s="2364"/>
      <c r="H17" s="2365">
        <v>20</v>
      </c>
      <c r="I17" s="1569"/>
      <c r="J17" s="1428"/>
      <c r="K17" s="1578"/>
      <c r="L17" s="1579"/>
      <c r="M17" s="1555"/>
      <c r="N17" s="1555"/>
      <c r="O17" s="1555"/>
      <c r="Q17" s="1555"/>
      <c r="R17" s="1555"/>
      <c r="S17" s="1555"/>
      <c r="T17" s="1574"/>
      <c r="U17" s="1574"/>
      <c r="V17" s="1574"/>
      <c r="W17" s="1574"/>
      <c r="X17" s="1574"/>
      <c r="Y17" s="1574"/>
      <c r="Z17" s="1574"/>
      <c r="AA17" s="1556"/>
    </row>
    <row r="18" spans="2:27" s="1382" customFormat="1" ht="16.5" customHeight="1" thickBot="1" thickTop="1">
      <c r="B18" s="1554"/>
      <c r="C18" s="1580">
        <v>3</v>
      </c>
      <c r="D18" s="1580">
        <v>4</v>
      </c>
      <c r="E18" s="1580">
        <v>5</v>
      </c>
      <c r="F18" s="1580">
        <v>6</v>
      </c>
      <c r="G18" s="1580">
        <v>7</v>
      </c>
      <c r="H18" s="1580">
        <v>8</v>
      </c>
      <c r="I18" s="1580">
        <v>9</v>
      </c>
      <c r="J18" s="1580">
        <v>10</v>
      </c>
      <c r="K18" s="1580">
        <v>11</v>
      </c>
      <c r="L18" s="1580">
        <v>12</v>
      </c>
      <c r="M18" s="1580">
        <v>13</v>
      </c>
      <c r="N18" s="1580">
        <v>14</v>
      </c>
      <c r="O18" s="1580">
        <v>15</v>
      </c>
      <c r="P18" s="1580">
        <v>16</v>
      </c>
      <c r="Q18" s="1580">
        <v>17</v>
      </c>
      <c r="R18" s="1580">
        <v>18</v>
      </c>
      <c r="S18" s="1580">
        <v>19</v>
      </c>
      <c r="T18" s="1580">
        <v>20</v>
      </c>
      <c r="U18" s="1580">
        <v>21</v>
      </c>
      <c r="V18" s="1580">
        <v>22</v>
      </c>
      <c r="W18" s="1580">
        <v>23</v>
      </c>
      <c r="X18" s="1580">
        <v>24</v>
      </c>
      <c r="Y18" s="1580">
        <v>25</v>
      </c>
      <c r="Z18" s="1580">
        <v>26</v>
      </c>
      <c r="AA18" s="1556"/>
    </row>
    <row r="19" spans="2:27" s="1382" customFormat="1" ht="33.75" customHeight="1" thickBot="1" thickTop="1">
      <c r="B19" s="1554"/>
      <c r="C19" s="1431" t="s">
        <v>29</v>
      </c>
      <c r="D19" s="1432" t="s">
        <v>30</v>
      </c>
      <c r="E19" s="1432" t="s">
        <v>31</v>
      </c>
      <c r="F19" s="1581" t="s">
        <v>60</v>
      </c>
      <c r="G19" s="1584" t="s">
        <v>61</v>
      </c>
      <c r="H19" s="2366" t="s">
        <v>81</v>
      </c>
      <c r="I19" s="1437" t="s">
        <v>36</v>
      </c>
      <c r="J19" s="1584" t="s">
        <v>37</v>
      </c>
      <c r="K19" s="1584" t="s">
        <v>38</v>
      </c>
      <c r="L19" s="1581" t="s">
        <v>39</v>
      </c>
      <c r="M19" s="1581" t="s">
        <v>40</v>
      </c>
      <c r="N19" s="1438" t="s">
        <v>316</v>
      </c>
      <c r="O19" s="1438" t="s">
        <v>41</v>
      </c>
      <c r="P19" s="1584" t="s">
        <v>43</v>
      </c>
      <c r="Q19" s="1437" t="s">
        <v>35</v>
      </c>
      <c r="R19" s="2010" t="s">
        <v>73</v>
      </c>
      <c r="S19" s="2011" t="s">
        <v>82</v>
      </c>
      <c r="T19" s="2012"/>
      <c r="U19" s="1445" t="s">
        <v>83</v>
      </c>
      <c r="V19" s="1446"/>
      <c r="W19" s="2013" t="s">
        <v>48</v>
      </c>
      <c r="X19" s="1442" t="s">
        <v>45</v>
      </c>
      <c r="Y19" s="1449" t="s">
        <v>50</v>
      </c>
      <c r="Z19" s="2014" t="s">
        <v>51</v>
      </c>
      <c r="AA19" s="1556"/>
    </row>
    <row r="20" spans="2:27" s="1382" customFormat="1" ht="16.5" customHeight="1" thickTop="1">
      <c r="B20" s="1554"/>
      <c r="C20" s="1450"/>
      <c r="D20" s="1450"/>
      <c r="E20" s="1450"/>
      <c r="F20" s="2016"/>
      <c r="G20" s="2016"/>
      <c r="H20" s="2016"/>
      <c r="I20" s="2017"/>
      <c r="J20" s="2018"/>
      <c r="K20" s="2018"/>
      <c r="L20" s="2019"/>
      <c r="M20" s="2019"/>
      <c r="N20" s="2016"/>
      <c r="O20" s="2020"/>
      <c r="P20" s="2019"/>
      <c r="Q20" s="2021"/>
      <c r="R20" s="2022"/>
      <c r="S20" s="2023"/>
      <c r="T20" s="2024"/>
      <c r="U20" s="1460"/>
      <c r="V20" s="1461"/>
      <c r="W20" s="2025"/>
      <c r="X20" s="2025"/>
      <c r="Y20" s="2026"/>
      <c r="Z20" s="2027"/>
      <c r="AA20" s="1556"/>
    </row>
    <row r="21" spans="2:27" s="1382" customFormat="1" ht="16.5" customHeight="1">
      <c r="B21" s="1554"/>
      <c r="C21" s="1465"/>
      <c r="D21" s="1465"/>
      <c r="E21" s="1465"/>
      <c r="F21" s="2028"/>
      <c r="G21" s="2029"/>
      <c r="H21" s="2367"/>
      <c r="I21" s="2030"/>
      <c r="J21" s="2031"/>
      <c r="K21" s="2032"/>
      <c r="L21" s="2033"/>
      <c r="M21" s="2034"/>
      <c r="N21" s="1964"/>
      <c r="O21" s="1468"/>
      <c r="P21" s="2040"/>
      <c r="Q21" s="2035"/>
      <c r="R21" s="2036"/>
      <c r="S21" s="2037"/>
      <c r="T21" s="2038"/>
      <c r="U21" s="1475"/>
      <c r="V21" s="1476"/>
      <c r="W21" s="2039"/>
      <c r="X21" s="2039"/>
      <c r="Y21" s="2040"/>
      <c r="Z21" s="2041"/>
      <c r="AA21" s="1556"/>
    </row>
    <row r="22" spans="2:27" s="1382" customFormat="1" ht="16.5" customHeight="1">
      <c r="B22" s="1554"/>
      <c r="C22" s="1465">
        <v>57</v>
      </c>
      <c r="D22" s="1465">
        <v>275462</v>
      </c>
      <c r="E22" s="1480">
        <v>2672</v>
      </c>
      <c r="F22" s="2042" t="s">
        <v>460</v>
      </c>
      <c r="G22" s="1608" t="s">
        <v>461</v>
      </c>
      <c r="H22" s="2368">
        <v>80</v>
      </c>
      <c r="I22" s="1485">
        <f aca="true" t="shared" si="0" ref="I22:I41">H22*$H$16</f>
        <v>25.52</v>
      </c>
      <c r="J22" s="1611">
        <v>41791.03194444445</v>
      </c>
      <c r="K22" s="2005">
        <v>41794.47430555556</v>
      </c>
      <c r="L22" s="1613">
        <f aca="true" t="shared" si="1" ref="L22:L41">IF(F22="","",(K22-J22)*24)</f>
        <v>82.61666666669771</v>
      </c>
      <c r="M22" s="1614">
        <f aca="true" t="shared" si="2" ref="M22:M41">IF(F22="","",ROUND((K22-J22)*24*60,0))</f>
        <v>4957</v>
      </c>
      <c r="N22" s="1615" t="s">
        <v>332</v>
      </c>
      <c r="O22" s="2369" t="s">
        <v>376</v>
      </c>
      <c r="P22" s="1492" t="str">
        <f aca="true" t="shared" si="3" ref="P22:P41">IF(F22="","",IF(OR(N22="P",N22="RP"),"--","NO"))</f>
        <v>--</v>
      </c>
      <c r="Q22" s="2043">
        <f aca="true" t="shared" si="4" ref="Q22:Q41">IF(OR(N22="P",N22="RP"),$H$17/10,$H$17)</f>
        <v>2</v>
      </c>
      <c r="R22" s="2044">
        <f aca="true" t="shared" si="5" ref="R22:R41">IF(N22="P",I22*Q22*ROUND(M22/60,2),"--")</f>
        <v>4216.9248</v>
      </c>
      <c r="S22" s="2037" t="str">
        <f aca="true" t="shared" si="6" ref="S22:S41">IF(AND(N22="F",P22="NO"),I22*Q22,"--")</f>
        <v>--</v>
      </c>
      <c r="T22" s="2038" t="str">
        <f aca="true" t="shared" si="7" ref="T22:T41">IF(N22="F",I22*Q22*ROUND(M22/60,2),"--")</f>
        <v>--</v>
      </c>
      <c r="U22" s="1498" t="str">
        <f aca="true" t="shared" si="8" ref="U22:U41">IF(AND(N22="R",P22="NO"),I22*Q22*O22/100,"--")</f>
        <v>--</v>
      </c>
      <c r="V22" s="1499" t="str">
        <f aca="true" t="shared" si="9" ref="V22:V41">IF(N22="R",I22*Q22*O22/100*ROUND(M22/60,2),"--")</f>
        <v>--</v>
      </c>
      <c r="W22" s="2039" t="str">
        <f aca="true" t="shared" si="10" ref="W22:W41">IF(N22="RF",I22*Q22*ROUND(M22/60,2),"--")</f>
        <v>--</v>
      </c>
      <c r="X22" s="1495" t="str">
        <f aca="true" t="shared" si="11" ref="X22:X41">IF(N22="RP",I22*Q22*O22/100*ROUND(M22/60,2),"--")</f>
        <v>--</v>
      </c>
      <c r="Y22" s="1492" t="s">
        <v>84</v>
      </c>
      <c r="Z22" s="1618">
        <f aca="true" t="shared" si="12" ref="Z22:Z41">IF(F22="","",SUM(R22:X22)*IF(Y22="SI",1,2)*IF(AND(O22&lt;&gt;"--",N22="RF"),O22/100,1))</f>
        <v>4216.9248</v>
      </c>
      <c r="AA22" s="1556"/>
    </row>
    <row r="23" spans="2:27" s="1382" customFormat="1" ht="16.5" customHeight="1">
      <c r="B23" s="1554"/>
      <c r="C23" s="1465"/>
      <c r="D23" s="1465"/>
      <c r="E23" s="1465"/>
      <c r="F23" s="2042"/>
      <c r="G23" s="1608"/>
      <c r="H23" s="2368"/>
      <c r="I23" s="1485">
        <f t="shared" si="0"/>
        <v>0</v>
      </c>
      <c r="J23" s="1611"/>
      <c r="K23" s="2005"/>
      <c r="L23" s="1613">
        <f t="shared" si="1"/>
      </c>
      <c r="M23" s="1614">
        <f t="shared" si="2"/>
      </c>
      <c r="N23" s="1615"/>
      <c r="O23" s="2369"/>
      <c r="P23" s="1492">
        <f t="shared" si="3"/>
      </c>
      <c r="Q23" s="2043">
        <f t="shared" si="4"/>
        <v>20</v>
      </c>
      <c r="R23" s="2044" t="str">
        <f t="shared" si="5"/>
        <v>--</v>
      </c>
      <c r="S23" s="2037" t="str">
        <f t="shared" si="6"/>
        <v>--</v>
      </c>
      <c r="T23" s="2038" t="str">
        <f t="shared" si="7"/>
        <v>--</v>
      </c>
      <c r="U23" s="1498" t="str">
        <f t="shared" si="8"/>
        <v>--</v>
      </c>
      <c r="V23" s="1499" t="str">
        <f t="shared" si="9"/>
        <v>--</v>
      </c>
      <c r="W23" s="2039" t="str">
        <f t="shared" si="10"/>
        <v>--</v>
      </c>
      <c r="X23" s="1495" t="str">
        <f t="shared" si="11"/>
        <v>--</v>
      </c>
      <c r="Y23" s="1492">
        <f aca="true" t="shared" si="13" ref="Y23:Y41">IF(F23="","","SI")</f>
      </c>
      <c r="Z23" s="1618">
        <f t="shared" si="12"/>
      </c>
      <c r="AA23" s="1556"/>
    </row>
    <row r="24" spans="2:27" s="1382" customFormat="1" ht="16.5" customHeight="1">
      <c r="B24" s="1554"/>
      <c r="C24" s="1465"/>
      <c r="D24" s="1465"/>
      <c r="E24" s="1480"/>
      <c r="F24" s="2042"/>
      <c r="G24" s="1608"/>
      <c r="H24" s="2368"/>
      <c r="I24" s="1485">
        <f t="shared" si="0"/>
        <v>0</v>
      </c>
      <c r="J24" s="1611"/>
      <c r="K24" s="2005"/>
      <c r="L24" s="1613">
        <f t="shared" si="1"/>
      </c>
      <c r="M24" s="1614">
        <f t="shared" si="2"/>
      </c>
      <c r="N24" s="1615"/>
      <c r="O24" s="1490">
        <f aca="true" t="shared" si="14" ref="O24:O41">IF(F24="","","--")</f>
      </c>
      <c r="P24" s="1492">
        <f t="shared" si="3"/>
      </c>
      <c r="Q24" s="2043">
        <f t="shared" si="4"/>
        <v>20</v>
      </c>
      <c r="R24" s="2044" t="str">
        <f t="shared" si="5"/>
        <v>--</v>
      </c>
      <c r="S24" s="2037" t="str">
        <f t="shared" si="6"/>
        <v>--</v>
      </c>
      <c r="T24" s="2038" t="str">
        <f t="shared" si="7"/>
        <v>--</v>
      </c>
      <c r="U24" s="1498" t="str">
        <f t="shared" si="8"/>
        <v>--</v>
      </c>
      <c r="V24" s="1499" t="str">
        <f t="shared" si="9"/>
        <v>--</v>
      </c>
      <c r="W24" s="2039" t="str">
        <f t="shared" si="10"/>
        <v>--</v>
      </c>
      <c r="X24" s="1495" t="str">
        <f t="shared" si="11"/>
        <v>--</v>
      </c>
      <c r="Y24" s="1492">
        <f t="shared" si="13"/>
      </c>
      <c r="Z24" s="1618">
        <f t="shared" si="12"/>
      </c>
      <c r="AA24" s="1556"/>
    </row>
    <row r="25" spans="2:27" s="1382" customFormat="1" ht="16.5" customHeight="1">
      <c r="B25" s="1554"/>
      <c r="C25" s="1465"/>
      <c r="D25" s="1465"/>
      <c r="E25" s="1465"/>
      <c r="F25" s="2042"/>
      <c r="G25" s="1608"/>
      <c r="H25" s="2368"/>
      <c r="I25" s="1485">
        <f t="shared" si="0"/>
        <v>0</v>
      </c>
      <c r="J25" s="1611"/>
      <c r="K25" s="2005"/>
      <c r="L25" s="1613">
        <f t="shared" si="1"/>
      </c>
      <c r="M25" s="1614">
        <f t="shared" si="2"/>
      </c>
      <c r="N25" s="1615"/>
      <c r="O25" s="1490">
        <f t="shared" si="14"/>
      </c>
      <c r="P25" s="1492">
        <f t="shared" si="3"/>
      </c>
      <c r="Q25" s="2043">
        <f t="shared" si="4"/>
        <v>20</v>
      </c>
      <c r="R25" s="2044" t="str">
        <f t="shared" si="5"/>
        <v>--</v>
      </c>
      <c r="S25" s="2037" t="str">
        <f t="shared" si="6"/>
        <v>--</v>
      </c>
      <c r="T25" s="2038" t="str">
        <f t="shared" si="7"/>
        <v>--</v>
      </c>
      <c r="U25" s="1498" t="str">
        <f t="shared" si="8"/>
        <v>--</v>
      </c>
      <c r="V25" s="1499" t="str">
        <f t="shared" si="9"/>
        <v>--</v>
      </c>
      <c r="W25" s="2039" t="str">
        <f t="shared" si="10"/>
        <v>--</v>
      </c>
      <c r="X25" s="1495" t="str">
        <f t="shared" si="11"/>
        <v>--</v>
      </c>
      <c r="Y25" s="1492">
        <f t="shared" si="13"/>
      </c>
      <c r="Z25" s="1618">
        <f t="shared" si="12"/>
      </c>
      <c r="AA25" s="2370"/>
    </row>
    <row r="26" spans="2:27" s="1382" customFormat="1" ht="16.5" customHeight="1">
      <c r="B26" s="1554"/>
      <c r="C26" s="1465"/>
      <c r="D26" s="1465"/>
      <c r="E26" s="1480"/>
      <c r="F26" s="2042"/>
      <c r="G26" s="1608"/>
      <c r="H26" s="2368"/>
      <c r="I26" s="1485">
        <f t="shared" si="0"/>
        <v>0</v>
      </c>
      <c r="J26" s="1611"/>
      <c r="K26" s="2005"/>
      <c r="L26" s="1613">
        <f t="shared" si="1"/>
      </c>
      <c r="M26" s="1614">
        <f t="shared" si="2"/>
      </c>
      <c r="N26" s="1615"/>
      <c r="O26" s="1490">
        <f t="shared" si="14"/>
      </c>
      <c r="P26" s="1492">
        <f t="shared" si="3"/>
      </c>
      <c r="Q26" s="2043">
        <f t="shared" si="4"/>
        <v>20</v>
      </c>
      <c r="R26" s="2044" t="str">
        <f t="shared" si="5"/>
        <v>--</v>
      </c>
      <c r="S26" s="2037" t="str">
        <f t="shared" si="6"/>
        <v>--</v>
      </c>
      <c r="T26" s="2038" t="str">
        <f t="shared" si="7"/>
        <v>--</v>
      </c>
      <c r="U26" s="1498" t="str">
        <f t="shared" si="8"/>
        <v>--</v>
      </c>
      <c r="V26" s="1499" t="str">
        <f t="shared" si="9"/>
        <v>--</v>
      </c>
      <c r="W26" s="2039" t="str">
        <f t="shared" si="10"/>
        <v>--</v>
      </c>
      <c r="X26" s="1495" t="str">
        <f t="shared" si="11"/>
        <v>--</v>
      </c>
      <c r="Y26" s="1492">
        <f t="shared" si="13"/>
      </c>
      <c r="Z26" s="1618">
        <f t="shared" si="12"/>
      </c>
      <c r="AA26" s="2370"/>
    </row>
    <row r="27" spans="2:27" s="1382" customFormat="1" ht="16.5" customHeight="1">
      <c r="B27" s="1554"/>
      <c r="C27" s="1465"/>
      <c r="D27" s="1465"/>
      <c r="E27" s="1465"/>
      <c r="F27" s="2042"/>
      <c r="G27" s="1608"/>
      <c r="H27" s="2368"/>
      <c r="I27" s="1485">
        <f t="shared" si="0"/>
        <v>0</v>
      </c>
      <c r="J27" s="1611"/>
      <c r="K27" s="2005"/>
      <c r="L27" s="1613">
        <f t="shared" si="1"/>
      </c>
      <c r="M27" s="1614">
        <f t="shared" si="2"/>
      </c>
      <c r="N27" s="1615"/>
      <c r="O27" s="1490">
        <f t="shared" si="14"/>
      </c>
      <c r="P27" s="1492">
        <f t="shared" si="3"/>
      </c>
      <c r="Q27" s="2043">
        <f t="shared" si="4"/>
        <v>20</v>
      </c>
      <c r="R27" s="2044" t="str">
        <f t="shared" si="5"/>
        <v>--</v>
      </c>
      <c r="S27" s="2037" t="str">
        <f t="shared" si="6"/>
        <v>--</v>
      </c>
      <c r="T27" s="2038" t="str">
        <f t="shared" si="7"/>
        <v>--</v>
      </c>
      <c r="U27" s="1498" t="str">
        <f t="shared" si="8"/>
        <v>--</v>
      </c>
      <c r="V27" s="1499" t="str">
        <f t="shared" si="9"/>
        <v>--</v>
      </c>
      <c r="W27" s="2039" t="str">
        <f t="shared" si="10"/>
        <v>--</v>
      </c>
      <c r="X27" s="1495" t="str">
        <f t="shared" si="11"/>
        <v>--</v>
      </c>
      <c r="Y27" s="1492">
        <f t="shared" si="13"/>
      </c>
      <c r="Z27" s="1618">
        <f t="shared" si="12"/>
      </c>
      <c r="AA27" s="2370"/>
    </row>
    <row r="28" spans="2:27" s="1382" customFormat="1" ht="16.5" customHeight="1">
      <c r="B28" s="1554"/>
      <c r="C28" s="1465"/>
      <c r="D28" s="1465"/>
      <c r="E28" s="1480"/>
      <c r="F28" s="2042"/>
      <c r="G28" s="1608"/>
      <c r="H28" s="2368"/>
      <c r="I28" s="1485">
        <f t="shared" si="0"/>
        <v>0</v>
      </c>
      <c r="J28" s="1611"/>
      <c r="K28" s="2005"/>
      <c r="L28" s="1613">
        <f t="shared" si="1"/>
      </c>
      <c r="M28" s="1614">
        <f t="shared" si="2"/>
      </c>
      <c r="N28" s="1615"/>
      <c r="O28" s="1490">
        <f t="shared" si="14"/>
      </c>
      <c r="P28" s="1492">
        <f t="shared" si="3"/>
      </c>
      <c r="Q28" s="2043">
        <f t="shared" si="4"/>
        <v>20</v>
      </c>
      <c r="R28" s="2044" t="str">
        <f t="shared" si="5"/>
        <v>--</v>
      </c>
      <c r="S28" s="2037" t="str">
        <f t="shared" si="6"/>
        <v>--</v>
      </c>
      <c r="T28" s="2038" t="str">
        <f t="shared" si="7"/>
        <v>--</v>
      </c>
      <c r="U28" s="1498" t="str">
        <f t="shared" si="8"/>
        <v>--</v>
      </c>
      <c r="V28" s="1499" t="str">
        <f t="shared" si="9"/>
        <v>--</v>
      </c>
      <c r="W28" s="2039" t="str">
        <f t="shared" si="10"/>
        <v>--</v>
      </c>
      <c r="X28" s="1495" t="str">
        <f t="shared" si="11"/>
        <v>--</v>
      </c>
      <c r="Y28" s="1492">
        <f t="shared" si="13"/>
      </c>
      <c r="Z28" s="1618">
        <f t="shared" si="12"/>
      </c>
      <c r="AA28" s="2370"/>
    </row>
    <row r="29" spans="2:27" s="1382" customFormat="1" ht="16.5" customHeight="1">
      <c r="B29" s="1554"/>
      <c r="C29" s="1465"/>
      <c r="D29" s="1465"/>
      <c r="E29" s="1465"/>
      <c r="F29" s="2042"/>
      <c r="G29" s="1608"/>
      <c r="H29" s="2368"/>
      <c r="I29" s="1485">
        <f t="shared" si="0"/>
        <v>0</v>
      </c>
      <c r="J29" s="1611"/>
      <c r="K29" s="2005"/>
      <c r="L29" s="1613">
        <f t="shared" si="1"/>
      </c>
      <c r="M29" s="1614">
        <f t="shared" si="2"/>
      </c>
      <c r="N29" s="1615"/>
      <c r="O29" s="1490">
        <f t="shared" si="14"/>
      </c>
      <c r="P29" s="1492">
        <f t="shared" si="3"/>
      </c>
      <c r="Q29" s="2043">
        <f t="shared" si="4"/>
        <v>20</v>
      </c>
      <c r="R29" s="2044" t="str">
        <f t="shared" si="5"/>
        <v>--</v>
      </c>
      <c r="S29" s="2037" t="str">
        <f t="shared" si="6"/>
        <v>--</v>
      </c>
      <c r="T29" s="2038" t="str">
        <f t="shared" si="7"/>
        <v>--</v>
      </c>
      <c r="U29" s="1498" t="str">
        <f t="shared" si="8"/>
        <v>--</v>
      </c>
      <c r="V29" s="1499" t="str">
        <f t="shared" si="9"/>
        <v>--</v>
      </c>
      <c r="W29" s="2039" t="str">
        <f t="shared" si="10"/>
        <v>--</v>
      </c>
      <c r="X29" s="1495" t="str">
        <f t="shared" si="11"/>
        <v>--</v>
      </c>
      <c r="Y29" s="1492">
        <f t="shared" si="13"/>
      </c>
      <c r="Z29" s="1618">
        <f t="shared" si="12"/>
      </c>
      <c r="AA29" s="2370"/>
    </row>
    <row r="30" spans="2:27" s="1382" customFormat="1" ht="16.5" customHeight="1">
      <c r="B30" s="1554"/>
      <c r="C30" s="1465"/>
      <c r="D30" s="1465"/>
      <c r="E30" s="1480"/>
      <c r="F30" s="2042"/>
      <c r="G30" s="1608"/>
      <c r="H30" s="2368"/>
      <c r="I30" s="1485">
        <f t="shared" si="0"/>
        <v>0</v>
      </c>
      <c r="J30" s="1611"/>
      <c r="K30" s="2005"/>
      <c r="L30" s="1613">
        <f t="shared" si="1"/>
      </c>
      <c r="M30" s="1614">
        <f t="shared" si="2"/>
      </c>
      <c r="N30" s="1615"/>
      <c r="O30" s="1490">
        <f t="shared" si="14"/>
      </c>
      <c r="P30" s="1492">
        <f t="shared" si="3"/>
      </c>
      <c r="Q30" s="2043">
        <f t="shared" si="4"/>
        <v>20</v>
      </c>
      <c r="R30" s="2044" t="str">
        <f t="shared" si="5"/>
        <v>--</v>
      </c>
      <c r="S30" s="2037" t="str">
        <f t="shared" si="6"/>
        <v>--</v>
      </c>
      <c r="T30" s="2038" t="str">
        <f t="shared" si="7"/>
        <v>--</v>
      </c>
      <c r="U30" s="1498" t="str">
        <f t="shared" si="8"/>
        <v>--</v>
      </c>
      <c r="V30" s="1499" t="str">
        <f t="shared" si="9"/>
        <v>--</v>
      </c>
      <c r="W30" s="2039" t="str">
        <f t="shared" si="10"/>
        <v>--</v>
      </c>
      <c r="X30" s="1495" t="str">
        <f t="shared" si="11"/>
        <v>--</v>
      </c>
      <c r="Y30" s="1492">
        <f t="shared" si="13"/>
      </c>
      <c r="Z30" s="1618">
        <f t="shared" si="12"/>
      </c>
      <c r="AA30" s="2370"/>
    </row>
    <row r="31" spans="2:27" s="1382" customFormat="1" ht="16.5" customHeight="1">
      <c r="B31" s="1554"/>
      <c r="C31" s="1465"/>
      <c r="D31" s="1465"/>
      <c r="E31" s="1465"/>
      <c r="F31" s="2042"/>
      <c r="G31" s="1608"/>
      <c r="H31" s="2368"/>
      <c r="I31" s="1485">
        <f t="shared" si="0"/>
        <v>0</v>
      </c>
      <c r="J31" s="1611"/>
      <c r="K31" s="2005"/>
      <c r="L31" s="1613">
        <f t="shared" si="1"/>
      </c>
      <c r="M31" s="1614">
        <f t="shared" si="2"/>
      </c>
      <c r="N31" s="1615"/>
      <c r="O31" s="1490">
        <f t="shared" si="14"/>
      </c>
      <c r="P31" s="1492">
        <f t="shared" si="3"/>
      </c>
      <c r="Q31" s="2043">
        <f t="shared" si="4"/>
        <v>20</v>
      </c>
      <c r="R31" s="2044" t="str">
        <f t="shared" si="5"/>
        <v>--</v>
      </c>
      <c r="S31" s="2037" t="str">
        <f t="shared" si="6"/>
        <v>--</v>
      </c>
      <c r="T31" s="2038" t="str">
        <f t="shared" si="7"/>
        <v>--</v>
      </c>
      <c r="U31" s="1498" t="str">
        <f t="shared" si="8"/>
        <v>--</v>
      </c>
      <c r="V31" s="1499" t="str">
        <f t="shared" si="9"/>
        <v>--</v>
      </c>
      <c r="W31" s="2039" t="str">
        <f t="shared" si="10"/>
        <v>--</v>
      </c>
      <c r="X31" s="1495" t="str">
        <f t="shared" si="11"/>
        <v>--</v>
      </c>
      <c r="Y31" s="1492">
        <f t="shared" si="13"/>
      </c>
      <c r="Z31" s="1618">
        <f t="shared" si="12"/>
      </c>
      <c r="AA31" s="1556"/>
    </row>
    <row r="32" spans="2:27" s="1382" customFormat="1" ht="16.5" customHeight="1">
      <c r="B32" s="1554"/>
      <c r="C32" s="1465"/>
      <c r="D32" s="1465"/>
      <c r="E32" s="1480"/>
      <c r="F32" s="2042"/>
      <c r="G32" s="1608"/>
      <c r="H32" s="2368"/>
      <c r="I32" s="1485">
        <f t="shared" si="0"/>
        <v>0</v>
      </c>
      <c r="J32" s="1611"/>
      <c r="K32" s="2005"/>
      <c r="L32" s="1613">
        <f t="shared" si="1"/>
      </c>
      <c r="M32" s="1614">
        <f t="shared" si="2"/>
      </c>
      <c r="N32" s="1615"/>
      <c r="O32" s="1490">
        <f t="shared" si="14"/>
      </c>
      <c r="P32" s="1492">
        <f t="shared" si="3"/>
      </c>
      <c r="Q32" s="2043">
        <f t="shared" si="4"/>
        <v>20</v>
      </c>
      <c r="R32" s="2044" t="str">
        <f t="shared" si="5"/>
        <v>--</v>
      </c>
      <c r="S32" s="2037" t="str">
        <f t="shared" si="6"/>
        <v>--</v>
      </c>
      <c r="T32" s="2038" t="str">
        <f t="shared" si="7"/>
        <v>--</v>
      </c>
      <c r="U32" s="1498" t="str">
        <f t="shared" si="8"/>
        <v>--</v>
      </c>
      <c r="V32" s="1499" t="str">
        <f t="shared" si="9"/>
        <v>--</v>
      </c>
      <c r="W32" s="2039" t="str">
        <f t="shared" si="10"/>
        <v>--</v>
      </c>
      <c r="X32" s="1495" t="str">
        <f t="shared" si="11"/>
        <v>--</v>
      </c>
      <c r="Y32" s="1492">
        <f t="shared" si="13"/>
      </c>
      <c r="Z32" s="1618">
        <f t="shared" si="12"/>
      </c>
      <c r="AA32" s="1556"/>
    </row>
    <row r="33" spans="2:27" s="1382" customFormat="1" ht="16.5" customHeight="1">
      <c r="B33" s="1554"/>
      <c r="C33" s="1465"/>
      <c r="D33" s="1465"/>
      <c r="E33" s="1465"/>
      <c r="F33" s="2042"/>
      <c r="G33" s="1608"/>
      <c r="H33" s="2368"/>
      <c r="I33" s="1485">
        <f t="shared" si="0"/>
        <v>0</v>
      </c>
      <c r="J33" s="1611"/>
      <c r="K33" s="2005"/>
      <c r="L33" s="1613">
        <f t="shared" si="1"/>
      </c>
      <c r="M33" s="1614">
        <f t="shared" si="2"/>
      </c>
      <c r="N33" s="1615"/>
      <c r="O33" s="1490">
        <f t="shared" si="14"/>
      </c>
      <c r="P33" s="1492">
        <f t="shared" si="3"/>
      </c>
      <c r="Q33" s="2043">
        <f t="shared" si="4"/>
        <v>20</v>
      </c>
      <c r="R33" s="2044" t="str">
        <f t="shared" si="5"/>
        <v>--</v>
      </c>
      <c r="S33" s="2037" t="str">
        <f t="shared" si="6"/>
        <v>--</v>
      </c>
      <c r="T33" s="2038" t="str">
        <f t="shared" si="7"/>
        <v>--</v>
      </c>
      <c r="U33" s="1498" t="str">
        <f t="shared" si="8"/>
        <v>--</v>
      </c>
      <c r="V33" s="1499" t="str">
        <f t="shared" si="9"/>
        <v>--</v>
      </c>
      <c r="W33" s="2039" t="str">
        <f t="shared" si="10"/>
        <v>--</v>
      </c>
      <c r="X33" s="1495" t="str">
        <f t="shared" si="11"/>
        <v>--</v>
      </c>
      <c r="Y33" s="1492">
        <f t="shared" si="13"/>
      </c>
      <c r="Z33" s="1618">
        <f t="shared" si="12"/>
      </c>
      <c r="AA33" s="1556"/>
    </row>
    <row r="34" spans="2:27" s="1382" customFormat="1" ht="16.5" customHeight="1">
      <c r="B34" s="1554"/>
      <c r="C34" s="1465"/>
      <c r="D34" s="1465"/>
      <c r="E34" s="1480"/>
      <c r="F34" s="2042"/>
      <c r="G34" s="1608"/>
      <c r="H34" s="2368"/>
      <c r="I34" s="1485">
        <f t="shared" si="0"/>
        <v>0</v>
      </c>
      <c r="J34" s="1611"/>
      <c r="K34" s="2005"/>
      <c r="L34" s="1613">
        <f t="shared" si="1"/>
      </c>
      <c r="M34" s="1614">
        <f t="shared" si="2"/>
      </c>
      <c r="N34" s="1615"/>
      <c r="O34" s="1490">
        <f t="shared" si="14"/>
      </c>
      <c r="P34" s="1492">
        <f t="shared" si="3"/>
      </c>
      <c r="Q34" s="2043">
        <f t="shared" si="4"/>
        <v>20</v>
      </c>
      <c r="R34" s="2044" t="str">
        <f t="shared" si="5"/>
        <v>--</v>
      </c>
      <c r="S34" s="2037" t="str">
        <f t="shared" si="6"/>
        <v>--</v>
      </c>
      <c r="T34" s="2038" t="str">
        <f t="shared" si="7"/>
        <v>--</v>
      </c>
      <c r="U34" s="1498" t="str">
        <f t="shared" si="8"/>
        <v>--</v>
      </c>
      <c r="V34" s="1499" t="str">
        <f t="shared" si="9"/>
        <v>--</v>
      </c>
      <c r="W34" s="2039" t="str">
        <f t="shared" si="10"/>
        <v>--</v>
      </c>
      <c r="X34" s="1495" t="str">
        <f t="shared" si="11"/>
        <v>--</v>
      </c>
      <c r="Y34" s="1492">
        <f t="shared" si="13"/>
      </c>
      <c r="Z34" s="1618">
        <f t="shared" si="12"/>
      </c>
      <c r="AA34" s="1556"/>
    </row>
    <row r="35" spans="2:27" s="1382" customFormat="1" ht="16.5" customHeight="1">
      <c r="B35" s="1554"/>
      <c r="C35" s="1465"/>
      <c r="D35" s="1465"/>
      <c r="E35" s="1465"/>
      <c r="F35" s="2042"/>
      <c r="G35" s="1608"/>
      <c r="H35" s="2368"/>
      <c r="I35" s="1485">
        <f t="shared" si="0"/>
        <v>0</v>
      </c>
      <c r="J35" s="1611"/>
      <c r="K35" s="2005"/>
      <c r="L35" s="1613">
        <f t="shared" si="1"/>
      </c>
      <c r="M35" s="1614">
        <f t="shared" si="2"/>
      </c>
      <c r="N35" s="1615"/>
      <c r="O35" s="1490">
        <f t="shared" si="14"/>
      </c>
      <c r="P35" s="1492">
        <f t="shared" si="3"/>
      </c>
      <c r="Q35" s="2043">
        <f t="shared" si="4"/>
        <v>20</v>
      </c>
      <c r="R35" s="2044" t="str">
        <f t="shared" si="5"/>
        <v>--</v>
      </c>
      <c r="S35" s="2037" t="str">
        <f t="shared" si="6"/>
        <v>--</v>
      </c>
      <c r="T35" s="2038" t="str">
        <f t="shared" si="7"/>
        <v>--</v>
      </c>
      <c r="U35" s="1498" t="str">
        <f t="shared" si="8"/>
        <v>--</v>
      </c>
      <c r="V35" s="1499" t="str">
        <f t="shared" si="9"/>
        <v>--</v>
      </c>
      <c r="W35" s="2039" t="str">
        <f t="shared" si="10"/>
        <v>--</v>
      </c>
      <c r="X35" s="1495" t="str">
        <f t="shared" si="11"/>
        <v>--</v>
      </c>
      <c r="Y35" s="1492">
        <f t="shared" si="13"/>
      </c>
      <c r="Z35" s="1618">
        <f t="shared" si="12"/>
      </c>
      <c r="AA35" s="1556"/>
    </row>
    <row r="36" spans="2:27" s="1382" customFormat="1" ht="16.5" customHeight="1">
      <c r="B36" s="1554"/>
      <c r="C36" s="1465"/>
      <c r="D36" s="1465"/>
      <c r="E36" s="1480"/>
      <c r="F36" s="2042"/>
      <c r="G36" s="1608"/>
      <c r="H36" s="2368"/>
      <c r="I36" s="1485">
        <f t="shared" si="0"/>
        <v>0</v>
      </c>
      <c r="J36" s="1611"/>
      <c r="K36" s="2005"/>
      <c r="L36" s="1613">
        <f t="shared" si="1"/>
      </c>
      <c r="M36" s="1614">
        <f t="shared" si="2"/>
      </c>
      <c r="N36" s="1615"/>
      <c r="O36" s="1490">
        <f t="shared" si="14"/>
      </c>
      <c r="P36" s="1492">
        <f t="shared" si="3"/>
      </c>
      <c r="Q36" s="2043">
        <f t="shared" si="4"/>
        <v>20</v>
      </c>
      <c r="R36" s="2044" t="str">
        <f t="shared" si="5"/>
        <v>--</v>
      </c>
      <c r="S36" s="2037" t="str">
        <f t="shared" si="6"/>
        <v>--</v>
      </c>
      <c r="T36" s="2038" t="str">
        <f t="shared" si="7"/>
        <v>--</v>
      </c>
      <c r="U36" s="1498" t="str">
        <f t="shared" si="8"/>
        <v>--</v>
      </c>
      <c r="V36" s="1499" t="str">
        <f t="shared" si="9"/>
        <v>--</v>
      </c>
      <c r="W36" s="2039" t="str">
        <f t="shared" si="10"/>
        <v>--</v>
      </c>
      <c r="X36" s="1495" t="str">
        <f t="shared" si="11"/>
        <v>--</v>
      </c>
      <c r="Y36" s="1492">
        <f t="shared" si="13"/>
      </c>
      <c r="Z36" s="1618">
        <f t="shared" si="12"/>
      </c>
      <c r="AA36" s="1556"/>
    </row>
    <row r="37" spans="2:27" s="1382" customFormat="1" ht="16.5" customHeight="1">
      <c r="B37" s="1554"/>
      <c r="C37" s="1465"/>
      <c r="D37" s="1465"/>
      <c r="E37" s="1465"/>
      <c r="F37" s="2042"/>
      <c r="G37" s="1608"/>
      <c r="H37" s="2368"/>
      <c r="I37" s="1485">
        <f t="shared" si="0"/>
        <v>0</v>
      </c>
      <c r="J37" s="1611"/>
      <c r="K37" s="2005"/>
      <c r="L37" s="1613">
        <f t="shared" si="1"/>
      </c>
      <c r="M37" s="1614">
        <f t="shared" si="2"/>
      </c>
      <c r="N37" s="1615"/>
      <c r="O37" s="1490">
        <f t="shared" si="14"/>
      </c>
      <c r="P37" s="1492">
        <f t="shared" si="3"/>
      </c>
      <c r="Q37" s="2043">
        <f t="shared" si="4"/>
        <v>20</v>
      </c>
      <c r="R37" s="2044" t="str">
        <f t="shared" si="5"/>
        <v>--</v>
      </c>
      <c r="S37" s="2037" t="str">
        <f t="shared" si="6"/>
        <v>--</v>
      </c>
      <c r="T37" s="2038" t="str">
        <f t="shared" si="7"/>
        <v>--</v>
      </c>
      <c r="U37" s="1498" t="str">
        <f t="shared" si="8"/>
        <v>--</v>
      </c>
      <c r="V37" s="1499" t="str">
        <f t="shared" si="9"/>
        <v>--</v>
      </c>
      <c r="W37" s="2039" t="str">
        <f t="shared" si="10"/>
        <v>--</v>
      </c>
      <c r="X37" s="1495" t="str">
        <f t="shared" si="11"/>
        <v>--</v>
      </c>
      <c r="Y37" s="1492">
        <f t="shared" si="13"/>
      </c>
      <c r="Z37" s="1618">
        <f t="shared" si="12"/>
      </c>
      <c r="AA37" s="1556"/>
    </row>
    <row r="38" spans="2:27" s="1382" customFormat="1" ht="16.5" customHeight="1">
      <c r="B38" s="1554"/>
      <c r="C38" s="1465"/>
      <c r="D38" s="1465"/>
      <c r="E38" s="1480"/>
      <c r="F38" s="2042"/>
      <c r="G38" s="1608"/>
      <c r="H38" s="2368"/>
      <c r="I38" s="1485">
        <f t="shared" si="0"/>
        <v>0</v>
      </c>
      <c r="J38" s="1611"/>
      <c r="K38" s="2005"/>
      <c r="L38" s="1613">
        <f t="shared" si="1"/>
      </c>
      <c r="M38" s="1614">
        <f t="shared" si="2"/>
      </c>
      <c r="N38" s="1615"/>
      <c r="O38" s="1490">
        <f t="shared" si="14"/>
      </c>
      <c r="P38" s="1492">
        <f t="shared" si="3"/>
      </c>
      <c r="Q38" s="2043">
        <f t="shared" si="4"/>
        <v>20</v>
      </c>
      <c r="R38" s="2044" t="str">
        <f t="shared" si="5"/>
        <v>--</v>
      </c>
      <c r="S38" s="2037" t="str">
        <f t="shared" si="6"/>
        <v>--</v>
      </c>
      <c r="T38" s="2038" t="str">
        <f t="shared" si="7"/>
        <v>--</v>
      </c>
      <c r="U38" s="1498" t="str">
        <f t="shared" si="8"/>
        <v>--</v>
      </c>
      <c r="V38" s="1499" t="str">
        <f t="shared" si="9"/>
        <v>--</v>
      </c>
      <c r="W38" s="2039" t="str">
        <f t="shared" si="10"/>
        <v>--</v>
      </c>
      <c r="X38" s="1495" t="str">
        <f t="shared" si="11"/>
        <v>--</v>
      </c>
      <c r="Y38" s="1492">
        <f t="shared" si="13"/>
      </c>
      <c r="Z38" s="1618">
        <f t="shared" si="12"/>
      </c>
      <c r="AA38" s="1556"/>
    </row>
    <row r="39" spans="2:27" s="1382" customFormat="1" ht="16.5" customHeight="1">
      <c r="B39" s="1554"/>
      <c r="C39" s="1465"/>
      <c r="D39" s="1465"/>
      <c r="E39" s="1465"/>
      <c r="F39" s="2042"/>
      <c r="G39" s="1608"/>
      <c r="H39" s="2368"/>
      <c r="I39" s="1485">
        <f t="shared" si="0"/>
        <v>0</v>
      </c>
      <c r="J39" s="1611"/>
      <c r="K39" s="2005"/>
      <c r="L39" s="1613">
        <f t="shared" si="1"/>
      </c>
      <c r="M39" s="1614">
        <f t="shared" si="2"/>
      </c>
      <c r="N39" s="1615"/>
      <c r="O39" s="1490">
        <f t="shared" si="14"/>
      </c>
      <c r="P39" s="1492">
        <f t="shared" si="3"/>
      </c>
      <c r="Q39" s="2043">
        <f t="shared" si="4"/>
        <v>20</v>
      </c>
      <c r="R39" s="2044" t="str">
        <f t="shared" si="5"/>
        <v>--</v>
      </c>
      <c r="S39" s="2037" t="str">
        <f t="shared" si="6"/>
        <v>--</v>
      </c>
      <c r="T39" s="2038" t="str">
        <f t="shared" si="7"/>
        <v>--</v>
      </c>
      <c r="U39" s="1498" t="str">
        <f t="shared" si="8"/>
        <v>--</v>
      </c>
      <c r="V39" s="1499" t="str">
        <f t="shared" si="9"/>
        <v>--</v>
      </c>
      <c r="W39" s="2039" t="str">
        <f t="shared" si="10"/>
        <v>--</v>
      </c>
      <c r="X39" s="1495" t="str">
        <f t="shared" si="11"/>
        <v>--</v>
      </c>
      <c r="Y39" s="1492">
        <f t="shared" si="13"/>
      </c>
      <c r="Z39" s="1618">
        <f t="shared" si="12"/>
      </c>
      <c r="AA39" s="1556"/>
    </row>
    <row r="40" spans="2:27" s="1382" customFormat="1" ht="16.5" customHeight="1">
      <c r="B40" s="1554"/>
      <c r="C40" s="1465"/>
      <c r="D40" s="1465"/>
      <c r="E40" s="1480"/>
      <c r="F40" s="2042"/>
      <c r="G40" s="1608"/>
      <c r="H40" s="2368"/>
      <c r="I40" s="1485">
        <f t="shared" si="0"/>
        <v>0</v>
      </c>
      <c r="J40" s="1611"/>
      <c r="K40" s="2005"/>
      <c r="L40" s="1613">
        <f t="shared" si="1"/>
      </c>
      <c r="M40" s="1614">
        <f t="shared" si="2"/>
      </c>
      <c r="N40" s="1615"/>
      <c r="O40" s="1490">
        <f t="shared" si="14"/>
      </c>
      <c r="P40" s="1492">
        <f t="shared" si="3"/>
      </c>
      <c r="Q40" s="2043">
        <f t="shared" si="4"/>
        <v>20</v>
      </c>
      <c r="R40" s="2044" t="str">
        <f t="shared" si="5"/>
        <v>--</v>
      </c>
      <c r="S40" s="2037" t="str">
        <f t="shared" si="6"/>
        <v>--</v>
      </c>
      <c r="T40" s="2038" t="str">
        <f t="shared" si="7"/>
        <v>--</v>
      </c>
      <c r="U40" s="1498" t="str">
        <f t="shared" si="8"/>
        <v>--</v>
      </c>
      <c r="V40" s="1499" t="str">
        <f t="shared" si="9"/>
        <v>--</v>
      </c>
      <c r="W40" s="2039" t="str">
        <f t="shared" si="10"/>
        <v>--</v>
      </c>
      <c r="X40" s="1495" t="str">
        <f t="shared" si="11"/>
        <v>--</v>
      </c>
      <c r="Y40" s="1492">
        <f t="shared" si="13"/>
      </c>
      <c r="Z40" s="1618">
        <f t="shared" si="12"/>
      </c>
      <c r="AA40" s="1556"/>
    </row>
    <row r="41" spans="2:27" s="1382" customFormat="1" ht="16.5" customHeight="1">
      <c r="B41" s="1554"/>
      <c r="C41" s="1465"/>
      <c r="D41" s="1465"/>
      <c r="E41" s="1465"/>
      <c r="F41" s="2042"/>
      <c r="G41" s="1608"/>
      <c r="H41" s="2368"/>
      <c r="I41" s="1485">
        <f t="shared" si="0"/>
        <v>0</v>
      </c>
      <c r="J41" s="1611"/>
      <c r="K41" s="2005"/>
      <c r="L41" s="1613">
        <f t="shared" si="1"/>
      </c>
      <c r="M41" s="1614">
        <f t="shared" si="2"/>
      </c>
      <c r="N41" s="1615"/>
      <c r="O41" s="1490">
        <f t="shared" si="14"/>
      </c>
      <c r="P41" s="1492">
        <f t="shared" si="3"/>
      </c>
      <c r="Q41" s="2043">
        <f t="shared" si="4"/>
        <v>20</v>
      </c>
      <c r="R41" s="2044" t="str">
        <f t="shared" si="5"/>
        <v>--</v>
      </c>
      <c r="S41" s="2037" t="str">
        <f t="shared" si="6"/>
        <v>--</v>
      </c>
      <c r="T41" s="2038" t="str">
        <f t="shared" si="7"/>
        <v>--</v>
      </c>
      <c r="U41" s="1498" t="str">
        <f t="shared" si="8"/>
        <v>--</v>
      </c>
      <c r="V41" s="1499" t="str">
        <f t="shared" si="9"/>
        <v>--</v>
      </c>
      <c r="W41" s="2039" t="str">
        <f t="shared" si="10"/>
        <v>--</v>
      </c>
      <c r="X41" s="1495" t="str">
        <f t="shared" si="11"/>
        <v>--</v>
      </c>
      <c r="Y41" s="1492">
        <f t="shared" si="13"/>
      </c>
      <c r="Z41" s="1618">
        <f t="shared" si="12"/>
      </c>
      <c r="AA41" s="1556"/>
    </row>
    <row r="42" spans="2:27" s="1382" customFormat="1" ht="16.5" customHeight="1" thickBot="1">
      <c r="B42" s="1554"/>
      <c r="C42" s="2371"/>
      <c r="D42" s="2371"/>
      <c r="E42" s="2371"/>
      <c r="F42" s="2371"/>
      <c r="G42" s="2371"/>
      <c r="H42" s="2371"/>
      <c r="I42" s="1508"/>
      <c r="J42" s="1620"/>
      <c r="K42" s="1620"/>
      <c r="L42" s="1621"/>
      <c r="M42" s="1621"/>
      <c r="N42" s="1620"/>
      <c r="O42" s="1514"/>
      <c r="P42" s="1622"/>
      <c r="Q42" s="2372"/>
      <c r="R42" s="2373"/>
      <c r="S42" s="2374"/>
      <c r="T42" s="2375"/>
      <c r="U42" s="2376"/>
      <c r="V42" s="2377"/>
      <c r="W42" s="2378"/>
      <c r="X42" s="2378"/>
      <c r="Y42" s="1622"/>
      <c r="Z42" s="2379"/>
      <c r="AA42" s="1556"/>
    </row>
    <row r="43" spans="2:27" s="1382" customFormat="1" ht="16.5" customHeight="1" thickBot="1" thickTop="1">
      <c r="B43" s="1554"/>
      <c r="C43" s="1527" t="s">
        <v>317</v>
      </c>
      <c r="D43" s="2125" t="s">
        <v>420</v>
      </c>
      <c r="E43" s="1527"/>
      <c r="F43" s="1529"/>
      <c r="I43" s="1555"/>
      <c r="J43" s="1555"/>
      <c r="K43" s="1555"/>
      <c r="L43" s="1555"/>
      <c r="M43" s="1555"/>
      <c r="N43" s="1555"/>
      <c r="O43" s="1555"/>
      <c r="P43" s="1555"/>
      <c r="Q43" s="1555"/>
      <c r="R43" s="2380">
        <f aca="true" t="shared" si="15" ref="R43:X43">SUM(R20:R42)</f>
        <v>4216.9248</v>
      </c>
      <c r="S43" s="2381">
        <f t="shared" si="15"/>
        <v>0</v>
      </c>
      <c r="T43" s="2382">
        <f t="shared" si="15"/>
        <v>0</v>
      </c>
      <c r="U43" s="1534">
        <f t="shared" si="15"/>
        <v>0</v>
      </c>
      <c r="V43" s="1535">
        <f t="shared" si="15"/>
        <v>0</v>
      </c>
      <c r="W43" s="2383">
        <f t="shared" si="15"/>
        <v>0</v>
      </c>
      <c r="X43" s="2383">
        <f t="shared" si="15"/>
        <v>0</v>
      </c>
      <c r="Z43" s="1634">
        <f>ROUND(SUM(Z20:Z42),2)</f>
        <v>4216.92</v>
      </c>
      <c r="AA43" s="2384"/>
    </row>
    <row r="44" spans="2:27" s="1382" customFormat="1" ht="16.5" customHeight="1" thickBot="1" thickTop="1">
      <c r="B44" s="1635"/>
      <c r="C44" s="1636"/>
      <c r="D44" s="1636"/>
      <c r="E44" s="1636"/>
      <c r="F44" s="1636"/>
      <c r="G44" s="1636"/>
      <c r="H44" s="1636"/>
      <c r="I44" s="1636"/>
      <c r="J44" s="1636"/>
      <c r="K44" s="1636"/>
      <c r="L44" s="1636"/>
      <c r="M44" s="1636"/>
      <c r="N44" s="1636"/>
      <c r="O44" s="1636"/>
      <c r="P44" s="1636"/>
      <c r="Q44" s="1636"/>
      <c r="R44" s="1636"/>
      <c r="S44" s="1636"/>
      <c r="T44" s="1636"/>
      <c r="U44" s="1636"/>
      <c r="V44" s="1636"/>
      <c r="W44" s="1636"/>
      <c r="X44" s="1636"/>
      <c r="Y44" s="1636"/>
      <c r="Z44" s="1636"/>
      <c r="AA44" s="1637"/>
    </row>
    <row r="45" spans="6:29" ht="16.5" customHeight="1" thickTop="1">
      <c r="F45" s="2385"/>
      <c r="G45" s="2385"/>
      <c r="H45" s="2385"/>
      <c r="I45" s="2386"/>
      <c r="J45" s="2386"/>
      <c r="K45" s="2386"/>
      <c r="L45" s="2386"/>
      <c r="M45" s="2386"/>
      <c r="N45" s="2386"/>
      <c r="O45" s="2386"/>
      <c r="P45" s="2386"/>
      <c r="Q45" s="2386"/>
      <c r="R45" s="2386"/>
      <c r="S45" s="2386"/>
      <c r="T45" s="2386"/>
      <c r="U45" s="2386"/>
      <c r="V45" s="2386"/>
      <c r="W45" s="2386"/>
      <c r="X45" s="2386"/>
      <c r="Y45" s="2386"/>
      <c r="Z45" s="2386"/>
      <c r="AA45" s="2386"/>
      <c r="AB45" s="2386"/>
      <c r="AC45" s="2386"/>
    </row>
    <row r="46" spans="6:29" ht="16.5" customHeight="1">
      <c r="F46" s="2385"/>
      <c r="G46" s="2385"/>
      <c r="H46" s="2385"/>
      <c r="I46" s="2386"/>
      <c r="J46" s="2386"/>
      <c r="K46" s="2386"/>
      <c r="L46" s="2386"/>
      <c r="M46" s="2386"/>
      <c r="N46" s="2386"/>
      <c r="O46" s="2386"/>
      <c r="P46" s="2386"/>
      <c r="Q46" s="2386"/>
      <c r="R46" s="2386"/>
      <c r="S46" s="2386"/>
      <c r="T46" s="2386"/>
      <c r="U46" s="2386"/>
      <c r="V46" s="2386"/>
      <c r="W46" s="2386"/>
      <c r="X46" s="2386"/>
      <c r="Y46" s="2386"/>
      <c r="Z46" s="2386"/>
      <c r="AA46" s="2386"/>
      <c r="AB46" s="2386"/>
      <c r="AC46" s="2386"/>
    </row>
    <row r="47" spans="6:29" ht="16.5" customHeight="1">
      <c r="F47" s="2385"/>
      <c r="G47" s="2385"/>
      <c r="H47" s="2385"/>
      <c r="I47" s="2386"/>
      <c r="J47" s="2386"/>
      <c r="K47" s="2386"/>
      <c r="L47" s="2386"/>
      <c r="M47" s="2386"/>
      <c r="N47" s="2386"/>
      <c r="O47" s="2386"/>
      <c r="P47" s="2386"/>
      <c r="Q47" s="2386"/>
      <c r="R47" s="2386"/>
      <c r="S47" s="2386"/>
      <c r="T47" s="2386"/>
      <c r="U47" s="2386"/>
      <c r="V47" s="2386"/>
      <c r="W47" s="2386"/>
      <c r="X47" s="2386"/>
      <c r="Y47" s="2386"/>
      <c r="Z47" s="2386"/>
      <c r="AA47" s="2386"/>
      <c r="AB47" s="2386"/>
      <c r="AC47" s="2386"/>
    </row>
    <row r="48" spans="6:29" ht="16.5" customHeight="1">
      <c r="F48" s="2385"/>
      <c r="G48" s="2385"/>
      <c r="H48" s="2385"/>
      <c r="I48" s="2386"/>
      <c r="J48" s="2386"/>
      <c r="K48" s="2386"/>
      <c r="L48" s="2386"/>
      <c r="M48" s="2386"/>
      <c r="N48" s="2386"/>
      <c r="O48" s="2386"/>
      <c r="P48" s="2386"/>
      <c r="Q48" s="2386"/>
      <c r="R48" s="2386"/>
      <c r="S48" s="2386"/>
      <c r="T48" s="2386"/>
      <c r="U48" s="2386"/>
      <c r="V48" s="2386"/>
      <c r="W48" s="2386"/>
      <c r="X48" s="2386"/>
      <c r="Y48" s="2386"/>
      <c r="Z48" s="2386"/>
      <c r="AA48" s="2386"/>
      <c r="AB48" s="2386"/>
      <c r="AC48" s="2386"/>
    </row>
    <row r="49" spans="6:29" ht="16.5" customHeight="1">
      <c r="F49" s="2385"/>
      <c r="G49" s="2385"/>
      <c r="H49" s="2385"/>
      <c r="I49" s="2386"/>
      <c r="J49" s="2386"/>
      <c r="K49" s="2386"/>
      <c r="L49" s="2386"/>
      <c r="M49" s="2386"/>
      <c r="N49" s="2386"/>
      <c r="O49" s="2386"/>
      <c r="P49" s="2386"/>
      <c r="Q49" s="2386"/>
      <c r="R49" s="2386"/>
      <c r="S49" s="2386"/>
      <c r="T49" s="2386"/>
      <c r="U49" s="2386"/>
      <c r="V49" s="2386"/>
      <c r="W49" s="2386"/>
      <c r="X49" s="2386"/>
      <c r="Y49" s="2386"/>
      <c r="Z49" s="2386"/>
      <c r="AA49" s="2386"/>
      <c r="AB49" s="2386"/>
      <c r="AC49" s="2386"/>
    </row>
    <row r="50" spans="6:29" ht="16.5" customHeight="1">
      <c r="F50" s="2385"/>
      <c r="G50" s="2385"/>
      <c r="H50" s="2385"/>
      <c r="I50" s="2386"/>
      <c r="J50" s="2386"/>
      <c r="K50" s="2386"/>
      <c r="L50" s="2386"/>
      <c r="M50" s="2386"/>
      <c r="N50" s="2386"/>
      <c r="O50" s="2386"/>
      <c r="P50" s="2386"/>
      <c r="Q50" s="2386"/>
      <c r="R50" s="2386"/>
      <c r="S50" s="2386"/>
      <c r="T50" s="2386"/>
      <c r="U50" s="2386"/>
      <c r="V50" s="2386"/>
      <c r="W50" s="2386"/>
      <c r="X50" s="2386"/>
      <c r="Y50" s="2386"/>
      <c r="Z50" s="2386"/>
      <c r="AA50" s="2386"/>
      <c r="AB50" s="2386"/>
      <c r="AC50" s="2386"/>
    </row>
    <row r="51" spans="6:29" ht="16.5" customHeight="1">
      <c r="F51" s="2386"/>
      <c r="G51" s="2386"/>
      <c r="H51" s="2386"/>
      <c r="I51" s="2386"/>
      <c r="J51" s="2386"/>
      <c r="K51" s="2386"/>
      <c r="L51" s="2386"/>
      <c r="M51" s="2386"/>
      <c r="N51" s="2386"/>
      <c r="O51" s="2386"/>
      <c r="P51" s="2386"/>
      <c r="Q51" s="2386"/>
      <c r="R51" s="2386"/>
      <c r="S51" s="2386"/>
      <c r="T51" s="2386"/>
      <c r="U51" s="2386"/>
      <c r="V51" s="2386"/>
      <c r="W51" s="2386"/>
      <c r="X51" s="2386"/>
      <c r="Y51" s="2386"/>
      <c r="Z51" s="2386"/>
      <c r="AA51" s="2386"/>
      <c r="AB51" s="2386"/>
      <c r="AC51" s="2386"/>
    </row>
    <row r="52" spans="6:29" ht="16.5" customHeight="1">
      <c r="F52" s="2386"/>
      <c r="G52" s="2386"/>
      <c r="H52" s="2386"/>
      <c r="I52" s="2386"/>
      <c r="J52" s="2386"/>
      <c r="K52" s="2386"/>
      <c r="L52" s="2386"/>
      <c r="M52" s="2386"/>
      <c r="N52" s="2386"/>
      <c r="O52" s="2386"/>
      <c r="P52" s="2386"/>
      <c r="Q52" s="2386"/>
      <c r="R52" s="2386"/>
      <c r="S52" s="2386"/>
      <c r="T52" s="2386"/>
      <c r="U52" s="2386"/>
      <c r="V52" s="2386"/>
      <c r="W52" s="2386"/>
      <c r="X52" s="2386"/>
      <c r="Y52" s="2386"/>
      <c r="Z52" s="2386"/>
      <c r="AA52" s="2386"/>
      <c r="AB52" s="2386"/>
      <c r="AC52" s="2386"/>
    </row>
    <row r="53" spans="6:29" ht="16.5" customHeight="1">
      <c r="F53" s="2386"/>
      <c r="G53" s="2386"/>
      <c r="H53" s="2386"/>
      <c r="I53" s="2386"/>
      <c r="J53" s="2386"/>
      <c r="K53" s="2386"/>
      <c r="L53" s="2386"/>
      <c r="M53" s="2386"/>
      <c r="N53" s="2386"/>
      <c r="O53" s="2386"/>
      <c r="P53" s="2386"/>
      <c r="Q53" s="2386"/>
      <c r="R53" s="2386"/>
      <c r="S53" s="2386"/>
      <c r="T53" s="2386"/>
      <c r="U53" s="2386"/>
      <c r="V53" s="2386"/>
      <c r="W53" s="2386"/>
      <c r="X53" s="2386"/>
      <c r="Y53" s="2386"/>
      <c r="Z53" s="2386"/>
      <c r="AA53" s="2386"/>
      <c r="AB53" s="2386"/>
      <c r="AC53" s="2386"/>
    </row>
    <row r="54" spans="6:29" ht="16.5" customHeight="1">
      <c r="F54" s="2386"/>
      <c r="G54" s="2386"/>
      <c r="H54" s="2386"/>
      <c r="I54" s="2386"/>
      <c r="J54" s="2386"/>
      <c r="K54" s="2386"/>
      <c r="L54" s="2386"/>
      <c r="M54" s="2386"/>
      <c r="N54" s="2386"/>
      <c r="O54" s="2386"/>
      <c r="P54" s="2386"/>
      <c r="Q54" s="2386"/>
      <c r="R54" s="2386"/>
      <c r="S54" s="2386"/>
      <c r="T54" s="2386"/>
      <c r="U54" s="2386"/>
      <c r="V54" s="2386"/>
      <c r="W54" s="2386"/>
      <c r="X54" s="2386"/>
      <c r="Y54" s="2386"/>
      <c r="Z54" s="2386"/>
      <c r="AA54" s="2386"/>
      <c r="AB54" s="2386"/>
      <c r="AC54" s="2386"/>
    </row>
    <row r="55" spans="6:29" ht="16.5" customHeight="1">
      <c r="F55" s="2386"/>
      <c r="G55" s="2386"/>
      <c r="H55" s="2386"/>
      <c r="I55" s="2386"/>
      <c r="J55" s="2386"/>
      <c r="K55" s="2386"/>
      <c r="L55" s="2386"/>
      <c r="M55" s="2386"/>
      <c r="N55" s="2386"/>
      <c r="O55" s="2386"/>
      <c r="P55" s="2386"/>
      <c r="Q55" s="2386"/>
      <c r="R55" s="2386"/>
      <c r="S55" s="2386"/>
      <c r="T55" s="2386"/>
      <c r="U55" s="2386"/>
      <c r="V55" s="2386"/>
      <c r="W55" s="2386"/>
      <c r="X55" s="2386"/>
      <c r="Y55" s="2386"/>
      <c r="Z55" s="2386"/>
      <c r="AA55" s="2386"/>
      <c r="AB55" s="2386"/>
      <c r="AC55" s="2386"/>
    </row>
    <row r="56" spans="6:29" ht="16.5" customHeight="1">
      <c r="F56" s="2386"/>
      <c r="G56" s="2386"/>
      <c r="H56" s="2386"/>
      <c r="I56" s="2386"/>
      <c r="J56" s="2386"/>
      <c r="K56" s="2386"/>
      <c r="L56" s="2386"/>
      <c r="M56" s="2386"/>
      <c r="N56" s="2386"/>
      <c r="O56" s="2386"/>
      <c r="P56" s="2386"/>
      <c r="Q56" s="2386"/>
      <c r="R56" s="2386"/>
      <c r="S56" s="2386"/>
      <c r="T56" s="2386"/>
      <c r="U56" s="2386"/>
      <c r="V56" s="2386"/>
      <c r="W56" s="2386"/>
      <c r="X56" s="2386"/>
      <c r="Y56" s="2386"/>
      <c r="Z56" s="2386"/>
      <c r="AA56" s="2386"/>
      <c r="AB56" s="2386"/>
      <c r="AC56" s="2386"/>
    </row>
    <row r="57" spans="6:29" ht="16.5" customHeight="1">
      <c r="F57" s="2386"/>
      <c r="G57" s="2386"/>
      <c r="H57" s="2386"/>
      <c r="I57" s="2386"/>
      <c r="J57" s="2386"/>
      <c r="K57" s="2386"/>
      <c r="L57" s="2386"/>
      <c r="M57" s="2386"/>
      <c r="N57" s="2386"/>
      <c r="O57" s="2386"/>
      <c r="P57" s="2386"/>
      <c r="Q57" s="2386"/>
      <c r="R57" s="2386"/>
      <c r="S57" s="2386"/>
      <c r="T57" s="2386"/>
      <c r="U57" s="2386"/>
      <c r="V57" s="2386"/>
      <c r="W57" s="2386"/>
      <c r="X57" s="2386"/>
      <c r="Y57" s="2386"/>
      <c r="Z57" s="2386"/>
      <c r="AA57" s="2386"/>
      <c r="AB57" s="2386"/>
      <c r="AC57" s="2386"/>
    </row>
    <row r="58" spans="6:29" ht="16.5" customHeight="1">
      <c r="F58" s="2386"/>
      <c r="G58" s="2386"/>
      <c r="H58" s="2386"/>
      <c r="I58" s="2386"/>
      <c r="J58" s="2386"/>
      <c r="K58" s="2386"/>
      <c r="L58" s="2386"/>
      <c r="M58" s="2386"/>
      <c r="N58" s="2386"/>
      <c r="O58" s="2386"/>
      <c r="P58" s="2386"/>
      <c r="Q58" s="2386"/>
      <c r="R58" s="2386"/>
      <c r="S58" s="2386"/>
      <c r="T58" s="2386"/>
      <c r="U58" s="2386"/>
      <c r="V58" s="2386"/>
      <c r="W58" s="2386"/>
      <c r="X58" s="2386"/>
      <c r="Y58" s="2386"/>
      <c r="Z58" s="2386"/>
      <c r="AA58" s="2386"/>
      <c r="AB58" s="2386"/>
      <c r="AC58" s="2386"/>
    </row>
    <row r="59" spans="6:29" ht="16.5" customHeight="1">
      <c r="F59" s="2386"/>
      <c r="G59" s="2386"/>
      <c r="H59" s="2386"/>
      <c r="I59" s="2386"/>
      <c r="J59" s="2386"/>
      <c r="K59" s="2386"/>
      <c r="L59" s="2386"/>
      <c r="M59" s="2386"/>
      <c r="N59" s="2386"/>
      <c r="O59" s="2386"/>
      <c r="P59" s="2386"/>
      <c r="Q59" s="2386"/>
      <c r="R59" s="2386"/>
      <c r="S59" s="2386"/>
      <c r="T59" s="2386"/>
      <c r="U59" s="2386"/>
      <c r="V59" s="2386"/>
      <c r="W59" s="2386"/>
      <c r="X59" s="2386"/>
      <c r="Y59" s="2386"/>
      <c r="Z59" s="2386"/>
      <c r="AA59" s="2386"/>
      <c r="AB59" s="2386"/>
      <c r="AC59" s="2386"/>
    </row>
    <row r="60" spans="6:29" ht="16.5" customHeight="1">
      <c r="F60" s="2386"/>
      <c r="G60" s="2386"/>
      <c r="H60" s="2386"/>
      <c r="I60" s="2386"/>
      <c r="J60" s="2386"/>
      <c r="K60" s="2386"/>
      <c r="L60" s="2386"/>
      <c r="M60" s="2386"/>
      <c r="N60" s="2386"/>
      <c r="O60" s="2386"/>
      <c r="P60" s="2386"/>
      <c r="Q60" s="2386"/>
      <c r="R60" s="2386"/>
      <c r="S60" s="2386"/>
      <c r="T60" s="2386"/>
      <c r="U60" s="2386"/>
      <c r="V60" s="2386"/>
      <c r="W60" s="2386"/>
      <c r="X60" s="2386"/>
      <c r="Y60" s="2386"/>
      <c r="Z60" s="2386"/>
      <c r="AA60" s="2386"/>
      <c r="AB60" s="2386"/>
      <c r="AC60" s="2386"/>
    </row>
    <row r="61" spans="6:29" ht="16.5" customHeight="1">
      <c r="F61" s="2386"/>
      <c r="G61" s="2386"/>
      <c r="H61" s="2386"/>
      <c r="I61" s="2386"/>
      <c r="J61" s="2386"/>
      <c r="K61" s="2386"/>
      <c r="L61" s="2386"/>
      <c r="M61" s="2386"/>
      <c r="N61" s="2386"/>
      <c r="O61" s="2386"/>
      <c r="P61" s="2386"/>
      <c r="Q61" s="2386"/>
      <c r="R61" s="2386"/>
      <c r="S61" s="2386"/>
      <c r="T61" s="2386"/>
      <c r="U61" s="2386"/>
      <c r="V61" s="2386"/>
      <c r="W61" s="2386"/>
      <c r="X61" s="2386"/>
      <c r="Y61" s="2386"/>
      <c r="Z61" s="2386"/>
      <c r="AA61" s="2386"/>
      <c r="AB61" s="2386"/>
      <c r="AC61" s="2386"/>
    </row>
    <row r="62" spans="6:29" ht="16.5" customHeight="1">
      <c r="F62" s="2386"/>
      <c r="G62" s="2386"/>
      <c r="H62" s="2386"/>
      <c r="I62" s="2386"/>
      <c r="J62" s="2386"/>
      <c r="K62" s="2386"/>
      <c r="L62" s="2386"/>
      <c r="M62" s="2386"/>
      <c r="N62" s="2386"/>
      <c r="O62" s="2386"/>
      <c r="P62" s="2386"/>
      <c r="Q62" s="2386"/>
      <c r="R62" s="2386"/>
      <c r="S62" s="2386"/>
      <c r="T62" s="2386"/>
      <c r="U62" s="2386"/>
      <c r="V62" s="2386"/>
      <c r="W62" s="2386"/>
      <c r="X62" s="2386"/>
      <c r="Y62" s="2386"/>
      <c r="Z62" s="2386"/>
      <c r="AA62" s="2386"/>
      <c r="AB62" s="2386"/>
      <c r="AC62" s="2386"/>
    </row>
    <row r="63" spans="6:29" ht="16.5" customHeight="1">
      <c r="F63" s="2386"/>
      <c r="G63" s="2386"/>
      <c r="H63" s="2386"/>
      <c r="I63" s="2386"/>
      <c r="J63" s="2386"/>
      <c r="K63" s="2386"/>
      <c r="L63" s="2386"/>
      <c r="M63" s="2386"/>
      <c r="N63" s="2386"/>
      <c r="O63" s="2386"/>
      <c r="P63" s="2386"/>
      <c r="Q63" s="2386"/>
      <c r="R63" s="2386"/>
      <c r="S63" s="2386"/>
      <c r="T63" s="2386"/>
      <c r="U63" s="2386"/>
      <c r="V63" s="2386"/>
      <c r="W63" s="2386"/>
      <c r="X63" s="2386"/>
      <c r="Y63" s="2386"/>
      <c r="Z63" s="2386"/>
      <c r="AA63" s="2386"/>
      <c r="AB63" s="2386"/>
      <c r="AC63" s="2386"/>
    </row>
    <row r="64" spans="6:29" ht="16.5" customHeight="1">
      <c r="F64" s="2386"/>
      <c r="G64" s="2386"/>
      <c r="H64" s="2386"/>
      <c r="I64" s="2386"/>
      <c r="J64" s="2386"/>
      <c r="K64" s="2386"/>
      <c r="L64" s="2386"/>
      <c r="M64" s="2386"/>
      <c r="N64" s="2386"/>
      <c r="O64" s="2386"/>
      <c r="P64" s="2386"/>
      <c r="Q64" s="2386"/>
      <c r="R64" s="2386"/>
      <c r="S64" s="2386"/>
      <c r="T64" s="2386"/>
      <c r="U64" s="2386"/>
      <c r="V64" s="2386"/>
      <c r="W64" s="2386"/>
      <c r="X64" s="2386"/>
      <c r="Y64" s="2386"/>
      <c r="Z64" s="2386"/>
      <c r="AA64" s="2386"/>
      <c r="AB64" s="2386"/>
      <c r="AC64" s="2386"/>
    </row>
    <row r="65" spans="6:29" ht="16.5" customHeight="1">
      <c r="F65" s="2386"/>
      <c r="G65" s="2386"/>
      <c r="H65" s="2386"/>
      <c r="I65" s="2386"/>
      <c r="J65" s="2386"/>
      <c r="K65" s="2386"/>
      <c r="L65" s="2386"/>
      <c r="M65" s="2386"/>
      <c r="N65" s="2386"/>
      <c r="O65" s="2386"/>
      <c r="P65" s="2386"/>
      <c r="Q65" s="2386"/>
      <c r="R65" s="2386"/>
      <c r="S65" s="2386"/>
      <c r="T65" s="2386"/>
      <c r="U65" s="2386"/>
      <c r="V65" s="2386"/>
      <c r="W65" s="2386"/>
      <c r="X65" s="2386"/>
      <c r="Y65" s="2386"/>
      <c r="Z65" s="2386"/>
      <c r="AA65" s="2386"/>
      <c r="AB65" s="2386"/>
      <c r="AC65" s="2386"/>
    </row>
    <row r="66" spans="6:29" ht="16.5" customHeight="1">
      <c r="F66" s="2386"/>
      <c r="G66" s="2386"/>
      <c r="H66" s="2386"/>
      <c r="I66" s="2386"/>
      <c r="J66" s="2386"/>
      <c r="K66" s="2386"/>
      <c r="L66" s="2386"/>
      <c r="M66" s="2386"/>
      <c r="N66" s="2386"/>
      <c r="O66" s="2386"/>
      <c r="P66" s="2386"/>
      <c r="Q66" s="2386"/>
      <c r="R66" s="2386"/>
      <c r="S66" s="2386"/>
      <c r="T66" s="2386"/>
      <c r="U66" s="2386"/>
      <c r="V66" s="2386"/>
      <c r="W66" s="2386"/>
      <c r="X66" s="2386"/>
      <c r="Y66" s="2386"/>
      <c r="Z66" s="2386"/>
      <c r="AA66" s="2386"/>
      <c r="AB66" s="2386"/>
      <c r="AC66" s="2386"/>
    </row>
    <row r="67" spans="6:29" ht="16.5" customHeight="1">
      <c r="F67" s="2386"/>
      <c r="G67" s="2386"/>
      <c r="H67" s="2386"/>
      <c r="I67" s="2386"/>
      <c r="J67" s="2386"/>
      <c r="K67" s="2386"/>
      <c r="L67" s="2386"/>
      <c r="M67" s="2386"/>
      <c r="N67" s="2386"/>
      <c r="O67" s="2386"/>
      <c r="P67" s="2386"/>
      <c r="Q67" s="2386"/>
      <c r="R67" s="2386"/>
      <c r="S67" s="2386"/>
      <c r="T67" s="2386"/>
      <c r="U67" s="2386"/>
      <c r="V67" s="2386"/>
      <c r="W67" s="2386"/>
      <c r="X67" s="2386"/>
      <c r="Y67" s="2386"/>
      <c r="Z67" s="2386"/>
      <c r="AA67" s="2386"/>
      <c r="AB67" s="2386"/>
      <c r="AC67" s="2386"/>
    </row>
    <row r="68" spans="6:29" ht="16.5" customHeight="1">
      <c r="F68" s="2386"/>
      <c r="G68" s="2386"/>
      <c r="H68" s="2386"/>
      <c r="I68" s="2386"/>
      <c r="J68" s="2386"/>
      <c r="K68" s="2386"/>
      <c r="L68" s="2386"/>
      <c r="M68" s="2386"/>
      <c r="N68" s="2386"/>
      <c r="O68" s="2386"/>
      <c r="P68" s="2386"/>
      <c r="Q68" s="2386"/>
      <c r="R68" s="2386"/>
      <c r="S68" s="2386"/>
      <c r="T68" s="2386"/>
      <c r="U68" s="2386"/>
      <c r="V68" s="2386"/>
      <c r="W68" s="2386"/>
      <c r="X68" s="2386"/>
      <c r="Y68" s="2386"/>
      <c r="Z68" s="2386"/>
      <c r="AA68" s="2386"/>
      <c r="AB68" s="2386"/>
      <c r="AC68" s="2386"/>
    </row>
    <row r="69" spans="6:29" ht="16.5" customHeight="1">
      <c r="F69" s="2386"/>
      <c r="G69" s="2386"/>
      <c r="H69" s="2386"/>
      <c r="I69" s="2386"/>
      <c r="J69" s="2386"/>
      <c r="K69" s="2386"/>
      <c r="L69" s="2386"/>
      <c r="M69" s="2386"/>
      <c r="N69" s="2386"/>
      <c r="O69" s="2386"/>
      <c r="P69" s="2386"/>
      <c r="Q69" s="2386"/>
      <c r="R69" s="2386"/>
      <c r="S69" s="2386"/>
      <c r="T69" s="2386"/>
      <c r="U69" s="2386"/>
      <c r="V69" s="2386"/>
      <c r="W69" s="2386"/>
      <c r="X69" s="2386"/>
      <c r="Y69" s="2386"/>
      <c r="Z69" s="2386"/>
      <c r="AA69" s="2386"/>
      <c r="AB69" s="2386"/>
      <c r="AC69" s="2386"/>
    </row>
    <row r="70" spans="6:29" ht="16.5" customHeight="1">
      <c r="F70" s="2386"/>
      <c r="G70" s="2386"/>
      <c r="H70" s="2386"/>
      <c r="I70" s="2386"/>
      <c r="J70" s="2386"/>
      <c r="K70" s="2386"/>
      <c r="L70" s="2386"/>
      <c r="M70" s="2386"/>
      <c r="N70" s="2386"/>
      <c r="O70" s="2386"/>
      <c r="P70" s="2386"/>
      <c r="Q70" s="2386"/>
      <c r="R70" s="2386"/>
      <c r="S70" s="2386"/>
      <c r="T70" s="2386"/>
      <c r="U70" s="2386"/>
      <c r="V70" s="2386"/>
      <c r="W70" s="2386"/>
      <c r="X70" s="2386"/>
      <c r="Y70" s="2386"/>
      <c r="Z70" s="2386"/>
      <c r="AA70" s="2386"/>
      <c r="AB70" s="2386"/>
      <c r="AC70" s="2386"/>
    </row>
    <row r="71" spans="6:29" ht="16.5" customHeight="1">
      <c r="F71" s="2386"/>
      <c r="G71" s="2386"/>
      <c r="H71" s="2386"/>
      <c r="I71" s="2386"/>
      <c r="J71" s="2386"/>
      <c r="K71" s="2386"/>
      <c r="L71" s="2386"/>
      <c r="M71" s="2386"/>
      <c r="N71" s="2386"/>
      <c r="O71" s="2386"/>
      <c r="P71" s="2386"/>
      <c r="Q71" s="2386"/>
      <c r="R71" s="2386"/>
      <c r="S71" s="2386"/>
      <c r="T71" s="2386"/>
      <c r="U71" s="2386"/>
      <c r="V71" s="2386"/>
      <c r="W71" s="2386"/>
      <c r="X71" s="2386"/>
      <c r="Y71" s="2386"/>
      <c r="Z71" s="2386"/>
      <c r="AA71" s="2386"/>
      <c r="AB71" s="2386"/>
      <c r="AC71" s="2386"/>
    </row>
    <row r="72" spans="6:29" ht="16.5" customHeight="1">
      <c r="F72" s="2386"/>
      <c r="G72" s="2386"/>
      <c r="H72" s="2386"/>
      <c r="I72" s="2386"/>
      <c r="J72" s="2386"/>
      <c r="K72" s="2386"/>
      <c r="L72" s="2386"/>
      <c r="M72" s="2386"/>
      <c r="N72" s="2386"/>
      <c r="O72" s="2386"/>
      <c r="P72" s="2386"/>
      <c r="Q72" s="2386"/>
      <c r="R72" s="2386"/>
      <c r="S72" s="2386"/>
      <c r="T72" s="2386"/>
      <c r="U72" s="2386"/>
      <c r="V72" s="2386"/>
      <c r="W72" s="2386"/>
      <c r="X72" s="2386"/>
      <c r="Y72" s="2386"/>
      <c r="Z72" s="2386"/>
      <c r="AA72" s="2386"/>
      <c r="AB72" s="2386"/>
      <c r="AC72" s="2386"/>
    </row>
    <row r="73" spans="6:29" ht="16.5" customHeight="1">
      <c r="F73" s="2386"/>
      <c r="G73" s="2386"/>
      <c r="H73" s="2386"/>
      <c r="I73" s="2386"/>
      <c r="J73" s="2386"/>
      <c r="K73" s="2386"/>
      <c r="L73" s="2386"/>
      <c r="M73" s="2386"/>
      <c r="N73" s="2386"/>
      <c r="O73" s="2386"/>
      <c r="P73" s="2386"/>
      <c r="Q73" s="2386"/>
      <c r="R73" s="2386"/>
      <c r="S73" s="2386"/>
      <c r="T73" s="2386"/>
      <c r="U73" s="2386"/>
      <c r="V73" s="2386"/>
      <c r="W73" s="2386"/>
      <c r="X73" s="2386"/>
      <c r="Y73" s="2386"/>
      <c r="Z73" s="2386"/>
      <c r="AA73" s="2386"/>
      <c r="AB73" s="2386"/>
      <c r="AC73" s="2386"/>
    </row>
    <row r="74" spans="6:29" ht="16.5" customHeight="1">
      <c r="F74" s="2386"/>
      <c r="G74" s="2386"/>
      <c r="H74" s="2386"/>
      <c r="I74" s="2386"/>
      <c r="J74" s="2386"/>
      <c r="K74" s="2386"/>
      <c r="L74" s="2386"/>
      <c r="M74" s="2386"/>
      <c r="N74" s="2386"/>
      <c r="O74" s="2386"/>
      <c r="P74" s="2386"/>
      <c r="Q74" s="2386"/>
      <c r="R74" s="2386"/>
      <c r="S74" s="2386"/>
      <c r="T74" s="2386"/>
      <c r="U74" s="2386"/>
      <c r="V74" s="2386"/>
      <c r="W74" s="2386"/>
      <c r="X74" s="2386"/>
      <c r="Y74" s="2386"/>
      <c r="Z74" s="2386"/>
      <c r="AA74" s="2386"/>
      <c r="AB74" s="2386"/>
      <c r="AC74" s="2386"/>
    </row>
    <row r="75" spans="6:29" ht="16.5" customHeight="1">
      <c r="F75" s="2386"/>
      <c r="G75" s="2386"/>
      <c r="H75" s="2386"/>
      <c r="I75" s="2386"/>
      <c r="J75" s="2386"/>
      <c r="K75" s="2386"/>
      <c r="L75" s="2386"/>
      <c r="M75" s="2386"/>
      <c r="N75" s="2386"/>
      <c r="O75" s="2386"/>
      <c r="P75" s="2386"/>
      <c r="Q75" s="2386"/>
      <c r="R75" s="2386"/>
      <c r="S75" s="2386"/>
      <c r="T75" s="2386"/>
      <c r="U75" s="2386"/>
      <c r="V75" s="2386"/>
      <c r="W75" s="2386"/>
      <c r="X75" s="2386"/>
      <c r="Y75" s="2386"/>
      <c r="Z75" s="2386"/>
      <c r="AA75" s="2386"/>
      <c r="AB75" s="2386"/>
      <c r="AC75" s="2386"/>
    </row>
    <row r="76" spans="6:29" ht="16.5" customHeight="1">
      <c r="F76" s="2386"/>
      <c r="G76" s="2386"/>
      <c r="H76" s="2386"/>
      <c r="I76" s="2386"/>
      <c r="J76" s="2386"/>
      <c r="K76" s="2386"/>
      <c r="L76" s="2386"/>
      <c r="M76" s="2386"/>
      <c r="N76" s="2386"/>
      <c r="O76" s="2386"/>
      <c r="P76" s="2386"/>
      <c r="Q76" s="2386"/>
      <c r="R76" s="2386"/>
      <c r="S76" s="2386"/>
      <c r="T76" s="2386"/>
      <c r="U76" s="2386"/>
      <c r="V76" s="2386"/>
      <c r="W76" s="2386"/>
      <c r="X76" s="2386"/>
      <c r="Y76" s="2386"/>
      <c r="Z76" s="2386"/>
      <c r="AA76" s="2386"/>
      <c r="AB76" s="2386"/>
      <c r="AC76" s="2386"/>
    </row>
    <row r="77" spans="6:29" ht="16.5" customHeight="1">
      <c r="F77" s="2386"/>
      <c r="G77" s="2386"/>
      <c r="H77" s="2386"/>
      <c r="I77" s="2386"/>
      <c r="J77" s="2386"/>
      <c r="K77" s="2386"/>
      <c r="L77" s="2386"/>
      <c r="M77" s="2386"/>
      <c r="N77" s="2386"/>
      <c r="O77" s="2386"/>
      <c r="P77" s="2386"/>
      <c r="Q77" s="2386"/>
      <c r="R77" s="2386"/>
      <c r="S77" s="2386"/>
      <c r="T77" s="2386"/>
      <c r="U77" s="2386"/>
      <c r="V77" s="2386"/>
      <c r="W77" s="2386"/>
      <c r="X77" s="2386"/>
      <c r="Y77" s="2386"/>
      <c r="Z77" s="2386"/>
      <c r="AA77" s="2386"/>
      <c r="AB77" s="2386"/>
      <c r="AC77" s="2386"/>
    </row>
    <row r="78" spans="6:29" ht="16.5" customHeight="1">
      <c r="F78" s="2386"/>
      <c r="G78" s="2386"/>
      <c r="H78" s="2386"/>
      <c r="I78" s="2386"/>
      <c r="J78" s="2386"/>
      <c r="K78" s="2386"/>
      <c r="L78" s="2386"/>
      <c r="M78" s="2386"/>
      <c r="N78" s="2386"/>
      <c r="O78" s="2386"/>
      <c r="P78" s="2386"/>
      <c r="Q78" s="2386"/>
      <c r="R78" s="2386"/>
      <c r="S78" s="2386"/>
      <c r="T78" s="2386"/>
      <c r="U78" s="2386"/>
      <c r="V78" s="2386"/>
      <c r="W78" s="2386"/>
      <c r="X78" s="2386"/>
      <c r="Y78" s="2386"/>
      <c r="Z78" s="2386"/>
      <c r="AA78" s="2386"/>
      <c r="AB78" s="2386"/>
      <c r="AC78" s="2386"/>
    </row>
    <row r="79" spans="6:29" ht="16.5" customHeight="1">
      <c r="F79" s="2386"/>
      <c r="G79" s="2386"/>
      <c r="H79" s="2386"/>
      <c r="I79" s="2386"/>
      <c r="J79" s="2386"/>
      <c r="K79" s="2386"/>
      <c r="L79" s="2386"/>
      <c r="M79" s="2386"/>
      <c r="N79" s="2386"/>
      <c r="O79" s="2386"/>
      <c r="P79" s="2386"/>
      <c r="Q79" s="2386"/>
      <c r="R79" s="2386"/>
      <c r="S79" s="2386"/>
      <c r="T79" s="2386"/>
      <c r="U79" s="2386"/>
      <c r="V79" s="2386"/>
      <c r="W79" s="2386"/>
      <c r="X79" s="2386"/>
      <c r="Y79" s="2386"/>
      <c r="Z79" s="2386"/>
      <c r="AA79" s="2386"/>
      <c r="AB79" s="2386"/>
      <c r="AC79" s="2386"/>
    </row>
    <row r="80" spans="6:29" ht="16.5" customHeight="1">
      <c r="F80" s="2386"/>
      <c r="G80" s="2386"/>
      <c r="H80" s="2386"/>
      <c r="I80" s="2386"/>
      <c r="J80" s="2386"/>
      <c r="K80" s="2386"/>
      <c r="L80" s="2386"/>
      <c r="M80" s="2386"/>
      <c r="N80" s="2386"/>
      <c r="O80" s="2386"/>
      <c r="P80" s="2386"/>
      <c r="Q80" s="2386"/>
      <c r="R80" s="2386"/>
      <c r="S80" s="2386"/>
      <c r="T80" s="2386"/>
      <c r="U80" s="2386"/>
      <c r="V80" s="2386"/>
      <c r="W80" s="2386"/>
      <c r="X80" s="2386"/>
      <c r="Y80" s="2386"/>
      <c r="Z80" s="2386"/>
      <c r="AA80" s="2386"/>
      <c r="AB80" s="2386"/>
      <c r="AC80" s="2386"/>
    </row>
    <row r="81" spans="6:29" ht="16.5" customHeight="1">
      <c r="F81" s="2386"/>
      <c r="G81" s="2386"/>
      <c r="H81" s="2386"/>
      <c r="I81" s="2386"/>
      <c r="J81" s="2386"/>
      <c r="K81" s="2386"/>
      <c r="L81" s="2386"/>
      <c r="M81" s="2386"/>
      <c r="N81" s="2386"/>
      <c r="O81" s="2386"/>
      <c r="P81" s="2386"/>
      <c r="Q81" s="2386"/>
      <c r="R81" s="2386"/>
      <c r="S81" s="2386"/>
      <c r="T81" s="2386"/>
      <c r="U81" s="2386"/>
      <c r="V81" s="2386"/>
      <c r="W81" s="2386"/>
      <c r="X81" s="2386"/>
      <c r="Y81" s="2386"/>
      <c r="Z81" s="2386"/>
      <c r="AA81" s="2386"/>
      <c r="AB81" s="2386"/>
      <c r="AC81" s="2386"/>
    </row>
    <row r="82" spans="6:29" ht="16.5" customHeight="1">
      <c r="F82" s="2386"/>
      <c r="G82" s="2386"/>
      <c r="H82" s="2386"/>
      <c r="I82" s="2386"/>
      <c r="J82" s="2386"/>
      <c r="K82" s="2386"/>
      <c r="L82" s="2386"/>
      <c r="M82" s="2386"/>
      <c r="N82" s="2386"/>
      <c r="O82" s="2386"/>
      <c r="P82" s="2386"/>
      <c r="Q82" s="2386"/>
      <c r="R82" s="2386"/>
      <c r="S82" s="2386"/>
      <c r="T82" s="2386"/>
      <c r="U82" s="2386"/>
      <c r="V82" s="2386"/>
      <c r="W82" s="2386"/>
      <c r="X82" s="2386"/>
      <c r="Y82" s="2386"/>
      <c r="Z82" s="2386"/>
      <c r="AA82" s="2386"/>
      <c r="AB82" s="2386"/>
      <c r="AC82" s="2386"/>
    </row>
    <row r="83" spans="6:29" ht="16.5" customHeight="1">
      <c r="F83" s="2386"/>
      <c r="G83" s="2386"/>
      <c r="H83" s="2386"/>
      <c r="I83" s="2386"/>
      <c r="J83" s="2386"/>
      <c r="K83" s="2386"/>
      <c r="L83" s="2386"/>
      <c r="M83" s="2386"/>
      <c r="N83" s="2386"/>
      <c r="O83" s="2386"/>
      <c r="P83" s="2386"/>
      <c r="Q83" s="2386"/>
      <c r="R83" s="2386"/>
      <c r="S83" s="2386"/>
      <c r="T83" s="2386"/>
      <c r="U83" s="2386"/>
      <c r="V83" s="2386"/>
      <c r="W83" s="2386"/>
      <c r="X83" s="2386"/>
      <c r="Y83" s="2386"/>
      <c r="Z83" s="2386"/>
      <c r="AA83" s="2386"/>
      <c r="AB83" s="2386"/>
      <c r="AC83" s="2386"/>
    </row>
    <row r="84" spans="6:29" ht="16.5" customHeight="1">
      <c r="F84" s="2386"/>
      <c r="G84" s="2386"/>
      <c r="H84" s="2386"/>
      <c r="I84" s="2386"/>
      <c r="J84" s="2386"/>
      <c r="K84" s="2386"/>
      <c r="L84" s="2386"/>
      <c r="M84" s="2386"/>
      <c r="N84" s="2386"/>
      <c r="O84" s="2386"/>
      <c r="P84" s="2386"/>
      <c r="Q84" s="2386"/>
      <c r="R84" s="2386"/>
      <c r="S84" s="2386"/>
      <c r="T84" s="2386"/>
      <c r="U84" s="2386"/>
      <c r="V84" s="2386"/>
      <c r="W84" s="2386"/>
      <c r="X84" s="2386"/>
      <c r="Y84" s="2386"/>
      <c r="Z84" s="2386"/>
      <c r="AA84" s="2386"/>
      <c r="AB84" s="2386"/>
      <c r="AC84" s="2386"/>
    </row>
    <row r="85" spans="6:29" ht="16.5" customHeight="1">
      <c r="F85" s="2386"/>
      <c r="G85" s="2386"/>
      <c r="H85" s="2386"/>
      <c r="I85" s="2386"/>
      <c r="J85" s="2386"/>
      <c r="K85" s="2386"/>
      <c r="L85" s="2386"/>
      <c r="M85" s="2386"/>
      <c r="N85" s="2386"/>
      <c r="O85" s="2386"/>
      <c r="P85" s="2386"/>
      <c r="Q85" s="2386"/>
      <c r="R85" s="2386"/>
      <c r="S85" s="2386"/>
      <c r="T85" s="2386"/>
      <c r="U85" s="2386"/>
      <c r="V85" s="2386"/>
      <c r="W85" s="2386"/>
      <c r="X85" s="2386"/>
      <c r="Y85" s="2386"/>
      <c r="Z85" s="2386"/>
      <c r="AA85" s="2386"/>
      <c r="AB85" s="2386"/>
      <c r="AC85" s="2386"/>
    </row>
    <row r="86" spans="6:29" ht="16.5" customHeight="1">
      <c r="F86" s="2386"/>
      <c r="G86" s="2386"/>
      <c r="H86" s="2386"/>
      <c r="I86" s="2386"/>
      <c r="J86" s="2386"/>
      <c r="K86" s="2386"/>
      <c r="L86" s="2386"/>
      <c r="M86" s="2386"/>
      <c r="N86" s="2386"/>
      <c r="O86" s="2386"/>
      <c r="P86" s="2386"/>
      <c r="Q86" s="2386"/>
      <c r="R86" s="2386"/>
      <c r="S86" s="2386"/>
      <c r="T86" s="2386"/>
      <c r="U86" s="2386"/>
      <c r="V86" s="2386"/>
      <c r="W86" s="2386"/>
      <c r="X86" s="2386"/>
      <c r="Y86" s="2386"/>
      <c r="Z86" s="2386"/>
      <c r="AA86" s="2386"/>
      <c r="AB86" s="2386"/>
      <c r="AC86" s="2386"/>
    </row>
    <row r="87" spans="6:29" ht="16.5" customHeight="1">
      <c r="F87" s="2386"/>
      <c r="G87" s="2386"/>
      <c r="H87" s="2386"/>
      <c r="I87" s="2386"/>
      <c r="J87" s="2386"/>
      <c r="K87" s="2386"/>
      <c r="L87" s="2386"/>
      <c r="M87" s="2386"/>
      <c r="N87" s="2386"/>
      <c r="O87" s="2386"/>
      <c r="P87" s="2386"/>
      <c r="Q87" s="2386"/>
      <c r="R87" s="2386"/>
      <c r="S87" s="2386"/>
      <c r="T87" s="2386"/>
      <c r="U87" s="2386"/>
      <c r="V87" s="2386"/>
      <c r="W87" s="2386"/>
      <c r="X87" s="2386"/>
      <c r="Y87" s="2386"/>
      <c r="Z87" s="2386"/>
      <c r="AA87" s="2386"/>
      <c r="AB87" s="2386"/>
      <c r="AC87" s="2386"/>
    </row>
    <row r="88" spans="6:29" ht="16.5" customHeight="1">
      <c r="F88" s="2386"/>
      <c r="G88" s="2386"/>
      <c r="H88" s="2386"/>
      <c r="I88" s="2386"/>
      <c r="J88" s="2386"/>
      <c r="K88" s="2386"/>
      <c r="L88" s="2386"/>
      <c r="M88" s="2386"/>
      <c r="N88" s="2386"/>
      <c r="O88" s="2386"/>
      <c r="P88" s="2386"/>
      <c r="Q88" s="2386"/>
      <c r="R88" s="2386"/>
      <c r="S88" s="2386"/>
      <c r="T88" s="2386"/>
      <c r="U88" s="2386"/>
      <c r="V88" s="2386"/>
      <c r="W88" s="2386"/>
      <c r="X88" s="2386"/>
      <c r="Y88" s="2386"/>
      <c r="Z88" s="2386"/>
      <c r="AA88" s="2386"/>
      <c r="AB88" s="2386"/>
      <c r="AC88" s="2386"/>
    </row>
    <row r="89" spans="6:29" ht="16.5" customHeight="1">
      <c r="F89" s="2386"/>
      <c r="G89" s="2386"/>
      <c r="H89" s="2386"/>
      <c r="I89" s="2386"/>
      <c r="J89" s="2386"/>
      <c r="K89" s="2386"/>
      <c r="L89" s="2386"/>
      <c r="M89" s="2386"/>
      <c r="N89" s="2386"/>
      <c r="O89" s="2386"/>
      <c r="P89" s="2386"/>
      <c r="Q89" s="2386"/>
      <c r="R89" s="2386"/>
      <c r="S89" s="2386"/>
      <c r="T89" s="2386"/>
      <c r="U89" s="2386"/>
      <c r="V89" s="2386"/>
      <c r="W89" s="2386"/>
      <c r="X89" s="2386"/>
      <c r="Y89" s="2386"/>
      <c r="Z89" s="2386"/>
      <c r="AA89" s="2386"/>
      <c r="AB89" s="2386"/>
      <c r="AC89" s="2386"/>
    </row>
    <row r="90" spans="6:29" ht="16.5" customHeight="1">
      <c r="F90" s="2386"/>
      <c r="G90" s="2386"/>
      <c r="H90" s="2386"/>
      <c r="I90" s="2386"/>
      <c r="J90" s="2386"/>
      <c r="K90" s="2386"/>
      <c r="L90" s="2386"/>
      <c r="M90" s="2386"/>
      <c r="N90" s="2386"/>
      <c r="O90" s="2386"/>
      <c r="P90" s="2386"/>
      <c r="Q90" s="2386"/>
      <c r="R90" s="2386"/>
      <c r="S90" s="2386"/>
      <c r="T90" s="2386"/>
      <c r="U90" s="2386"/>
      <c r="V90" s="2386"/>
      <c r="W90" s="2386"/>
      <c r="X90" s="2386"/>
      <c r="Y90" s="2386"/>
      <c r="Z90" s="2386"/>
      <c r="AA90" s="2386"/>
      <c r="AB90" s="2386"/>
      <c r="AC90" s="2386"/>
    </row>
    <row r="91" spans="6:29" ht="16.5" customHeight="1">
      <c r="F91" s="2386"/>
      <c r="G91" s="2386"/>
      <c r="H91" s="2386"/>
      <c r="I91" s="2386"/>
      <c r="J91" s="2386"/>
      <c r="K91" s="2386"/>
      <c r="L91" s="2386"/>
      <c r="M91" s="2386"/>
      <c r="N91" s="2386"/>
      <c r="O91" s="2386"/>
      <c r="P91" s="2386"/>
      <c r="Q91" s="2386"/>
      <c r="R91" s="2386"/>
      <c r="S91" s="2386"/>
      <c r="T91" s="2386"/>
      <c r="U91" s="2386"/>
      <c r="V91" s="2386"/>
      <c r="W91" s="2386"/>
      <c r="X91" s="2386"/>
      <c r="Y91" s="2386"/>
      <c r="Z91" s="2386"/>
      <c r="AA91" s="2386"/>
      <c r="AB91" s="2386"/>
      <c r="AC91" s="2386"/>
    </row>
    <row r="92" spans="6:29" ht="16.5" customHeight="1">
      <c r="F92" s="2386"/>
      <c r="G92" s="2386"/>
      <c r="H92" s="2386"/>
      <c r="I92" s="2386"/>
      <c r="J92" s="2386"/>
      <c r="K92" s="2386"/>
      <c r="L92" s="2386"/>
      <c r="M92" s="2386"/>
      <c r="N92" s="2386"/>
      <c r="O92" s="2386"/>
      <c r="P92" s="2386"/>
      <c r="Q92" s="2386"/>
      <c r="R92" s="2386"/>
      <c r="S92" s="2386"/>
      <c r="T92" s="2386"/>
      <c r="U92" s="2386"/>
      <c r="V92" s="2386"/>
      <c r="W92" s="2386"/>
      <c r="X92" s="2386"/>
      <c r="Y92" s="2386"/>
      <c r="Z92" s="2386"/>
      <c r="AA92" s="2386"/>
      <c r="AB92" s="2386"/>
      <c r="AC92" s="2386"/>
    </row>
    <row r="93" spans="6:29" ht="16.5" customHeight="1">
      <c r="F93" s="2386"/>
      <c r="G93" s="2386"/>
      <c r="H93" s="2386"/>
      <c r="I93" s="2386"/>
      <c r="J93" s="2386"/>
      <c r="K93" s="2386"/>
      <c r="L93" s="2386"/>
      <c r="M93" s="2386"/>
      <c r="N93" s="2386"/>
      <c r="O93" s="2386"/>
      <c r="P93" s="2386"/>
      <c r="Q93" s="2386"/>
      <c r="R93" s="2386"/>
      <c r="S93" s="2386"/>
      <c r="T93" s="2386"/>
      <c r="U93" s="2386"/>
      <c r="V93" s="2386"/>
      <c r="W93" s="2386"/>
      <c r="X93" s="2386"/>
      <c r="Y93" s="2386"/>
      <c r="Z93" s="2386"/>
      <c r="AA93" s="2386"/>
      <c r="AB93" s="2386"/>
      <c r="AC93" s="2386"/>
    </row>
    <row r="94" spans="6:29" ht="16.5" customHeight="1">
      <c r="F94" s="2386"/>
      <c r="G94" s="2386"/>
      <c r="H94" s="2386"/>
      <c r="I94" s="2386"/>
      <c r="J94" s="2386"/>
      <c r="K94" s="2386"/>
      <c r="L94" s="2386"/>
      <c r="M94" s="2386"/>
      <c r="N94" s="2386"/>
      <c r="O94" s="2386"/>
      <c r="P94" s="2386"/>
      <c r="Q94" s="2386"/>
      <c r="R94" s="2386"/>
      <c r="S94" s="2386"/>
      <c r="T94" s="2386"/>
      <c r="U94" s="2386"/>
      <c r="V94" s="2386"/>
      <c r="W94" s="2386"/>
      <c r="X94" s="2386"/>
      <c r="Y94" s="2386"/>
      <c r="Z94" s="2386"/>
      <c r="AA94" s="2386"/>
      <c r="AB94" s="2386"/>
      <c r="AC94" s="2386"/>
    </row>
    <row r="95" spans="6:29" ht="16.5" customHeight="1">
      <c r="F95" s="2386"/>
      <c r="G95" s="2386"/>
      <c r="H95" s="2386"/>
      <c r="I95" s="2386"/>
      <c r="J95" s="2386"/>
      <c r="K95" s="2386"/>
      <c r="L95" s="2386"/>
      <c r="M95" s="2386"/>
      <c r="N95" s="2386"/>
      <c r="O95" s="2386"/>
      <c r="P95" s="2386"/>
      <c r="Q95" s="2386"/>
      <c r="R95" s="2386"/>
      <c r="S95" s="2386"/>
      <c r="T95" s="2386"/>
      <c r="U95" s="2386"/>
      <c r="V95" s="2386"/>
      <c r="W95" s="2386"/>
      <c r="X95" s="2386"/>
      <c r="Y95" s="2386"/>
      <c r="Z95" s="2386"/>
      <c r="AA95" s="2386"/>
      <c r="AB95" s="2386"/>
      <c r="AC95" s="2386"/>
    </row>
    <row r="96" spans="6:29" ht="16.5" customHeight="1">
      <c r="F96" s="2386"/>
      <c r="G96" s="2386"/>
      <c r="H96" s="2386"/>
      <c r="I96" s="2386"/>
      <c r="J96" s="2386"/>
      <c r="K96" s="2386"/>
      <c r="L96" s="2386"/>
      <c r="M96" s="2386"/>
      <c r="N96" s="2386"/>
      <c r="O96" s="2386"/>
      <c r="P96" s="2386"/>
      <c r="Q96" s="2386"/>
      <c r="R96" s="2386"/>
      <c r="S96" s="2386"/>
      <c r="T96" s="2386"/>
      <c r="U96" s="2386"/>
      <c r="V96" s="2386"/>
      <c r="W96" s="2386"/>
      <c r="X96" s="2386"/>
      <c r="Y96" s="2386"/>
      <c r="Z96" s="2386"/>
      <c r="AA96" s="2386"/>
      <c r="AB96" s="2386"/>
      <c r="AC96" s="2386"/>
    </row>
    <row r="97" spans="6:29" ht="16.5" customHeight="1">
      <c r="F97" s="2386"/>
      <c r="G97" s="2386"/>
      <c r="H97" s="2386"/>
      <c r="I97" s="2386"/>
      <c r="J97" s="2386"/>
      <c r="K97" s="2386"/>
      <c r="L97" s="2386"/>
      <c r="M97" s="2386"/>
      <c r="N97" s="2386"/>
      <c r="O97" s="2386"/>
      <c r="P97" s="2386"/>
      <c r="Q97" s="2386"/>
      <c r="R97" s="2386"/>
      <c r="S97" s="2386"/>
      <c r="T97" s="2386"/>
      <c r="U97" s="2386"/>
      <c r="V97" s="2386"/>
      <c r="W97" s="2386"/>
      <c r="X97" s="2386"/>
      <c r="Y97" s="2386"/>
      <c r="Z97" s="2386"/>
      <c r="AA97" s="2386"/>
      <c r="AB97" s="2386"/>
      <c r="AC97" s="2386"/>
    </row>
    <row r="98" spans="6:29" ht="16.5" customHeight="1">
      <c r="F98" s="2386"/>
      <c r="G98" s="2386"/>
      <c r="H98" s="2386"/>
      <c r="I98" s="2386"/>
      <c r="J98" s="2386"/>
      <c r="K98" s="2386"/>
      <c r="L98" s="2386"/>
      <c r="M98" s="2386"/>
      <c r="N98" s="2386"/>
      <c r="O98" s="2386"/>
      <c r="P98" s="2386"/>
      <c r="Q98" s="2386"/>
      <c r="R98" s="2386"/>
      <c r="S98" s="2386"/>
      <c r="T98" s="2386"/>
      <c r="U98" s="2386"/>
      <c r="V98" s="2386"/>
      <c r="W98" s="2386"/>
      <c r="X98" s="2386"/>
      <c r="Y98" s="2386"/>
      <c r="Z98" s="2386"/>
      <c r="AA98" s="2386"/>
      <c r="AB98" s="2386"/>
      <c r="AC98" s="2386"/>
    </row>
    <row r="99" spans="6:29" ht="16.5" customHeight="1">
      <c r="F99" s="2386"/>
      <c r="G99" s="2386"/>
      <c r="H99" s="2386"/>
      <c r="I99" s="2386"/>
      <c r="J99" s="2386"/>
      <c r="K99" s="2386"/>
      <c r="L99" s="2386"/>
      <c r="M99" s="2386"/>
      <c r="N99" s="2386"/>
      <c r="O99" s="2386"/>
      <c r="P99" s="2386"/>
      <c r="Q99" s="2386"/>
      <c r="R99" s="2386"/>
      <c r="S99" s="2386"/>
      <c r="T99" s="2386"/>
      <c r="U99" s="2386"/>
      <c r="V99" s="2386"/>
      <c r="W99" s="2386"/>
      <c r="X99" s="2386"/>
      <c r="Y99" s="2386"/>
      <c r="Z99" s="2386"/>
      <c r="AA99" s="2386"/>
      <c r="AB99" s="2386"/>
      <c r="AC99" s="2386"/>
    </row>
    <row r="100" spans="6:29" ht="16.5" customHeight="1">
      <c r="F100" s="2386"/>
      <c r="G100" s="2386"/>
      <c r="H100" s="2386"/>
      <c r="I100" s="2386"/>
      <c r="J100" s="2386"/>
      <c r="K100" s="2386"/>
      <c r="L100" s="2386"/>
      <c r="M100" s="2386"/>
      <c r="N100" s="2386"/>
      <c r="O100" s="2386"/>
      <c r="P100" s="2386"/>
      <c r="Q100" s="2386"/>
      <c r="R100" s="2386"/>
      <c r="S100" s="2386"/>
      <c r="T100" s="2386"/>
      <c r="U100" s="2386"/>
      <c r="V100" s="2386"/>
      <c r="W100" s="2386"/>
      <c r="X100" s="2386"/>
      <c r="Y100" s="2386"/>
      <c r="Z100" s="2386"/>
      <c r="AA100" s="2386"/>
      <c r="AB100" s="2386"/>
      <c r="AC100" s="2386"/>
    </row>
    <row r="101" spans="6:29" ht="16.5" customHeight="1">
      <c r="F101" s="2386"/>
      <c r="G101" s="2386"/>
      <c r="H101" s="2386"/>
      <c r="I101" s="2386"/>
      <c r="J101" s="2386"/>
      <c r="K101" s="2386"/>
      <c r="L101" s="2386"/>
      <c r="M101" s="2386"/>
      <c r="N101" s="2386"/>
      <c r="O101" s="2386"/>
      <c r="P101" s="2386"/>
      <c r="Q101" s="2386"/>
      <c r="R101" s="2386"/>
      <c r="S101" s="2386"/>
      <c r="T101" s="2386"/>
      <c r="U101" s="2386"/>
      <c r="V101" s="2386"/>
      <c r="W101" s="2386"/>
      <c r="X101" s="2386"/>
      <c r="Y101" s="2386"/>
      <c r="Z101" s="2386"/>
      <c r="AA101" s="2386"/>
      <c r="AB101" s="2386"/>
      <c r="AC101" s="2386"/>
    </row>
    <row r="102" spans="6:29" ht="16.5" customHeight="1">
      <c r="F102" s="2386"/>
      <c r="G102" s="2386"/>
      <c r="H102" s="2386"/>
      <c r="I102" s="2386"/>
      <c r="J102" s="2386"/>
      <c r="K102" s="2386"/>
      <c r="L102" s="2386"/>
      <c r="M102" s="2386"/>
      <c r="N102" s="2386"/>
      <c r="O102" s="2386"/>
      <c r="P102" s="2386"/>
      <c r="Q102" s="2386"/>
      <c r="R102" s="2386"/>
      <c r="S102" s="2386"/>
      <c r="T102" s="2386"/>
      <c r="U102" s="2386"/>
      <c r="V102" s="2386"/>
      <c r="W102" s="2386"/>
      <c r="X102" s="2386"/>
      <c r="Y102" s="2386"/>
      <c r="Z102" s="2386"/>
      <c r="AA102" s="2386"/>
      <c r="AB102" s="2386"/>
      <c r="AC102" s="2386"/>
    </row>
    <row r="103" spans="6:29" ht="16.5" customHeight="1">
      <c r="F103" s="2386"/>
      <c r="G103" s="2386"/>
      <c r="H103" s="2386"/>
      <c r="I103" s="2386"/>
      <c r="J103" s="2386"/>
      <c r="K103" s="2386"/>
      <c r="L103" s="2386"/>
      <c r="M103" s="2386"/>
      <c r="N103" s="2386"/>
      <c r="O103" s="2386"/>
      <c r="P103" s="2386"/>
      <c r="Q103" s="2386"/>
      <c r="R103" s="2386"/>
      <c r="S103" s="2386"/>
      <c r="T103" s="2386"/>
      <c r="U103" s="2386"/>
      <c r="V103" s="2386"/>
      <c r="W103" s="2386"/>
      <c r="X103" s="2386"/>
      <c r="Y103" s="2386"/>
      <c r="Z103" s="2386"/>
      <c r="AA103" s="2386"/>
      <c r="AB103" s="2386"/>
      <c r="AC103" s="2386"/>
    </row>
    <row r="104" spans="6:29" ht="16.5" customHeight="1">
      <c r="F104" s="2386"/>
      <c r="G104" s="2386"/>
      <c r="H104" s="2386"/>
      <c r="I104" s="2386"/>
      <c r="J104" s="2386"/>
      <c r="K104" s="2386"/>
      <c r="L104" s="2386"/>
      <c r="M104" s="2386"/>
      <c r="N104" s="2386"/>
      <c r="O104" s="2386"/>
      <c r="P104" s="2386"/>
      <c r="Q104" s="2386"/>
      <c r="R104" s="2386"/>
      <c r="S104" s="2386"/>
      <c r="T104" s="2386"/>
      <c r="U104" s="2386"/>
      <c r="V104" s="2386"/>
      <c r="W104" s="2386"/>
      <c r="X104" s="2386"/>
      <c r="Y104" s="2386"/>
      <c r="Z104" s="2386"/>
      <c r="AA104" s="2386"/>
      <c r="AB104" s="2386"/>
      <c r="AC104" s="2386"/>
    </row>
    <row r="105" spans="6:29" ht="16.5" customHeight="1">
      <c r="F105" s="2386"/>
      <c r="G105" s="2386"/>
      <c r="H105" s="2386"/>
      <c r="I105" s="2386"/>
      <c r="J105" s="2386"/>
      <c r="K105" s="2386"/>
      <c r="L105" s="2386"/>
      <c r="M105" s="2386"/>
      <c r="N105" s="2386"/>
      <c r="O105" s="2386"/>
      <c r="P105" s="2386"/>
      <c r="Q105" s="2386"/>
      <c r="R105" s="2386"/>
      <c r="S105" s="2386"/>
      <c r="T105" s="2386"/>
      <c r="U105" s="2386"/>
      <c r="V105" s="2386"/>
      <c r="W105" s="2386"/>
      <c r="X105" s="2386"/>
      <c r="Y105" s="2386"/>
      <c r="Z105" s="2386"/>
      <c r="AA105" s="2386"/>
      <c r="AB105" s="2386"/>
      <c r="AC105" s="2386"/>
    </row>
    <row r="106" spans="6:29" ht="16.5" customHeight="1">
      <c r="F106" s="2386"/>
      <c r="G106" s="2386"/>
      <c r="H106" s="2386"/>
      <c r="I106" s="2386"/>
      <c r="J106" s="2386"/>
      <c r="K106" s="2386"/>
      <c r="L106" s="2386"/>
      <c r="M106" s="2386"/>
      <c r="N106" s="2386"/>
      <c r="O106" s="2386"/>
      <c r="P106" s="2386"/>
      <c r="Q106" s="2386"/>
      <c r="R106" s="2386"/>
      <c r="S106" s="2386"/>
      <c r="T106" s="2386"/>
      <c r="U106" s="2386"/>
      <c r="V106" s="2386"/>
      <c r="W106" s="2386"/>
      <c r="X106" s="2386"/>
      <c r="Y106" s="2386"/>
      <c r="Z106" s="2386"/>
      <c r="AA106" s="2386"/>
      <c r="AB106" s="2386"/>
      <c r="AC106" s="2386"/>
    </row>
    <row r="107" spans="6:29" ht="16.5" customHeight="1">
      <c r="F107" s="2386"/>
      <c r="G107" s="2386"/>
      <c r="H107" s="2386"/>
      <c r="I107" s="2386"/>
      <c r="J107" s="2386"/>
      <c r="K107" s="2386"/>
      <c r="L107" s="2386"/>
      <c r="M107" s="2386"/>
      <c r="N107" s="2386"/>
      <c r="O107" s="2386"/>
      <c r="P107" s="2386"/>
      <c r="Q107" s="2386"/>
      <c r="R107" s="2386"/>
      <c r="S107" s="2386"/>
      <c r="T107" s="2386"/>
      <c r="U107" s="2386"/>
      <c r="V107" s="2386"/>
      <c r="W107" s="2386"/>
      <c r="X107" s="2386"/>
      <c r="Y107" s="2386"/>
      <c r="Z107" s="2386"/>
      <c r="AA107" s="2386"/>
      <c r="AB107" s="2386"/>
      <c r="AC107" s="2386"/>
    </row>
    <row r="108" spans="6:29" ht="16.5" customHeight="1">
      <c r="F108" s="2386"/>
      <c r="G108" s="2386"/>
      <c r="H108" s="2386"/>
      <c r="I108" s="2386"/>
      <c r="J108" s="2386"/>
      <c r="K108" s="2386"/>
      <c r="L108" s="2386"/>
      <c r="M108" s="2386"/>
      <c r="N108" s="2386"/>
      <c r="O108" s="2386"/>
      <c r="P108" s="2386"/>
      <c r="Q108" s="2386"/>
      <c r="R108" s="2386"/>
      <c r="S108" s="2386"/>
      <c r="T108" s="2386"/>
      <c r="U108" s="2386"/>
      <c r="V108" s="2386"/>
      <c r="W108" s="2386"/>
      <c r="X108" s="2386"/>
      <c r="Y108" s="2386"/>
      <c r="Z108" s="2386"/>
      <c r="AA108" s="2386"/>
      <c r="AB108" s="2386"/>
      <c r="AC108" s="2386"/>
    </row>
    <row r="109" spans="6:29" ht="16.5" customHeight="1">
      <c r="F109" s="2386"/>
      <c r="G109" s="2386"/>
      <c r="H109" s="2386"/>
      <c r="I109" s="2386"/>
      <c r="J109" s="2386"/>
      <c r="K109" s="2386"/>
      <c r="L109" s="2386"/>
      <c r="M109" s="2386"/>
      <c r="N109" s="2386"/>
      <c r="O109" s="2386"/>
      <c r="P109" s="2386"/>
      <c r="Q109" s="2386"/>
      <c r="R109" s="2386"/>
      <c r="S109" s="2386"/>
      <c r="T109" s="2386"/>
      <c r="U109" s="2386"/>
      <c r="V109" s="2386"/>
      <c r="W109" s="2386"/>
      <c r="X109" s="2386"/>
      <c r="Y109" s="2386"/>
      <c r="Z109" s="2386"/>
      <c r="AA109" s="2386"/>
      <c r="AB109" s="2386"/>
      <c r="AC109" s="2386"/>
    </row>
    <row r="110" spans="6:29" ht="16.5" customHeight="1">
      <c r="F110" s="2386"/>
      <c r="G110" s="2386"/>
      <c r="H110" s="2386"/>
      <c r="I110" s="2386"/>
      <c r="J110" s="2386"/>
      <c r="K110" s="2386"/>
      <c r="L110" s="2386"/>
      <c r="M110" s="2386"/>
      <c r="N110" s="2386"/>
      <c r="O110" s="2386"/>
      <c r="P110" s="2386"/>
      <c r="Q110" s="2386"/>
      <c r="R110" s="2386"/>
      <c r="S110" s="2386"/>
      <c r="T110" s="2386"/>
      <c r="U110" s="2386"/>
      <c r="V110" s="2386"/>
      <c r="W110" s="2386"/>
      <c r="X110" s="2386"/>
      <c r="Y110" s="2386"/>
      <c r="Z110" s="2386"/>
      <c r="AA110" s="2386"/>
      <c r="AB110" s="2386"/>
      <c r="AC110" s="2386"/>
    </row>
    <row r="111" spans="6:29" ht="16.5" customHeight="1">
      <c r="F111" s="2386"/>
      <c r="G111" s="2386"/>
      <c r="H111" s="2386"/>
      <c r="I111" s="2386"/>
      <c r="J111" s="2386"/>
      <c r="K111" s="2386"/>
      <c r="L111" s="2386"/>
      <c r="M111" s="2386"/>
      <c r="N111" s="2386"/>
      <c r="O111" s="2386"/>
      <c r="P111" s="2386"/>
      <c r="Q111" s="2386"/>
      <c r="R111" s="2386"/>
      <c r="S111" s="2386"/>
      <c r="T111" s="2386"/>
      <c r="U111" s="2386"/>
      <c r="V111" s="2386"/>
      <c r="W111" s="2386"/>
      <c r="X111" s="2386"/>
      <c r="Y111" s="2386"/>
      <c r="Z111" s="2386"/>
      <c r="AA111" s="2386"/>
      <c r="AB111" s="2386"/>
      <c r="AC111" s="2386"/>
    </row>
    <row r="112" spans="6:29" ht="16.5" customHeight="1">
      <c r="F112" s="2386"/>
      <c r="G112" s="2386"/>
      <c r="H112" s="2386"/>
      <c r="I112" s="2386"/>
      <c r="J112" s="2386"/>
      <c r="K112" s="2386"/>
      <c r="L112" s="2386"/>
      <c r="M112" s="2386"/>
      <c r="N112" s="2386"/>
      <c r="O112" s="2386"/>
      <c r="P112" s="2386"/>
      <c r="Q112" s="2386"/>
      <c r="R112" s="2386"/>
      <c r="S112" s="2386"/>
      <c r="T112" s="2386"/>
      <c r="U112" s="2386"/>
      <c r="V112" s="2386"/>
      <c r="W112" s="2386"/>
      <c r="X112" s="2386"/>
      <c r="Y112" s="2386"/>
      <c r="Z112" s="2386"/>
      <c r="AA112" s="2386"/>
      <c r="AB112" s="2386"/>
      <c r="AC112" s="2386"/>
    </row>
    <row r="113" spans="6:29" ht="16.5" customHeight="1">
      <c r="F113" s="2386"/>
      <c r="G113" s="2386"/>
      <c r="H113" s="2386"/>
      <c r="I113" s="2386"/>
      <c r="J113" s="2386"/>
      <c r="K113" s="2386"/>
      <c r="L113" s="2386"/>
      <c r="M113" s="2386"/>
      <c r="N113" s="2386"/>
      <c r="O113" s="2386"/>
      <c r="P113" s="2386"/>
      <c r="Q113" s="2386"/>
      <c r="R113" s="2386"/>
      <c r="S113" s="2386"/>
      <c r="T113" s="2386"/>
      <c r="U113" s="2386"/>
      <c r="V113" s="2386"/>
      <c r="W113" s="2386"/>
      <c r="X113" s="2386"/>
      <c r="Y113" s="2386"/>
      <c r="Z113" s="2386"/>
      <c r="AA113" s="2386"/>
      <c r="AB113" s="2386"/>
      <c r="AC113" s="2386"/>
    </row>
    <row r="114" spans="6:29" ht="16.5" customHeight="1">
      <c r="F114" s="2386"/>
      <c r="G114" s="2386"/>
      <c r="H114" s="2386"/>
      <c r="I114" s="2386"/>
      <c r="J114" s="2386"/>
      <c r="K114" s="2386"/>
      <c r="L114" s="2386"/>
      <c r="M114" s="2386"/>
      <c r="N114" s="2386"/>
      <c r="O114" s="2386"/>
      <c r="P114" s="2386"/>
      <c r="Q114" s="2386"/>
      <c r="R114" s="2386"/>
      <c r="S114" s="2386"/>
      <c r="T114" s="2386"/>
      <c r="U114" s="2386"/>
      <c r="V114" s="2386"/>
      <c r="W114" s="2386"/>
      <c r="X114" s="2386"/>
      <c r="Y114" s="2386"/>
      <c r="Z114" s="2386"/>
      <c r="AA114" s="2386"/>
      <c r="AB114" s="2386"/>
      <c r="AC114" s="2386"/>
    </row>
    <row r="115" spans="6:29" ht="16.5" customHeight="1">
      <c r="F115" s="2386"/>
      <c r="G115" s="2386"/>
      <c r="H115" s="2386"/>
      <c r="I115" s="2386"/>
      <c r="J115" s="2386"/>
      <c r="K115" s="2386"/>
      <c r="L115" s="2386"/>
      <c r="M115" s="2386"/>
      <c r="N115" s="2386"/>
      <c r="O115" s="2386"/>
      <c r="P115" s="2386"/>
      <c r="Q115" s="2386"/>
      <c r="R115" s="2386"/>
      <c r="S115" s="2386"/>
      <c r="T115" s="2386"/>
      <c r="U115" s="2386"/>
      <c r="V115" s="2386"/>
      <c r="W115" s="2386"/>
      <c r="X115" s="2386"/>
      <c r="Y115" s="2386"/>
      <c r="Z115" s="2386"/>
      <c r="AA115" s="2386"/>
      <c r="AB115" s="2386"/>
      <c r="AC115" s="2386"/>
    </row>
    <row r="116" spans="6:29" ht="16.5" customHeight="1">
      <c r="F116" s="2386"/>
      <c r="G116" s="2386"/>
      <c r="H116" s="2386"/>
      <c r="I116" s="2386"/>
      <c r="J116" s="2386"/>
      <c r="K116" s="2386"/>
      <c r="L116" s="2386"/>
      <c r="M116" s="2386"/>
      <c r="N116" s="2386"/>
      <c r="O116" s="2386"/>
      <c r="P116" s="2386"/>
      <c r="Q116" s="2386"/>
      <c r="R116" s="2386"/>
      <c r="S116" s="2386"/>
      <c r="T116" s="2386"/>
      <c r="U116" s="2386"/>
      <c r="V116" s="2386"/>
      <c r="W116" s="2386"/>
      <c r="X116" s="2386"/>
      <c r="Y116" s="2386"/>
      <c r="Z116" s="2386"/>
      <c r="AA116" s="2386"/>
      <c r="AB116" s="2386"/>
      <c r="AC116" s="2386"/>
    </row>
    <row r="117" spans="6:29" ht="16.5" customHeight="1">
      <c r="F117" s="2386"/>
      <c r="G117" s="2386"/>
      <c r="H117" s="2386"/>
      <c r="I117" s="2386"/>
      <c r="J117" s="2386"/>
      <c r="K117" s="2386"/>
      <c r="L117" s="2386"/>
      <c r="M117" s="2386"/>
      <c r="N117" s="2386"/>
      <c r="O117" s="2386"/>
      <c r="P117" s="2386"/>
      <c r="Q117" s="2386"/>
      <c r="R117" s="2386"/>
      <c r="S117" s="2386"/>
      <c r="T117" s="2386"/>
      <c r="U117" s="2386"/>
      <c r="V117" s="2386"/>
      <c r="W117" s="2386"/>
      <c r="X117" s="2386"/>
      <c r="Y117" s="2386"/>
      <c r="Z117" s="2386"/>
      <c r="AA117" s="2386"/>
      <c r="AB117" s="2386"/>
      <c r="AC117" s="2386"/>
    </row>
    <row r="118" spans="6:29" ht="16.5" customHeight="1">
      <c r="F118" s="2386"/>
      <c r="G118" s="2386"/>
      <c r="H118" s="2386"/>
      <c r="I118" s="2386"/>
      <c r="J118" s="2386"/>
      <c r="K118" s="2386"/>
      <c r="L118" s="2386"/>
      <c r="M118" s="2386"/>
      <c r="N118" s="2386"/>
      <c r="O118" s="2386"/>
      <c r="P118" s="2386"/>
      <c r="Q118" s="2386"/>
      <c r="R118" s="2386"/>
      <c r="S118" s="2386"/>
      <c r="T118" s="2386"/>
      <c r="U118" s="2386"/>
      <c r="V118" s="2386"/>
      <c r="W118" s="2386"/>
      <c r="X118" s="2386"/>
      <c r="Y118" s="2386"/>
      <c r="Z118" s="2386"/>
      <c r="AA118" s="2386"/>
      <c r="AB118" s="2386"/>
      <c r="AC118" s="2386"/>
    </row>
    <row r="119" spans="6:29" ht="16.5" customHeight="1">
      <c r="F119" s="2386"/>
      <c r="G119" s="2386"/>
      <c r="H119" s="2386"/>
      <c r="I119" s="2386"/>
      <c r="J119" s="2386"/>
      <c r="K119" s="2386"/>
      <c r="L119" s="2386"/>
      <c r="M119" s="2386"/>
      <c r="N119" s="2386"/>
      <c r="O119" s="2386"/>
      <c r="P119" s="2386"/>
      <c r="Q119" s="2386"/>
      <c r="R119" s="2386"/>
      <c r="S119" s="2386"/>
      <c r="T119" s="2386"/>
      <c r="U119" s="2386"/>
      <c r="V119" s="2386"/>
      <c r="W119" s="2386"/>
      <c r="X119" s="2386"/>
      <c r="Y119" s="2386"/>
      <c r="Z119" s="2386"/>
      <c r="AA119" s="2386"/>
      <c r="AB119" s="2386"/>
      <c r="AC119" s="2386"/>
    </row>
    <row r="120" spans="6:29" ht="16.5" customHeight="1">
      <c r="F120" s="2386"/>
      <c r="G120" s="2386"/>
      <c r="H120" s="2386"/>
      <c r="I120" s="2386"/>
      <c r="J120" s="2386"/>
      <c r="K120" s="2386"/>
      <c r="L120" s="2386"/>
      <c r="M120" s="2386"/>
      <c r="N120" s="2386"/>
      <c r="O120" s="2386"/>
      <c r="P120" s="2386"/>
      <c r="Q120" s="2386"/>
      <c r="R120" s="2386"/>
      <c r="S120" s="2386"/>
      <c r="T120" s="2386"/>
      <c r="U120" s="2386"/>
      <c r="V120" s="2386"/>
      <c r="W120" s="2386"/>
      <c r="X120" s="2386"/>
      <c r="Y120" s="2386"/>
      <c r="Z120" s="2386"/>
      <c r="AA120" s="2386"/>
      <c r="AB120" s="2386"/>
      <c r="AC120" s="2386"/>
    </row>
    <row r="121" spans="6:29" ht="16.5" customHeight="1">
      <c r="F121" s="2386"/>
      <c r="G121" s="2386"/>
      <c r="H121" s="2386"/>
      <c r="I121" s="2386"/>
      <c r="J121" s="2386"/>
      <c r="K121" s="2386"/>
      <c r="L121" s="2386"/>
      <c r="M121" s="2386"/>
      <c r="N121" s="2386"/>
      <c r="O121" s="2386"/>
      <c r="P121" s="2386"/>
      <c r="Q121" s="2386"/>
      <c r="R121" s="2386"/>
      <c r="S121" s="2386"/>
      <c r="T121" s="2386"/>
      <c r="U121" s="2386"/>
      <c r="V121" s="2386"/>
      <c r="W121" s="2386"/>
      <c r="X121" s="2386"/>
      <c r="Y121" s="2386"/>
      <c r="Z121" s="2386"/>
      <c r="AA121" s="2386"/>
      <c r="AB121" s="2386"/>
      <c r="AC121" s="2386"/>
    </row>
    <row r="122" spans="6:29" ht="16.5" customHeight="1">
      <c r="F122" s="2386"/>
      <c r="G122" s="2386"/>
      <c r="H122" s="2386"/>
      <c r="I122" s="2386"/>
      <c r="J122" s="2386"/>
      <c r="K122" s="2386"/>
      <c r="L122" s="2386"/>
      <c r="M122" s="2386"/>
      <c r="N122" s="2386"/>
      <c r="O122" s="2386"/>
      <c r="P122" s="2386"/>
      <c r="Q122" s="2386"/>
      <c r="R122" s="2386"/>
      <c r="S122" s="2386"/>
      <c r="T122" s="2386"/>
      <c r="U122" s="2386"/>
      <c r="V122" s="2386"/>
      <c r="W122" s="2386"/>
      <c r="X122" s="2386"/>
      <c r="Y122" s="2386"/>
      <c r="Z122" s="2386"/>
      <c r="AA122" s="2386"/>
      <c r="AB122" s="2386"/>
      <c r="AC122" s="2386"/>
    </row>
    <row r="123" spans="6:29" ht="16.5" customHeight="1">
      <c r="F123" s="2386"/>
      <c r="G123" s="2386"/>
      <c r="H123" s="2386"/>
      <c r="I123" s="2386"/>
      <c r="J123" s="2386"/>
      <c r="K123" s="2386"/>
      <c r="L123" s="2386"/>
      <c r="M123" s="2386"/>
      <c r="N123" s="2386"/>
      <c r="O123" s="2386"/>
      <c r="P123" s="2386"/>
      <c r="Q123" s="2386"/>
      <c r="R123" s="2386"/>
      <c r="S123" s="2386"/>
      <c r="T123" s="2386"/>
      <c r="U123" s="2386"/>
      <c r="V123" s="2386"/>
      <c r="W123" s="2386"/>
      <c r="X123" s="2386"/>
      <c r="Y123" s="2386"/>
      <c r="Z123" s="2386"/>
      <c r="AA123" s="2386"/>
      <c r="AB123" s="2386"/>
      <c r="AC123" s="2386"/>
    </row>
    <row r="124" spans="6:29" ht="16.5" customHeight="1">
      <c r="F124" s="2386"/>
      <c r="G124" s="2386"/>
      <c r="H124" s="2386"/>
      <c r="I124" s="2386"/>
      <c r="J124" s="2386"/>
      <c r="K124" s="2386"/>
      <c r="L124" s="2386"/>
      <c r="M124" s="2386"/>
      <c r="N124" s="2386"/>
      <c r="O124" s="2386"/>
      <c r="P124" s="2386"/>
      <c r="Q124" s="2386"/>
      <c r="R124" s="2386"/>
      <c r="S124" s="2386"/>
      <c r="T124" s="2386"/>
      <c r="U124" s="2386"/>
      <c r="V124" s="2386"/>
      <c r="W124" s="2386"/>
      <c r="X124" s="2386"/>
      <c r="Y124" s="2386"/>
      <c r="Z124" s="2386"/>
      <c r="AA124" s="2386"/>
      <c r="AB124" s="2386"/>
      <c r="AC124" s="2386"/>
    </row>
    <row r="125" spans="6:29" ht="16.5" customHeight="1">
      <c r="F125" s="2386"/>
      <c r="G125" s="2386"/>
      <c r="H125" s="2386"/>
      <c r="I125" s="2386"/>
      <c r="J125" s="2386"/>
      <c r="K125" s="2386"/>
      <c r="L125" s="2386"/>
      <c r="M125" s="2386"/>
      <c r="N125" s="2386"/>
      <c r="O125" s="2386"/>
      <c r="P125" s="2386"/>
      <c r="Q125" s="2386"/>
      <c r="R125" s="2386"/>
      <c r="S125" s="2386"/>
      <c r="T125" s="2386"/>
      <c r="U125" s="2386"/>
      <c r="V125" s="2386"/>
      <c r="W125" s="2386"/>
      <c r="X125" s="2386"/>
      <c r="Y125" s="2386"/>
      <c r="Z125" s="2386"/>
      <c r="AA125" s="2386"/>
      <c r="AB125" s="2386"/>
      <c r="AC125" s="2386"/>
    </row>
    <row r="126" spans="6:29" ht="16.5" customHeight="1">
      <c r="F126" s="2386"/>
      <c r="G126" s="2386"/>
      <c r="H126" s="2386"/>
      <c r="I126" s="2386"/>
      <c r="J126" s="2386"/>
      <c r="K126" s="2386"/>
      <c r="L126" s="2386"/>
      <c r="M126" s="2386"/>
      <c r="N126" s="2386"/>
      <c r="O126" s="2386"/>
      <c r="P126" s="2386"/>
      <c r="Q126" s="2386"/>
      <c r="R126" s="2386"/>
      <c r="S126" s="2386"/>
      <c r="T126" s="2386"/>
      <c r="U126" s="2386"/>
      <c r="V126" s="2386"/>
      <c r="W126" s="2386"/>
      <c r="X126" s="2386"/>
      <c r="Y126" s="2386"/>
      <c r="Z126" s="2386"/>
      <c r="AA126" s="2386"/>
      <c r="AB126" s="2386"/>
      <c r="AC126" s="2386"/>
    </row>
    <row r="127" spans="6:29" ht="16.5" customHeight="1">
      <c r="F127" s="2386"/>
      <c r="G127" s="2386"/>
      <c r="H127" s="2386"/>
      <c r="I127" s="2386"/>
      <c r="J127" s="2386"/>
      <c r="K127" s="2386"/>
      <c r="L127" s="2386"/>
      <c r="M127" s="2386"/>
      <c r="N127" s="2386"/>
      <c r="O127" s="2386"/>
      <c r="P127" s="2386"/>
      <c r="Q127" s="2386"/>
      <c r="R127" s="2386"/>
      <c r="S127" s="2386"/>
      <c r="T127" s="2386"/>
      <c r="U127" s="2386"/>
      <c r="V127" s="2386"/>
      <c r="W127" s="2386"/>
      <c r="X127" s="2386"/>
      <c r="Y127" s="2386"/>
      <c r="Z127" s="2386"/>
      <c r="AA127" s="2386"/>
      <c r="AB127" s="2386"/>
      <c r="AC127" s="2386"/>
    </row>
    <row r="128" spans="6:29" ht="16.5" customHeight="1">
      <c r="F128" s="2386"/>
      <c r="G128" s="2386"/>
      <c r="H128" s="2386"/>
      <c r="I128" s="2386"/>
      <c r="J128" s="2386"/>
      <c r="K128" s="2386"/>
      <c r="L128" s="2386"/>
      <c r="M128" s="2386"/>
      <c r="N128" s="2386"/>
      <c r="O128" s="2386"/>
      <c r="P128" s="2386"/>
      <c r="Q128" s="2386"/>
      <c r="R128" s="2386"/>
      <c r="S128" s="2386"/>
      <c r="T128" s="2386"/>
      <c r="U128" s="2386"/>
      <c r="V128" s="2386"/>
      <c r="W128" s="2386"/>
      <c r="X128" s="2386"/>
      <c r="Y128" s="2386"/>
      <c r="Z128" s="2386"/>
      <c r="AA128" s="2386"/>
      <c r="AB128" s="2386"/>
      <c r="AC128" s="2386"/>
    </row>
    <row r="129" spans="6:29" ht="16.5" customHeight="1">
      <c r="F129" s="2386"/>
      <c r="G129" s="2386"/>
      <c r="H129" s="2386"/>
      <c r="I129" s="2386"/>
      <c r="J129" s="2386"/>
      <c r="K129" s="2386"/>
      <c r="L129" s="2386"/>
      <c r="M129" s="2386"/>
      <c r="N129" s="2386"/>
      <c r="O129" s="2386"/>
      <c r="P129" s="2386"/>
      <c r="Q129" s="2386"/>
      <c r="R129" s="2386"/>
      <c r="S129" s="2386"/>
      <c r="T129" s="2386"/>
      <c r="U129" s="2386"/>
      <c r="V129" s="2386"/>
      <c r="W129" s="2386"/>
      <c r="X129" s="2386"/>
      <c r="Y129" s="2386"/>
      <c r="Z129" s="2386"/>
      <c r="AA129" s="2386"/>
      <c r="AB129" s="2386"/>
      <c r="AC129" s="2386"/>
    </row>
    <row r="130" spans="6:29" ht="16.5" customHeight="1">
      <c r="F130" s="2386"/>
      <c r="G130" s="2386"/>
      <c r="H130" s="2386"/>
      <c r="I130" s="2386"/>
      <c r="J130" s="2386"/>
      <c r="K130" s="2386"/>
      <c r="L130" s="2386"/>
      <c r="M130" s="2386"/>
      <c r="N130" s="2386"/>
      <c r="O130" s="2386"/>
      <c r="P130" s="2386"/>
      <c r="Q130" s="2386"/>
      <c r="R130" s="2386"/>
      <c r="S130" s="2386"/>
      <c r="T130" s="2386"/>
      <c r="U130" s="2386"/>
      <c r="V130" s="2386"/>
      <c r="W130" s="2386"/>
      <c r="X130" s="2386"/>
      <c r="Y130" s="2386"/>
      <c r="Z130" s="2386"/>
      <c r="AA130" s="2386"/>
      <c r="AB130" s="2386"/>
      <c r="AC130" s="2386"/>
    </row>
    <row r="131" spans="6:29" ht="16.5" customHeight="1">
      <c r="F131" s="2386"/>
      <c r="G131" s="2386"/>
      <c r="H131" s="2386"/>
      <c r="I131" s="2386"/>
      <c r="J131" s="2386"/>
      <c r="K131" s="2386"/>
      <c r="L131" s="2386"/>
      <c r="M131" s="2386"/>
      <c r="N131" s="2386"/>
      <c r="O131" s="2386"/>
      <c r="P131" s="2386"/>
      <c r="Q131" s="2386"/>
      <c r="R131" s="2386"/>
      <c r="S131" s="2386"/>
      <c r="T131" s="2386"/>
      <c r="U131" s="2386"/>
      <c r="V131" s="2386"/>
      <c r="W131" s="2386"/>
      <c r="X131" s="2386"/>
      <c r="Y131" s="2386"/>
      <c r="Z131" s="2386"/>
      <c r="AA131" s="2386"/>
      <c r="AB131" s="2386"/>
      <c r="AC131" s="2386"/>
    </row>
    <row r="132" spans="6:29" ht="16.5" customHeight="1">
      <c r="F132" s="2386"/>
      <c r="G132" s="2386"/>
      <c r="H132" s="2386"/>
      <c r="I132" s="2386"/>
      <c r="J132" s="2386"/>
      <c r="K132" s="2386"/>
      <c r="L132" s="2386"/>
      <c r="M132" s="2386"/>
      <c r="N132" s="2386"/>
      <c r="O132" s="2386"/>
      <c r="P132" s="2386"/>
      <c r="Q132" s="2386"/>
      <c r="R132" s="2386"/>
      <c r="S132" s="2386"/>
      <c r="T132" s="2386"/>
      <c r="U132" s="2386"/>
      <c r="V132" s="2386"/>
      <c r="W132" s="2386"/>
      <c r="X132" s="2386"/>
      <c r="Y132" s="2386"/>
      <c r="Z132" s="2386"/>
      <c r="AA132" s="2386"/>
      <c r="AB132" s="2386"/>
      <c r="AC132" s="2386"/>
    </row>
    <row r="133" spans="6:29" ht="16.5" customHeight="1">
      <c r="F133" s="2386"/>
      <c r="G133" s="2386"/>
      <c r="H133" s="2386"/>
      <c r="I133" s="2386"/>
      <c r="J133" s="2386"/>
      <c r="K133" s="2386"/>
      <c r="L133" s="2386"/>
      <c r="M133" s="2386"/>
      <c r="N133" s="2386"/>
      <c r="O133" s="2386"/>
      <c r="P133" s="2386"/>
      <c r="Q133" s="2386"/>
      <c r="R133" s="2386"/>
      <c r="S133" s="2386"/>
      <c r="T133" s="2386"/>
      <c r="U133" s="2386"/>
      <c r="V133" s="2386"/>
      <c r="W133" s="2386"/>
      <c r="X133" s="2386"/>
      <c r="Y133" s="2386"/>
      <c r="Z133" s="2386"/>
      <c r="AA133" s="2386"/>
      <c r="AB133" s="2386"/>
      <c r="AC133" s="2386"/>
    </row>
    <row r="134" spans="6:29" ht="16.5" customHeight="1">
      <c r="F134" s="2386"/>
      <c r="G134" s="2386"/>
      <c r="H134" s="2386"/>
      <c r="I134" s="2386"/>
      <c r="J134" s="2386"/>
      <c r="K134" s="2386"/>
      <c r="L134" s="2386"/>
      <c r="M134" s="2386"/>
      <c r="N134" s="2386"/>
      <c r="O134" s="2386"/>
      <c r="P134" s="2386"/>
      <c r="Q134" s="2386"/>
      <c r="R134" s="2386"/>
      <c r="S134" s="2386"/>
      <c r="T134" s="2386"/>
      <c r="U134" s="2386"/>
      <c r="V134" s="2386"/>
      <c r="W134" s="2386"/>
      <c r="X134" s="2386"/>
      <c r="Y134" s="2386"/>
      <c r="Z134" s="2386"/>
      <c r="AA134" s="2386"/>
      <c r="AB134" s="2386"/>
      <c r="AC134" s="2386"/>
    </row>
    <row r="135" spans="6:29" ht="16.5" customHeight="1">
      <c r="F135" s="2386"/>
      <c r="G135" s="2386"/>
      <c r="H135" s="2386"/>
      <c r="I135" s="2386"/>
      <c r="J135" s="2386"/>
      <c r="K135" s="2386"/>
      <c r="L135" s="2386"/>
      <c r="M135" s="2386"/>
      <c r="N135" s="2386"/>
      <c r="O135" s="2386"/>
      <c r="P135" s="2386"/>
      <c r="Q135" s="2386"/>
      <c r="R135" s="2386"/>
      <c r="S135" s="2386"/>
      <c r="T135" s="2386"/>
      <c r="U135" s="2386"/>
      <c r="V135" s="2386"/>
      <c r="W135" s="2386"/>
      <c r="X135" s="2386"/>
      <c r="Y135" s="2386"/>
      <c r="Z135" s="2386"/>
      <c r="AA135" s="2386"/>
      <c r="AB135" s="2386"/>
      <c r="AC135" s="2386"/>
    </row>
    <row r="136" spans="6:29" ht="16.5" customHeight="1">
      <c r="F136" s="2386"/>
      <c r="G136" s="2386"/>
      <c r="H136" s="2386"/>
      <c r="I136" s="2386"/>
      <c r="J136" s="2386"/>
      <c r="K136" s="2386"/>
      <c r="L136" s="2386"/>
      <c r="M136" s="2386"/>
      <c r="N136" s="2386"/>
      <c r="O136" s="2386"/>
      <c r="P136" s="2386"/>
      <c r="Q136" s="2386"/>
      <c r="R136" s="2386"/>
      <c r="S136" s="2386"/>
      <c r="T136" s="2386"/>
      <c r="U136" s="2386"/>
      <c r="V136" s="2386"/>
      <c r="W136" s="2386"/>
      <c r="X136" s="2386"/>
      <c r="Y136" s="2386"/>
      <c r="Z136" s="2386"/>
      <c r="AA136" s="2386"/>
      <c r="AB136" s="2386"/>
      <c r="AC136" s="2386"/>
    </row>
    <row r="137" spans="6:29" ht="16.5" customHeight="1">
      <c r="F137" s="2386"/>
      <c r="G137" s="2386"/>
      <c r="H137" s="2386"/>
      <c r="I137" s="2386"/>
      <c r="J137" s="2386"/>
      <c r="K137" s="2386"/>
      <c r="L137" s="2386"/>
      <c r="M137" s="2386"/>
      <c r="N137" s="2386"/>
      <c r="O137" s="2386"/>
      <c r="P137" s="2386"/>
      <c r="Q137" s="2386"/>
      <c r="R137" s="2386"/>
      <c r="S137" s="2386"/>
      <c r="T137" s="2386"/>
      <c r="U137" s="2386"/>
      <c r="V137" s="2386"/>
      <c r="W137" s="2386"/>
      <c r="X137" s="2386"/>
      <c r="Y137" s="2386"/>
      <c r="Z137" s="2386"/>
      <c r="AA137" s="2386"/>
      <c r="AB137" s="2386"/>
      <c r="AC137" s="2386"/>
    </row>
    <row r="138" spans="6:29" ht="16.5" customHeight="1">
      <c r="F138" s="2386"/>
      <c r="G138" s="2386"/>
      <c r="H138" s="2386"/>
      <c r="I138" s="2386"/>
      <c r="J138" s="2386"/>
      <c r="K138" s="2386"/>
      <c r="L138" s="2386"/>
      <c r="M138" s="2386"/>
      <c r="N138" s="2386"/>
      <c r="O138" s="2386"/>
      <c r="P138" s="2386"/>
      <c r="Q138" s="2386"/>
      <c r="R138" s="2386"/>
      <c r="S138" s="2386"/>
      <c r="T138" s="2386"/>
      <c r="U138" s="2386"/>
      <c r="V138" s="2386"/>
      <c r="W138" s="2386"/>
      <c r="X138" s="2386"/>
      <c r="Y138" s="2386"/>
      <c r="Z138" s="2386"/>
      <c r="AA138" s="2386"/>
      <c r="AB138" s="2386"/>
      <c r="AC138" s="2386"/>
    </row>
    <row r="139" spans="6:29" ht="16.5" customHeight="1">
      <c r="F139" s="2386"/>
      <c r="G139" s="2386"/>
      <c r="H139" s="2386"/>
      <c r="I139" s="2386"/>
      <c r="J139" s="2386"/>
      <c r="K139" s="2386"/>
      <c r="L139" s="2386"/>
      <c r="M139" s="2386"/>
      <c r="N139" s="2386"/>
      <c r="O139" s="2386"/>
      <c r="P139" s="2386"/>
      <c r="Q139" s="2386"/>
      <c r="R139" s="2386"/>
      <c r="S139" s="2386"/>
      <c r="T139" s="2386"/>
      <c r="U139" s="2386"/>
      <c r="V139" s="2386"/>
      <c r="W139" s="2386"/>
      <c r="X139" s="2386"/>
      <c r="Y139" s="2386"/>
      <c r="Z139" s="2386"/>
      <c r="AA139" s="2386"/>
      <c r="AB139" s="2386"/>
      <c r="AC139" s="2386"/>
    </row>
    <row r="140" spans="6:29" ht="16.5" customHeight="1">
      <c r="F140" s="2386"/>
      <c r="G140" s="2386"/>
      <c r="H140" s="2386"/>
      <c r="I140" s="2386"/>
      <c r="J140" s="2386"/>
      <c r="K140" s="2386"/>
      <c r="L140" s="2386"/>
      <c r="M140" s="2386"/>
      <c r="N140" s="2386"/>
      <c r="O140" s="2386"/>
      <c r="P140" s="2386"/>
      <c r="Q140" s="2386"/>
      <c r="R140" s="2386"/>
      <c r="S140" s="2386"/>
      <c r="T140" s="2386"/>
      <c r="U140" s="2386"/>
      <c r="V140" s="2386"/>
      <c r="W140" s="2386"/>
      <c r="X140" s="2386"/>
      <c r="Y140" s="2386"/>
      <c r="Z140" s="2386"/>
      <c r="AA140" s="2386"/>
      <c r="AB140" s="2386"/>
      <c r="AC140" s="2386"/>
    </row>
    <row r="141" spans="6:29" ht="16.5" customHeight="1">
      <c r="F141" s="2386"/>
      <c r="G141" s="2386"/>
      <c r="H141" s="2386"/>
      <c r="I141" s="2386"/>
      <c r="J141" s="2386"/>
      <c r="K141" s="2386"/>
      <c r="L141" s="2386"/>
      <c r="M141" s="2386"/>
      <c r="N141" s="2386"/>
      <c r="O141" s="2386"/>
      <c r="P141" s="2386"/>
      <c r="Q141" s="2386"/>
      <c r="R141" s="2386"/>
      <c r="S141" s="2386"/>
      <c r="T141" s="2386"/>
      <c r="U141" s="2386"/>
      <c r="V141" s="2386"/>
      <c r="W141" s="2386"/>
      <c r="X141" s="2386"/>
      <c r="Y141" s="2386"/>
      <c r="Z141" s="2386"/>
      <c r="AA141" s="2386"/>
      <c r="AB141" s="2386"/>
      <c r="AC141" s="2386"/>
    </row>
    <row r="142" spans="6:29" ht="16.5" customHeight="1">
      <c r="F142" s="2386"/>
      <c r="G142" s="2386"/>
      <c r="H142" s="2386"/>
      <c r="I142" s="2386"/>
      <c r="J142" s="2386"/>
      <c r="K142" s="2386"/>
      <c r="L142" s="2386"/>
      <c r="M142" s="2386"/>
      <c r="N142" s="2386"/>
      <c r="O142" s="2386"/>
      <c r="P142" s="2386"/>
      <c r="Q142" s="2386"/>
      <c r="R142" s="2386"/>
      <c r="S142" s="2386"/>
      <c r="T142" s="2386"/>
      <c r="U142" s="2386"/>
      <c r="V142" s="2386"/>
      <c r="W142" s="2386"/>
      <c r="X142" s="2386"/>
      <c r="Y142" s="2386"/>
      <c r="Z142" s="2386"/>
      <c r="AA142" s="2386"/>
      <c r="AB142" s="2386"/>
      <c r="AC142" s="2386"/>
    </row>
    <row r="143" spans="6:29" ht="16.5" customHeight="1">
      <c r="F143" s="2386"/>
      <c r="G143" s="2386"/>
      <c r="H143" s="2386"/>
      <c r="I143" s="2386"/>
      <c r="J143" s="2386"/>
      <c r="K143" s="2386"/>
      <c r="L143" s="2386"/>
      <c r="M143" s="2386"/>
      <c r="N143" s="2386"/>
      <c r="O143" s="2386"/>
      <c r="P143" s="2386"/>
      <c r="Q143" s="2386"/>
      <c r="R143" s="2386"/>
      <c r="S143" s="2386"/>
      <c r="T143" s="2386"/>
      <c r="U143" s="2386"/>
      <c r="V143" s="2386"/>
      <c r="W143" s="2386"/>
      <c r="X143" s="2386"/>
      <c r="Y143" s="2386"/>
      <c r="Z143" s="2386"/>
      <c r="AA143" s="2386"/>
      <c r="AB143" s="2386"/>
      <c r="AC143" s="2386"/>
    </row>
    <row r="144" spans="6:29" ht="16.5" customHeight="1">
      <c r="F144" s="2386"/>
      <c r="G144" s="2386"/>
      <c r="H144" s="2386"/>
      <c r="I144" s="2386"/>
      <c r="J144" s="2386"/>
      <c r="K144" s="2386"/>
      <c r="L144" s="2386"/>
      <c r="M144" s="2386"/>
      <c r="N144" s="2386"/>
      <c r="O144" s="2386"/>
      <c r="P144" s="2386"/>
      <c r="Q144" s="2386"/>
      <c r="R144" s="2386"/>
      <c r="S144" s="2386"/>
      <c r="T144" s="2386"/>
      <c r="U144" s="2386"/>
      <c r="V144" s="2386"/>
      <c r="W144" s="2386"/>
      <c r="X144" s="2386"/>
      <c r="Y144" s="2386"/>
      <c r="Z144" s="2386"/>
      <c r="AA144" s="2386"/>
      <c r="AB144" s="2386"/>
      <c r="AC144" s="2386"/>
    </row>
    <row r="145" spans="6:29" ht="16.5" customHeight="1">
      <c r="F145" s="2386"/>
      <c r="G145" s="2386"/>
      <c r="H145" s="2386"/>
      <c r="I145" s="2386"/>
      <c r="J145" s="2386"/>
      <c r="K145" s="2386"/>
      <c r="L145" s="2386"/>
      <c r="M145" s="2386"/>
      <c r="N145" s="2386"/>
      <c r="O145" s="2386"/>
      <c r="P145" s="2386"/>
      <c r="Q145" s="2386"/>
      <c r="R145" s="2386"/>
      <c r="S145" s="2386"/>
      <c r="T145" s="2386"/>
      <c r="U145" s="2386"/>
      <c r="V145" s="2386"/>
      <c r="W145" s="2386"/>
      <c r="X145" s="2386"/>
      <c r="Y145" s="2386"/>
      <c r="Z145" s="2386"/>
      <c r="AA145" s="2386"/>
      <c r="AB145" s="2386"/>
      <c r="AC145" s="2386"/>
    </row>
    <row r="146" spans="6:29" ht="16.5" customHeight="1">
      <c r="F146" s="2386"/>
      <c r="G146" s="2386"/>
      <c r="H146" s="2386"/>
      <c r="I146" s="2386"/>
      <c r="J146" s="2386"/>
      <c r="K146" s="2386"/>
      <c r="L146" s="2386"/>
      <c r="M146" s="2386"/>
      <c r="N146" s="2386"/>
      <c r="O146" s="2386"/>
      <c r="P146" s="2386"/>
      <c r="Q146" s="2386"/>
      <c r="R146" s="2386"/>
      <c r="S146" s="2386"/>
      <c r="T146" s="2386"/>
      <c r="U146" s="2386"/>
      <c r="V146" s="2386"/>
      <c r="W146" s="2386"/>
      <c r="X146" s="2386"/>
      <c r="Y146" s="2386"/>
      <c r="Z146" s="2386"/>
      <c r="AA146" s="2386"/>
      <c r="AB146" s="2386"/>
      <c r="AC146" s="2386"/>
    </row>
    <row r="147" spans="6:29" ht="16.5" customHeight="1">
      <c r="F147" s="2386"/>
      <c r="G147" s="2386"/>
      <c r="H147" s="2386"/>
      <c r="I147" s="2386"/>
      <c r="J147" s="2386"/>
      <c r="K147" s="2386"/>
      <c r="L147" s="2386"/>
      <c r="M147" s="2386"/>
      <c r="N147" s="2386"/>
      <c r="O147" s="2386"/>
      <c r="P147" s="2386"/>
      <c r="Q147" s="2386"/>
      <c r="R147" s="2386"/>
      <c r="S147" s="2386"/>
      <c r="T147" s="2386"/>
      <c r="U147" s="2386"/>
      <c r="V147" s="2386"/>
      <c r="W147" s="2386"/>
      <c r="X147" s="2386"/>
      <c r="Y147" s="2386"/>
      <c r="Z147" s="2386"/>
      <c r="AA147" s="2386"/>
      <c r="AB147" s="2386"/>
      <c r="AC147" s="2386"/>
    </row>
    <row r="148" spans="6:29" ht="16.5" customHeight="1">
      <c r="F148" s="2386"/>
      <c r="G148" s="2386"/>
      <c r="H148" s="2386"/>
      <c r="I148" s="2386"/>
      <c r="J148" s="2386"/>
      <c r="K148" s="2386"/>
      <c r="L148" s="2386"/>
      <c r="M148" s="2386"/>
      <c r="N148" s="2386"/>
      <c r="O148" s="2386"/>
      <c r="P148" s="2386"/>
      <c r="Q148" s="2386"/>
      <c r="R148" s="2386"/>
      <c r="S148" s="2386"/>
      <c r="T148" s="2386"/>
      <c r="U148" s="2386"/>
      <c r="V148" s="2386"/>
      <c r="W148" s="2386"/>
      <c r="X148" s="2386"/>
      <c r="Y148" s="2386"/>
      <c r="Z148" s="2386"/>
      <c r="AA148" s="2386"/>
      <c r="AB148" s="2386"/>
      <c r="AC148" s="2386"/>
    </row>
    <row r="149" spans="6:29" ht="16.5" customHeight="1">
      <c r="F149" s="2386"/>
      <c r="G149" s="2386"/>
      <c r="H149" s="2386"/>
      <c r="I149" s="2386"/>
      <c r="J149" s="2386"/>
      <c r="K149" s="2386"/>
      <c r="L149" s="2386"/>
      <c r="M149" s="2386"/>
      <c r="N149" s="2386"/>
      <c r="O149" s="2386"/>
      <c r="P149" s="2386"/>
      <c r="Q149" s="2386"/>
      <c r="R149" s="2386"/>
      <c r="S149" s="2386"/>
      <c r="T149" s="2386"/>
      <c r="U149" s="2386"/>
      <c r="V149" s="2386"/>
      <c r="W149" s="2386"/>
      <c r="X149" s="2386"/>
      <c r="Y149" s="2386"/>
      <c r="Z149" s="2386"/>
      <c r="AA149" s="2386"/>
      <c r="AB149" s="2386"/>
      <c r="AC149" s="2386"/>
    </row>
    <row r="150" spans="6:29" ht="16.5" customHeight="1">
      <c r="F150" s="2386"/>
      <c r="G150" s="2386"/>
      <c r="H150" s="2386"/>
      <c r="I150" s="2386"/>
      <c r="J150" s="2386"/>
      <c r="K150" s="2386"/>
      <c r="L150" s="2386"/>
      <c r="M150" s="2386"/>
      <c r="N150" s="2386"/>
      <c r="O150" s="2386"/>
      <c r="P150" s="2386"/>
      <c r="Q150" s="2386"/>
      <c r="R150" s="2386"/>
      <c r="S150" s="2386"/>
      <c r="T150" s="2386"/>
      <c r="U150" s="2386"/>
      <c r="V150" s="2386"/>
      <c r="W150" s="2386"/>
      <c r="X150" s="2386"/>
      <c r="Y150" s="2386"/>
      <c r="Z150" s="2386"/>
      <c r="AA150" s="2386"/>
      <c r="AB150" s="2386"/>
      <c r="AC150" s="2386"/>
    </row>
    <row r="151" spans="6:29" ht="16.5" customHeight="1">
      <c r="F151" s="2386"/>
      <c r="G151" s="2386"/>
      <c r="H151" s="2386"/>
      <c r="I151" s="2386"/>
      <c r="J151" s="2386"/>
      <c r="K151" s="2386"/>
      <c r="L151" s="2386"/>
      <c r="M151" s="2386"/>
      <c r="N151" s="2386"/>
      <c r="O151" s="2386"/>
      <c r="P151" s="2386"/>
      <c r="Q151" s="2386"/>
      <c r="R151" s="2386"/>
      <c r="S151" s="2386"/>
      <c r="T151" s="2386"/>
      <c r="U151" s="2386"/>
      <c r="V151" s="2386"/>
      <c r="W151" s="2386"/>
      <c r="X151" s="2386"/>
      <c r="Y151" s="2386"/>
      <c r="Z151" s="2386"/>
      <c r="AA151" s="2386"/>
      <c r="AB151" s="2386"/>
      <c r="AC151" s="2386"/>
    </row>
    <row r="152" spans="6:29" ht="16.5" customHeight="1">
      <c r="F152" s="2386"/>
      <c r="G152" s="2386"/>
      <c r="H152" s="2386"/>
      <c r="AB152" s="2386"/>
      <c r="AC152" s="2386"/>
    </row>
    <row r="153" spans="6:8" ht="16.5" customHeight="1">
      <c r="F153" s="2386"/>
      <c r="G153" s="2386"/>
      <c r="H153" s="2386"/>
    </row>
    <row r="154" spans="6:8" ht="16.5" customHeight="1">
      <c r="F154" s="2386"/>
      <c r="G154" s="2386"/>
      <c r="H154" s="2386"/>
    </row>
    <row r="155" spans="6:8" ht="16.5" customHeight="1">
      <c r="F155" s="2386"/>
      <c r="G155" s="2386"/>
      <c r="H155" s="2386"/>
    </row>
    <row r="156" spans="6:8" ht="16.5" customHeight="1">
      <c r="F156" s="2386"/>
      <c r="G156" s="2386"/>
      <c r="H156" s="2386"/>
    </row>
    <row r="157" spans="6:8" ht="16.5" customHeight="1">
      <c r="F157" s="2386"/>
      <c r="G157" s="2386"/>
      <c r="H157" s="2386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77"/>
  <sheetViews>
    <sheetView zoomScale="60" zoomScaleNormal="60" zoomScalePageLayoutView="0" workbookViewId="0" topLeftCell="A1">
      <selection activeCell="A6" sqref="A6"/>
    </sheetView>
  </sheetViews>
  <sheetFormatPr defaultColWidth="11.421875" defaultRowHeight="12.75"/>
  <cols>
    <col min="1" max="1" width="7.00390625" style="1081" customWidth="1"/>
    <col min="2" max="2" width="14.140625" style="1081" customWidth="1"/>
    <col min="3" max="3" width="4.7109375" style="1081" customWidth="1"/>
    <col min="4" max="4" width="36.140625" style="1081" customWidth="1"/>
    <col min="5" max="5" width="20.7109375" style="1081" customWidth="1"/>
    <col min="6" max="6" width="15.00390625" style="1081" customWidth="1"/>
    <col min="7" max="7" width="13.8515625" style="1081" customWidth="1"/>
    <col min="8" max="8" width="6.421875" style="1081" hidden="1" customWidth="1"/>
    <col min="9" max="9" width="7.140625" style="1081" hidden="1" customWidth="1"/>
    <col min="10" max="11" width="18.7109375" style="1081" customWidth="1"/>
    <col min="12" max="13" width="10.7109375" style="1081" customWidth="1"/>
    <col min="14" max="14" width="9.7109375" style="1081" customWidth="1"/>
    <col min="15" max="15" width="10.57421875" style="1081" customWidth="1"/>
    <col min="16" max="16" width="8.421875" style="1081" customWidth="1"/>
    <col min="17" max="17" width="13.28125" style="1081" customWidth="1"/>
    <col min="18" max="18" width="12.28125" style="1081" hidden="1" customWidth="1"/>
    <col min="19" max="19" width="13.140625" style="1081" hidden="1" customWidth="1"/>
    <col min="20" max="22" width="5.28125" style="1081" hidden="1" customWidth="1"/>
    <col min="23" max="23" width="16.7109375" style="1081" hidden="1" customWidth="1"/>
    <col min="24" max="25" width="12.28125" style="1081" hidden="1" customWidth="1"/>
    <col min="26" max="27" width="5.28125" style="1081" hidden="1" customWidth="1"/>
    <col min="28" max="28" width="10.8515625" style="1081" customWidth="1"/>
    <col min="29" max="29" width="22.8515625" style="1081" customWidth="1"/>
    <col min="30" max="30" width="11.8515625" style="1081" customWidth="1"/>
    <col min="31" max="31" width="4.140625" style="1081" customWidth="1"/>
    <col min="32" max="32" width="7.140625" style="1081" customWidth="1"/>
    <col min="33" max="33" width="5.28125" style="1081" customWidth="1"/>
    <col min="34" max="34" width="5.421875" style="1081" customWidth="1"/>
    <col min="35" max="35" width="4.7109375" style="1081" customWidth="1"/>
    <col min="36" max="36" width="5.28125" style="1081" customWidth="1"/>
    <col min="37" max="38" width="13.28125" style="1081" customWidth="1"/>
    <col min="39" max="39" width="6.57421875" style="1081" customWidth="1"/>
    <col min="40" max="40" width="6.421875" style="1081" customWidth="1"/>
    <col min="41" max="44" width="11.421875" style="1081" customWidth="1"/>
    <col min="45" max="45" width="12.7109375" style="1081" customWidth="1"/>
    <col min="46" max="48" width="11.421875" style="1081" customWidth="1"/>
    <col min="49" max="49" width="21.00390625" style="1081" customWidth="1"/>
    <col min="50" max="16384" width="11.421875" style="1081" customWidth="1"/>
  </cols>
  <sheetData>
    <row r="1" spans="1:30" ht="13.5">
      <c r="A1" s="1078"/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  <c r="U1" s="1079"/>
      <c r="V1" s="1079"/>
      <c r="AD1" s="1080"/>
    </row>
    <row r="2" spans="1:23" ht="27" customHeight="1">
      <c r="A2" s="1078"/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079"/>
    </row>
    <row r="3" spans="1:30" s="1085" customFormat="1" ht="30.75">
      <c r="A3" s="1082"/>
      <c r="B3" s="1083" t="str">
        <f>'TOT-0614'!B2</f>
        <v>ANEXO I al Memorándum D.T.E.E. N°         347   / 2015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AB3" s="1084"/>
      <c r="AC3" s="1084"/>
      <c r="AD3" s="1084"/>
    </row>
    <row r="4" spans="1:2" s="1088" customFormat="1" ht="11.25">
      <c r="A4" s="2387" t="s">
        <v>2</v>
      </c>
      <c r="B4" s="2387"/>
    </row>
    <row r="5" spans="1:2" s="1088" customFormat="1" ht="11.25">
      <c r="A5" s="2387" t="s">
        <v>3</v>
      </c>
      <c r="B5" s="2387"/>
    </row>
    <row r="6" s="1088" customFormat="1" ht="12" thickBot="1">
      <c r="A6" s="2387"/>
    </row>
    <row r="7" spans="1:30" ht="16.5" customHeight="1" thickTop="1">
      <c r="A7" s="1079"/>
      <c r="B7" s="1089"/>
      <c r="C7" s="1090"/>
      <c r="D7" s="1090"/>
      <c r="E7" s="1091"/>
      <c r="F7" s="1090"/>
      <c r="G7" s="1090"/>
      <c r="H7" s="1090"/>
      <c r="I7" s="1090"/>
      <c r="J7" s="1090"/>
      <c r="K7" s="1090"/>
      <c r="L7" s="1090"/>
      <c r="M7" s="1090"/>
      <c r="N7" s="1090"/>
      <c r="O7" s="1090"/>
      <c r="P7" s="1090"/>
      <c r="Q7" s="1090"/>
      <c r="R7" s="1090"/>
      <c r="S7" s="1090"/>
      <c r="T7" s="1090"/>
      <c r="U7" s="1090"/>
      <c r="V7" s="1090"/>
      <c r="W7" s="1638"/>
      <c r="X7" s="1638"/>
      <c r="Y7" s="1638"/>
      <c r="Z7" s="1638"/>
      <c r="AA7" s="1638"/>
      <c r="AB7" s="1638"/>
      <c r="AC7" s="1638"/>
      <c r="AD7" s="1092"/>
    </row>
    <row r="8" spans="1:30" ht="20.25">
      <c r="A8" s="1079"/>
      <c r="B8" s="1093"/>
      <c r="C8" s="1094"/>
      <c r="D8" s="1095" t="s">
        <v>85</v>
      </c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6"/>
      <c r="Q8" s="1096"/>
      <c r="R8" s="1094"/>
      <c r="S8" s="1094"/>
      <c r="T8" s="1094"/>
      <c r="U8" s="1094"/>
      <c r="V8" s="1094"/>
      <c r="AD8" s="1097"/>
    </row>
    <row r="9" spans="1:30" ht="16.5" customHeight="1">
      <c r="A9" s="1079"/>
      <c r="B9" s="1093"/>
      <c r="C9" s="1094"/>
      <c r="D9" s="1094"/>
      <c r="E9" s="1094"/>
      <c r="F9" s="1094"/>
      <c r="G9" s="1094"/>
      <c r="H9" s="1094"/>
      <c r="I9" s="1094"/>
      <c r="J9" s="1094"/>
      <c r="K9" s="1094"/>
      <c r="L9" s="1094"/>
      <c r="M9" s="1094"/>
      <c r="N9" s="1094"/>
      <c r="O9" s="1094"/>
      <c r="P9" s="1094"/>
      <c r="Q9" s="1094"/>
      <c r="R9" s="1094"/>
      <c r="S9" s="1094"/>
      <c r="T9" s="1094"/>
      <c r="U9" s="1094"/>
      <c r="V9" s="1094"/>
      <c r="AD9" s="1097"/>
    </row>
    <row r="10" spans="2:30" s="1098" customFormat="1" ht="20.25">
      <c r="B10" s="1099"/>
      <c r="C10" s="1100"/>
      <c r="D10" s="1095" t="s">
        <v>86</v>
      </c>
      <c r="E10" s="1100"/>
      <c r="F10" s="1100"/>
      <c r="G10" s="1100"/>
      <c r="H10" s="1100"/>
      <c r="N10" s="1100"/>
      <c r="O10" s="1100"/>
      <c r="P10" s="1101"/>
      <c r="Q10" s="1101"/>
      <c r="R10" s="1100"/>
      <c r="S10" s="1100"/>
      <c r="T10" s="1100"/>
      <c r="U10" s="1100"/>
      <c r="V10" s="1100"/>
      <c r="W10" s="1081"/>
      <c r="X10" s="1100"/>
      <c r="Y10" s="1100"/>
      <c r="Z10" s="1100"/>
      <c r="AA10" s="1100"/>
      <c r="AB10" s="1100"/>
      <c r="AC10" s="1081"/>
      <c r="AD10" s="1102"/>
    </row>
    <row r="11" spans="1:30" ht="16.5" customHeight="1">
      <c r="A11" s="1079"/>
      <c r="B11" s="1093"/>
      <c r="C11" s="1094"/>
      <c r="D11" s="1094"/>
      <c r="E11" s="1094"/>
      <c r="F11" s="1094"/>
      <c r="G11" s="1094"/>
      <c r="H11" s="1094"/>
      <c r="I11" s="1094"/>
      <c r="J11" s="1094"/>
      <c r="K11" s="1094"/>
      <c r="L11" s="1094"/>
      <c r="M11" s="1094"/>
      <c r="N11" s="1094"/>
      <c r="O11" s="1094"/>
      <c r="P11" s="1094"/>
      <c r="Q11" s="1094"/>
      <c r="R11" s="1094"/>
      <c r="S11" s="1094"/>
      <c r="T11" s="1094"/>
      <c r="U11" s="1094"/>
      <c r="V11" s="1094"/>
      <c r="AD11" s="1097"/>
    </row>
    <row r="12" spans="2:30" s="1098" customFormat="1" ht="20.25">
      <c r="B12" s="1099"/>
      <c r="C12" s="1100"/>
      <c r="D12" s="1095" t="s">
        <v>87</v>
      </c>
      <c r="E12" s="1100"/>
      <c r="F12" s="1100"/>
      <c r="G12" s="1100"/>
      <c r="H12" s="1100"/>
      <c r="N12" s="1100"/>
      <c r="O12" s="1100"/>
      <c r="P12" s="1101"/>
      <c r="Q12" s="1101"/>
      <c r="R12" s="1100"/>
      <c r="S12" s="1100"/>
      <c r="T12" s="1100"/>
      <c r="U12" s="1100"/>
      <c r="V12" s="1100"/>
      <c r="W12" s="1081"/>
      <c r="X12" s="1100"/>
      <c r="Y12" s="1100"/>
      <c r="Z12" s="1100"/>
      <c r="AA12" s="1100"/>
      <c r="AB12" s="1100"/>
      <c r="AC12" s="1081"/>
      <c r="AD12" s="1102"/>
    </row>
    <row r="13" spans="1:30" ht="16.5" customHeight="1">
      <c r="A13" s="1079"/>
      <c r="B13" s="1093"/>
      <c r="C13" s="1094"/>
      <c r="D13" s="1094"/>
      <c r="E13" s="1079"/>
      <c r="F13" s="1079"/>
      <c r="G13" s="1079"/>
      <c r="H13" s="1079"/>
      <c r="I13" s="1103"/>
      <c r="J13" s="1103"/>
      <c r="K13" s="1103"/>
      <c r="L13" s="1103"/>
      <c r="M13" s="1103"/>
      <c r="N13" s="1103"/>
      <c r="O13" s="1103"/>
      <c r="P13" s="1103"/>
      <c r="Q13" s="1103"/>
      <c r="R13" s="1094"/>
      <c r="S13" s="1094"/>
      <c r="T13" s="1094"/>
      <c r="U13" s="1094"/>
      <c r="V13" s="1094"/>
      <c r="AD13" s="1097"/>
    </row>
    <row r="14" spans="2:30" s="1098" customFormat="1" ht="19.5">
      <c r="B14" s="1104" t="str">
        <f>'TOT-0614'!B14</f>
        <v>Desde el 01 al 30 de junio de 2014</v>
      </c>
      <c r="C14" s="1105"/>
      <c r="D14" s="1106"/>
      <c r="E14" s="1106"/>
      <c r="F14" s="1106"/>
      <c r="G14" s="1106"/>
      <c r="H14" s="1106"/>
      <c r="I14" s="1107"/>
      <c r="J14" s="1108"/>
      <c r="K14" s="1107"/>
      <c r="L14" s="1107"/>
      <c r="M14" s="1107"/>
      <c r="N14" s="1107"/>
      <c r="O14" s="1107"/>
      <c r="P14" s="1107"/>
      <c r="Q14" s="1107"/>
      <c r="R14" s="1107"/>
      <c r="S14" s="1107"/>
      <c r="T14" s="1107"/>
      <c r="U14" s="1109"/>
      <c r="V14" s="1109"/>
      <c r="W14" s="1081"/>
      <c r="X14" s="1639"/>
      <c r="Y14" s="1639"/>
      <c r="Z14" s="1639"/>
      <c r="AA14" s="1639"/>
      <c r="AB14" s="1109"/>
      <c r="AC14" s="1108"/>
      <c r="AD14" s="1110"/>
    </row>
    <row r="15" spans="1:30" ht="16.5" customHeight="1">
      <c r="A15" s="1079"/>
      <c r="B15" s="1093"/>
      <c r="C15" s="1094"/>
      <c r="D15" s="1094"/>
      <c r="E15" s="1111"/>
      <c r="F15" s="1111"/>
      <c r="G15" s="1094"/>
      <c r="H15" s="1094"/>
      <c r="I15" s="1094"/>
      <c r="J15" s="1112"/>
      <c r="K15" s="1094"/>
      <c r="L15" s="1094"/>
      <c r="M15" s="1094"/>
      <c r="N15" s="1079"/>
      <c r="O15" s="1079"/>
      <c r="P15" s="1094"/>
      <c r="Q15" s="1094"/>
      <c r="R15" s="1094"/>
      <c r="S15" s="1094"/>
      <c r="T15" s="1094"/>
      <c r="U15" s="1094"/>
      <c r="V15" s="1094"/>
      <c r="AD15" s="1097"/>
    </row>
    <row r="16" spans="1:30" ht="16.5" customHeight="1">
      <c r="A16" s="1079"/>
      <c r="B16" s="1093"/>
      <c r="C16" s="1094"/>
      <c r="D16" s="1094"/>
      <c r="E16" s="1111"/>
      <c r="F16" s="1111"/>
      <c r="G16" s="1094"/>
      <c r="H16" s="1094"/>
      <c r="I16" s="1113"/>
      <c r="J16" s="1094"/>
      <c r="K16" s="1114"/>
      <c r="M16" s="1094"/>
      <c r="N16" s="1079"/>
      <c r="O16" s="1079"/>
      <c r="P16" s="1094"/>
      <c r="Q16" s="1094"/>
      <c r="R16" s="1094"/>
      <c r="S16" s="1094"/>
      <c r="T16" s="1094"/>
      <c r="U16" s="1094"/>
      <c r="V16" s="1094"/>
      <c r="AD16" s="1097"/>
    </row>
    <row r="17" spans="1:30" ht="16.5" customHeight="1">
      <c r="A17" s="1079"/>
      <c r="B17" s="1093"/>
      <c r="C17" s="1094"/>
      <c r="D17" s="1094"/>
      <c r="E17" s="1111"/>
      <c r="F17" s="1111"/>
      <c r="G17" s="1094"/>
      <c r="H17" s="1094"/>
      <c r="I17" s="1113"/>
      <c r="J17" s="1094"/>
      <c r="K17" s="1114"/>
      <c r="M17" s="1094"/>
      <c r="N17" s="1079"/>
      <c r="O17" s="1079"/>
      <c r="P17" s="1094"/>
      <c r="Q17" s="1094"/>
      <c r="R17" s="1094"/>
      <c r="S17" s="1094"/>
      <c r="T17" s="1094"/>
      <c r="U17" s="1094"/>
      <c r="V17" s="1094"/>
      <c r="AD17" s="1097"/>
    </row>
    <row r="18" spans="1:30" ht="16.5" customHeight="1">
      <c r="A18" s="1079"/>
      <c r="B18" s="1093"/>
      <c r="C18" s="1115" t="s">
        <v>88</v>
      </c>
      <c r="D18" s="1116" t="s">
        <v>89</v>
      </c>
      <c r="E18" s="1111"/>
      <c r="F18" s="1111"/>
      <c r="G18" s="1094"/>
      <c r="H18" s="1094"/>
      <c r="I18" s="1094"/>
      <c r="J18" s="1112"/>
      <c r="K18" s="1094"/>
      <c r="L18" s="1094"/>
      <c r="M18" s="1094"/>
      <c r="N18" s="1079"/>
      <c r="O18" s="1079"/>
      <c r="P18" s="1094"/>
      <c r="Q18" s="1094"/>
      <c r="R18" s="1094"/>
      <c r="S18" s="1094"/>
      <c r="T18" s="1094"/>
      <c r="U18" s="1094"/>
      <c r="V18" s="1094"/>
      <c r="AD18" s="1097"/>
    </row>
    <row r="19" spans="2:30" s="1117" customFormat="1" ht="16.5" customHeight="1">
      <c r="B19" s="1118"/>
      <c r="C19" s="1119"/>
      <c r="D19" s="1120"/>
      <c r="E19" s="1640"/>
      <c r="F19" s="1147"/>
      <c r="G19" s="1119"/>
      <c r="H19" s="1119"/>
      <c r="I19" s="1119"/>
      <c r="J19" s="1124"/>
      <c r="K19" s="1119"/>
      <c r="L19" s="1119"/>
      <c r="M19" s="1119"/>
      <c r="P19" s="1119"/>
      <c r="Q19" s="1119"/>
      <c r="R19" s="1119"/>
      <c r="S19" s="1119"/>
      <c r="T19" s="1119"/>
      <c r="U19" s="1119"/>
      <c r="V19" s="1119"/>
      <c r="W19" s="1081"/>
      <c r="AD19" s="1126"/>
    </row>
    <row r="20" spans="2:30" s="1117" customFormat="1" ht="16.5" customHeight="1">
      <c r="B20" s="1118"/>
      <c r="C20" s="1119"/>
      <c r="D20" s="1641" t="s">
        <v>90</v>
      </c>
      <c r="F20" s="1129">
        <v>391.631</v>
      </c>
      <c r="G20" s="1641" t="s">
        <v>91</v>
      </c>
      <c r="H20" s="1119"/>
      <c r="I20" s="1119"/>
      <c r="J20" s="1345"/>
      <c r="K20" s="1121" t="s">
        <v>92</v>
      </c>
      <c r="L20" s="1128">
        <v>0.025</v>
      </c>
      <c r="R20" s="1119"/>
      <c r="S20" s="1119"/>
      <c r="T20" s="1119"/>
      <c r="U20" s="1119"/>
      <c r="V20" s="1119"/>
      <c r="W20" s="1081"/>
      <c r="AD20" s="1126"/>
    </row>
    <row r="21" spans="2:30" s="1117" customFormat="1" ht="16.5" customHeight="1">
      <c r="B21" s="1118"/>
      <c r="C21" s="1119"/>
      <c r="D21" s="1641" t="s">
        <v>93</v>
      </c>
      <c r="E21" s="2388"/>
      <c r="F21" s="2389">
        <v>1.077</v>
      </c>
      <c r="G21" s="1794" t="s">
        <v>94</v>
      </c>
      <c r="H21" s="1119"/>
      <c r="I21" s="1119"/>
      <c r="J21" s="1119"/>
      <c r="K21" s="1120" t="s">
        <v>95</v>
      </c>
      <c r="L21" s="1119">
        <f>MID(B14,16,2)*24</f>
        <v>720</v>
      </c>
      <c r="M21" s="1119" t="s">
        <v>96</v>
      </c>
      <c r="N21" s="1119"/>
      <c r="O21" s="1130"/>
      <c r="P21" s="1131"/>
      <c r="Q21" s="1094"/>
      <c r="R21" s="1119"/>
      <c r="S21" s="1119"/>
      <c r="T21" s="1119"/>
      <c r="U21" s="1119"/>
      <c r="V21" s="1119"/>
      <c r="W21" s="1081"/>
      <c r="AD21" s="1126"/>
    </row>
    <row r="22" spans="2:30" s="1117" customFormat="1" ht="16.5" customHeight="1">
      <c r="B22" s="1118"/>
      <c r="C22" s="1119"/>
      <c r="D22" s="1641" t="s">
        <v>462</v>
      </c>
      <c r="E22" s="2388"/>
      <c r="F22" s="2390">
        <v>20</v>
      </c>
      <c r="G22" s="1794"/>
      <c r="H22" s="1119"/>
      <c r="I22" s="1119"/>
      <c r="J22" s="1119"/>
      <c r="K22" s="1120"/>
      <c r="L22" s="1119"/>
      <c r="M22" s="1119"/>
      <c r="N22" s="1119"/>
      <c r="O22" s="1130"/>
      <c r="P22" s="1131"/>
      <c r="Q22" s="1094"/>
      <c r="R22" s="1119"/>
      <c r="S22" s="1119"/>
      <c r="T22" s="1119"/>
      <c r="U22" s="1119"/>
      <c r="V22" s="1119"/>
      <c r="W22" s="1081"/>
      <c r="AD22" s="1126"/>
    </row>
    <row r="23" spans="2:30" s="1117" customFormat="1" ht="16.5" customHeight="1">
      <c r="B23" s="1118"/>
      <c r="C23" s="1119"/>
      <c r="D23" s="1119"/>
      <c r="E23" s="1145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19"/>
      <c r="T23" s="1119"/>
      <c r="U23" s="1119"/>
      <c r="V23" s="1119"/>
      <c r="W23" s="1081"/>
      <c r="AD23" s="1126"/>
    </row>
    <row r="24" spans="1:30" ht="16.5" customHeight="1">
      <c r="A24" s="1079"/>
      <c r="B24" s="1093"/>
      <c r="C24" s="1115" t="s">
        <v>97</v>
      </c>
      <c r="D24" s="1146" t="s">
        <v>398</v>
      </c>
      <c r="I24" s="1094"/>
      <c r="J24" s="1117"/>
      <c r="O24" s="1094"/>
      <c r="P24" s="1094"/>
      <c r="Q24" s="1094"/>
      <c r="R24" s="1094"/>
      <c r="S24" s="1094"/>
      <c r="T24" s="1094"/>
      <c r="V24" s="1094"/>
      <c r="X24" s="1094"/>
      <c r="Y24" s="1094"/>
      <c r="Z24" s="1094"/>
      <c r="AA24" s="1094"/>
      <c r="AB24" s="1094"/>
      <c r="AC24" s="1094"/>
      <c r="AD24" s="1097"/>
    </row>
    <row r="25" spans="1:30" ht="10.5" customHeight="1" thickBot="1">
      <c r="A25" s="1079"/>
      <c r="B25" s="1093"/>
      <c r="C25" s="1111"/>
      <c r="D25" s="1146"/>
      <c r="I25" s="1094"/>
      <c r="J25" s="1117"/>
      <c r="O25" s="1094"/>
      <c r="P25" s="1094"/>
      <c r="Q25" s="1094"/>
      <c r="R25" s="1094"/>
      <c r="S25" s="1094"/>
      <c r="T25" s="1094"/>
      <c r="V25" s="1094"/>
      <c r="X25" s="1094"/>
      <c r="Y25" s="1094"/>
      <c r="Z25" s="1094"/>
      <c r="AA25" s="1094"/>
      <c r="AB25" s="1094"/>
      <c r="AC25" s="1094"/>
      <c r="AD25" s="1097"/>
    </row>
    <row r="26" spans="2:30" s="1117" customFormat="1" ht="21" customHeight="1" thickBot="1" thickTop="1">
      <c r="B26" s="1118"/>
      <c r="C26" s="1147"/>
      <c r="D26" s="1081"/>
      <c r="E26" s="1081"/>
      <c r="F26" s="1081"/>
      <c r="G26" s="1081"/>
      <c r="H26" s="1081"/>
      <c r="I26" s="1081"/>
      <c r="J26" s="1148" t="s">
        <v>98</v>
      </c>
      <c r="K26" s="1149">
        <f>AC69*L20</f>
        <v>38724.218715999996</v>
      </c>
      <c r="L26" s="1081"/>
      <c r="S26" s="1081"/>
      <c r="T26" s="1081"/>
      <c r="U26" s="1081"/>
      <c r="W26" s="1081"/>
      <c r="AD26" s="1126"/>
    </row>
    <row r="27" spans="2:30" s="1117" customFormat="1" ht="11.25" customHeight="1" thickTop="1">
      <c r="B27" s="1118"/>
      <c r="C27" s="1147"/>
      <c r="D27" s="1119"/>
      <c r="E27" s="1145"/>
      <c r="F27" s="1119"/>
      <c r="G27" s="1119"/>
      <c r="H27" s="1119"/>
      <c r="I27" s="1119"/>
      <c r="J27" s="1119"/>
      <c r="K27" s="1119"/>
      <c r="L27" s="1119"/>
      <c r="M27" s="1119"/>
      <c r="N27" s="1119"/>
      <c r="O27" s="1119"/>
      <c r="P27" s="1119"/>
      <c r="Q27" s="1119"/>
      <c r="R27" s="1119"/>
      <c r="S27" s="1119"/>
      <c r="T27" s="1119"/>
      <c r="U27" s="1081"/>
      <c r="W27" s="1081"/>
      <c r="AD27" s="1126"/>
    </row>
    <row r="28" spans="1:30" ht="16.5" customHeight="1">
      <c r="A28" s="1079"/>
      <c r="B28" s="1093"/>
      <c r="C28" s="1115" t="s">
        <v>99</v>
      </c>
      <c r="D28" s="1146" t="s">
        <v>318</v>
      </c>
      <c r="E28" s="1150"/>
      <c r="F28" s="1094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4"/>
      <c r="AD28" s="1097"/>
    </row>
    <row r="29" spans="1:30" ht="21.75" customHeight="1" thickBot="1">
      <c r="A29" s="1079"/>
      <c r="B29" s="1093"/>
      <c r="C29" s="1094"/>
      <c r="D29" s="1094"/>
      <c r="E29" s="1150"/>
      <c r="F29" s="1094"/>
      <c r="G29" s="1094"/>
      <c r="H29" s="1094"/>
      <c r="I29" s="1094"/>
      <c r="J29" s="1094"/>
      <c r="K29" s="1094"/>
      <c r="L29" s="1094"/>
      <c r="M29" s="1094"/>
      <c r="N29" s="1094"/>
      <c r="O29" s="1094"/>
      <c r="P29" s="1094"/>
      <c r="Q29" s="1094"/>
      <c r="R29" s="1094"/>
      <c r="S29" s="1094"/>
      <c r="T29" s="1094"/>
      <c r="U29" s="1094"/>
      <c r="V29" s="1094"/>
      <c r="AD29" s="1097"/>
    </row>
    <row r="30" spans="2:31" s="1079" customFormat="1" ht="33.75" customHeight="1" thickBot="1" thickTop="1">
      <c r="B30" s="1093"/>
      <c r="C30" s="1250" t="s">
        <v>29</v>
      </c>
      <c r="D30" s="2391" t="s">
        <v>5</v>
      </c>
      <c r="E30" s="1645" t="s">
        <v>32</v>
      </c>
      <c r="F30" s="1646" t="s">
        <v>33</v>
      </c>
      <c r="G30" s="1647" t="s">
        <v>34</v>
      </c>
      <c r="H30" s="1648" t="s">
        <v>35</v>
      </c>
      <c r="I30" s="1256" t="s">
        <v>36</v>
      </c>
      <c r="J30" s="1253" t="s">
        <v>37</v>
      </c>
      <c r="K30" s="1252" t="s">
        <v>38</v>
      </c>
      <c r="L30" s="1166" t="s">
        <v>39</v>
      </c>
      <c r="M30" s="1251" t="s">
        <v>40</v>
      </c>
      <c r="N30" s="1166" t="s">
        <v>100</v>
      </c>
      <c r="O30" s="1166" t="s">
        <v>41</v>
      </c>
      <c r="P30" s="1252" t="s">
        <v>42</v>
      </c>
      <c r="Q30" s="1253" t="s">
        <v>43</v>
      </c>
      <c r="R30" s="1649" t="s">
        <v>44</v>
      </c>
      <c r="S30" s="1650" t="s">
        <v>45</v>
      </c>
      <c r="T30" s="1651" t="s">
        <v>53</v>
      </c>
      <c r="U30" s="1652"/>
      <c r="V30" s="1653"/>
      <c r="W30" s="1654" t="s">
        <v>101</v>
      </c>
      <c r="X30" s="1655"/>
      <c r="Y30" s="1656"/>
      <c r="Z30" s="1657" t="s">
        <v>48</v>
      </c>
      <c r="AA30" s="1658" t="s">
        <v>102</v>
      </c>
      <c r="AB30" s="1659" t="s">
        <v>50</v>
      </c>
      <c r="AC30" s="1164" t="s">
        <v>51</v>
      </c>
      <c r="AD30" s="1660"/>
      <c r="AE30" s="1081"/>
    </row>
    <row r="31" spans="1:30" ht="16.5" customHeight="1" thickTop="1">
      <c r="A31" s="1079"/>
      <c r="B31" s="1093"/>
      <c r="C31" s="1262"/>
      <c r="D31" s="1661"/>
      <c r="E31" s="1662"/>
      <c r="F31" s="1663"/>
      <c r="G31" s="1664"/>
      <c r="H31" s="1665"/>
      <c r="I31" s="2392"/>
      <c r="J31" s="1667"/>
      <c r="K31" s="1668"/>
      <c r="L31" s="1262"/>
      <c r="M31" s="1262"/>
      <c r="N31" s="1669"/>
      <c r="O31" s="1669"/>
      <c r="P31" s="1262"/>
      <c r="Q31" s="1670"/>
      <c r="R31" s="1671"/>
      <c r="S31" s="1672"/>
      <c r="T31" s="1673"/>
      <c r="U31" s="1674"/>
      <c r="V31" s="1675"/>
      <c r="W31" s="1676"/>
      <c r="X31" s="1677"/>
      <c r="Y31" s="1678"/>
      <c r="Z31" s="1679"/>
      <c r="AA31" s="1680"/>
      <c r="AB31" s="1681"/>
      <c r="AC31" s="1682"/>
      <c r="AD31" s="1097"/>
    </row>
    <row r="32" spans="1:30" ht="16.5" customHeight="1">
      <c r="A32" s="1079"/>
      <c r="B32" s="1093"/>
      <c r="C32" s="873" t="s">
        <v>103</v>
      </c>
      <c r="D32" s="152" t="s">
        <v>339</v>
      </c>
      <c r="E32" s="558">
        <v>500</v>
      </c>
      <c r="F32" s="559">
        <v>277</v>
      </c>
      <c r="G32" s="560" t="s">
        <v>331</v>
      </c>
      <c r="H32" s="1686">
        <f>IF(G32="A",200,IF(G32="B",60,20))</f>
        <v>20</v>
      </c>
      <c r="I32" s="2393">
        <f>IF(F32&gt;100,F32,100)*$F$20/100</f>
        <v>1084.8178699999999</v>
      </c>
      <c r="J32" s="561">
        <v>41791.02013888889</v>
      </c>
      <c r="K32" s="562">
        <v>41791.08194444444</v>
      </c>
      <c r="L32" s="1690">
        <f>IF(D32="","",(K32-J32)*24)</f>
        <v>1.4833333332790062</v>
      </c>
      <c r="M32" s="1272">
        <f>IF(D32="","",ROUND((K32-J32)*24*60,0))</f>
        <v>89</v>
      </c>
      <c r="N32" s="563" t="s">
        <v>332</v>
      </c>
      <c r="O32" s="1691" t="str">
        <f>IF(D32="","","--")</f>
        <v>--</v>
      </c>
      <c r="P32" s="1692" t="str">
        <f>IF(D32="","","NO")</f>
        <v>NO</v>
      </c>
      <c r="Q32" s="1692" t="str">
        <f>IF(D32="","",IF(OR(N32="P",N32="RP"),"--","NO"))</f>
        <v>--</v>
      </c>
      <c r="R32" s="1693">
        <f>IF(N32="P",+I32*H32*ROUND(M32/60,2)/100,"--")</f>
        <v>321.10608951999995</v>
      </c>
      <c r="S32" s="1694" t="str">
        <f>IF(N32="RP",I32*H32*ROUND(M32/60,2)*0.01*O32/100,"--")</f>
        <v>--</v>
      </c>
      <c r="T32" s="1695" t="str">
        <f>IF(AND(N32="F",Q32="NO"),IF(P32="SI",1.2,1)*I32*H32,"--")</f>
        <v>--</v>
      </c>
      <c r="U32" s="1696" t="str">
        <f>IF(AND(M32&gt;10,N32="F"),IF(M32&lt;=300,ROUND(M32/60,2),5)*I32*H32*IF(P32="SI",1.2,1),"--")</f>
        <v>--</v>
      </c>
      <c r="V32" s="1697" t="str">
        <f>IF(AND(N32="F",M32&gt;300),IF(P32="SI",1.2,1)*(ROUND(M32/60,2)-5)*I32*H32*0.1,"--")</f>
        <v>--</v>
      </c>
      <c r="W32" s="1698" t="str">
        <f>IF(AND(N32="R",Q32="NO"),IF(P32="SI",1.2,1)*I32*H32*O32/100,"--")</f>
        <v>--</v>
      </c>
      <c r="X32" s="1699" t="str">
        <f>IF(AND(M32&gt;10,N32="R"),IF(M32&lt;=300,ROUND(M32/60,2),5)*I32*H32*O32/100*IF(P32="SI",1.2,1),"--")</f>
        <v>--</v>
      </c>
      <c r="Y32" s="1700" t="str">
        <f>IF(AND(N32="R",M32&gt;300),IF(P32="SI",1.2,1)*(ROUND(M32/60,2)-5)*I32*H32*O32/100*0.1,"--")</f>
        <v>--</v>
      </c>
      <c r="Z32" s="1701" t="str">
        <f>IF(N32="RF",IF(P32="SI",1.2,1)*ROUND(M32/60,2)*I32*H32*0.1,"--")</f>
        <v>--</v>
      </c>
      <c r="AA32" s="1702" t="str">
        <f>IF(N32="RR",IF(P32="SI",1.2,1)*ROUND(M32/60,2)*I32*H32*O32/100*0.1,"--")</f>
        <v>--</v>
      </c>
      <c r="AB32" s="1703" t="str">
        <f>IF(D32="","","SI")</f>
        <v>SI</v>
      </c>
      <c r="AC32" s="1704">
        <f>IF(D32="","",SUM(R32:AA32)*IF(AB32="SI",1,2))</f>
        <v>321.10608951999995</v>
      </c>
      <c r="AD32" s="1097"/>
    </row>
    <row r="33" spans="1:30" ht="16.5" customHeight="1">
      <c r="A33" s="1079"/>
      <c r="B33" s="1093"/>
      <c r="C33" s="873" t="s">
        <v>104</v>
      </c>
      <c r="D33" s="152" t="s">
        <v>339</v>
      </c>
      <c r="E33" s="558">
        <v>500</v>
      </c>
      <c r="F33" s="559">
        <v>277</v>
      </c>
      <c r="G33" s="560" t="s">
        <v>331</v>
      </c>
      <c r="H33" s="1686">
        <f>IF(G33="A",200,IF(G33="B",60,20))</f>
        <v>20</v>
      </c>
      <c r="I33" s="2393">
        <f>IF(F33&gt;100,F33,100)*$F$20/100</f>
        <v>1084.8178699999999</v>
      </c>
      <c r="J33" s="561">
        <v>41797.35833333333</v>
      </c>
      <c r="K33" s="562">
        <v>41797.51666666667</v>
      </c>
      <c r="L33" s="1690">
        <f>IF(D33="","",(K33-J33)*24)</f>
        <v>3.8000000001629815</v>
      </c>
      <c r="M33" s="1272">
        <f>IF(D33="","",ROUND((K33-J33)*24*60,0))</f>
        <v>228</v>
      </c>
      <c r="N33" s="563" t="s">
        <v>332</v>
      </c>
      <c r="O33" s="1691" t="str">
        <f>IF(D33="","","--")</f>
        <v>--</v>
      </c>
      <c r="P33" s="1692" t="str">
        <f>IF(D33="","","NO")</f>
        <v>NO</v>
      </c>
      <c r="Q33" s="1692" t="str">
        <f>IF(D33="","",IF(OR(N33="P",N33="RP"),"--","NO"))</f>
        <v>--</v>
      </c>
      <c r="R33" s="1693">
        <f>IF(N33="P",+I33*H33*ROUND(M33/60,2)/100,"--")</f>
        <v>824.4615811999997</v>
      </c>
      <c r="S33" s="1694" t="str">
        <f>IF(N33="RP",I33*H33*ROUND(M33/60,2)*0.01*O33/100,"--")</f>
        <v>--</v>
      </c>
      <c r="T33" s="1695" t="str">
        <f>IF(AND(N33="F",Q33="NO"),IF(P33="SI",1.2,1)*I33*H33,"--")</f>
        <v>--</v>
      </c>
      <c r="U33" s="1696" t="str">
        <f>IF(AND(M33&gt;10,N33="F"),IF(M33&lt;=300,ROUND(M33/60,2),5)*I33*H33*IF(P33="SI",1.2,1),"--")</f>
        <v>--</v>
      </c>
      <c r="V33" s="1697" t="str">
        <f>IF(AND(N33="F",M33&gt;300),IF(P33="SI",1.2,1)*(ROUND(M33/60,2)-5)*I33*H33*0.1,"--")</f>
        <v>--</v>
      </c>
      <c r="W33" s="1698" t="str">
        <f>IF(AND(N33="R",Q33="NO"),IF(P33="SI",1.2,1)*I33*H33*O33/100,"--")</f>
        <v>--</v>
      </c>
      <c r="X33" s="1699" t="str">
        <f>IF(AND(M33&gt;10,N33="R"),IF(M33&lt;=300,ROUND(M33/60,2),5)*I33*H33*O33/100*IF(P33="SI",1.2,1),"--")</f>
        <v>--</v>
      </c>
      <c r="Y33" s="1700" t="str">
        <f>IF(AND(N33="R",M33&gt;300),IF(P33="SI",1.2,1)*(ROUND(M33/60,2)-5)*I33*H33*O33/100*0.1,"--")</f>
        <v>--</v>
      </c>
      <c r="Z33" s="1701" t="str">
        <f>IF(N33="RF",IF(P33="SI",1.2,1)*ROUND(M33/60,2)*I33*H33*0.1,"--")</f>
        <v>--</v>
      </c>
      <c r="AA33" s="1702" t="str">
        <f>IF(N33="RR",IF(P33="SI",1.2,1)*ROUND(M33/60,2)*I33*H33*O33/100*0.1,"--")</f>
        <v>--</v>
      </c>
      <c r="AB33" s="1703" t="str">
        <f>IF(D33="","","SI")</f>
        <v>SI</v>
      </c>
      <c r="AC33" s="1704">
        <f>IF(D33="","",SUM(R33:AA33)*IF(AB33="SI",1,2))</f>
        <v>824.4615811999997</v>
      </c>
      <c r="AD33" s="1097"/>
    </row>
    <row r="34" spans="1:30" ht="16.5" customHeight="1">
      <c r="A34" s="1079"/>
      <c r="B34" s="1093"/>
      <c r="C34" s="944" t="s">
        <v>105</v>
      </c>
      <c r="D34" s="1883"/>
      <c r="E34" s="2394"/>
      <c r="F34" s="1885"/>
      <c r="G34" s="1685"/>
      <c r="H34" s="1686">
        <f>IF(G34="A",200,IF(G34="B",60,20))</f>
        <v>20</v>
      </c>
      <c r="I34" s="2393">
        <f>IF(F34&gt;100,F34,100)*$F$20/100</f>
        <v>391.631</v>
      </c>
      <c r="J34" s="2311"/>
      <c r="K34" s="2312"/>
      <c r="L34" s="1690">
        <f>IF(D34="","",(K34-J34)*24)</f>
      </c>
      <c r="M34" s="1272">
        <f>IF(D34="","",ROUND((K34-J34)*24*60,0))</f>
      </c>
      <c r="N34" s="1288"/>
      <c r="O34" s="1691">
        <f>IF(D34="","","--")</f>
      </c>
      <c r="P34" s="1692">
        <f>IF(D34="","","NO")</f>
      </c>
      <c r="Q34" s="1692">
        <f>IF(D34="","",IF(OR(N34="P",N34="RP"),"--","NO"))</f>
      </c>
      <c r="R34" s="1693" t="str">
        <f>IF(N34="P",+I34*H34*ROUND(M34/60,2)/100,"--")</f>
        <v>--</v>
      </c>
      <c r="S34" s="1694" t="str">
        <f>IF(N34="RP",I34*H34*ROUND(M34/60,2)*0.01*O34/100,"--")</f>
        <v>--</v>
      </c>
      <c r="T34" s="1695" t="str">
        <f>IF(AND(N34="F",Q34="NO"),IF(P34="SI",1.2,1)*I34*H34,"--")</f>
        <v>--</v>
      </c>
      <c r="U34" s="1696" t="str">
        <f>IF(AND(M34&gt;10,N34="F"),IF(M34&lt;=300,ROUND(M34/60,2),5)*I34*H34*IF(P34="SI",1.2,1),"--")</f>
        <v>--</v>
      </c>
      <c r="V34" s="1697" t="str">
        <f>IF(AND(N34="F",M34&gt;300),IF(P34="SI",1.2,1)*(ROUND(M34/60,2)-5)*I34*H34*0.1,"--")</f>
        <v>--</v>
      </c>
      <c r="W34" s="1698" t="str">
        <f>IF(AND(N34="R",Q34="NO"),IF(P34="SI",1.2,1)*I34*H34*O34/100,"--")</f>
        <v>--</v>
      </c>
      <c r="X34" s="1699" t="str">
        <f>IF(AND(M34&gt;10,N34="R"),IF(M34&lt;=300,ROUND(M34/60,2),5)*I34*H34*O34/100*IF(P34="SI",1.2,1),"--")</f>
        <v>--</v>
      </c>
      <c r="Y34" s="1700" t="str">
        <f>IF(AND(N34="R",M34&gt;300),IF(P34="SI",1.2,1)*(ROUND(M34/60,2)-5)*I34*H34*O34/100*0.1,"--")</f>
        <v>--</v>
      </c>
      <c r="Z34" s="1701" t="str">
        <f>IF(N34="RF",IF(P34="SI",1.2,1)*ROUND(M34/60,2)*I34*H34*0.1,"--")</f>
        <v>--</v>
      </c>
      <c r="AA34" s="1702" t="str">
        <f>IF(N34="RR",IF(P34="SI",1.2,1)*ROUND(M34/60,2)*I34*H34*O34/100*0.1,"--")</f>
        <v>--</v>
      </c>
      <c r="AB34" s="1703">
        <f>IF(D34="","","SI")</f>
      </c>
      <c r="AC34" s="1704">
        <f>IF(D34="","",SUM(R34:AA34)*IF(AB34="SI",1,2))</f>
      </c>
      <c r="AD34" s="1097"/>
    </row>
    <row r="35" spans="1:30" ht="16.5" customHeight="1">
      <c r="A35" s="1079"/>
      <c r="B35" s="1093"/>
      <c r="C35" s="944" t="s">
        <v>106</v>
      </c>
      <c r="D35" s="1883"/>
      <c r="E35" s="2394"/>
      <c r="F35" s="1885"/>
      <c r="G35" s="1685"/>
      <c r="H35" s="1686">
        <f>IF(G35="A",200,IF(G35="B",60,20))</f>
        <v>20</v>
      </c>
      <c r="I35" s="2393">
        <f>IF(F35&gt;100,F35,100)*$F$20/100</f>
        <v>391.631</v>
      </c>
      <c r="J35" s="2311"/>
      <c r="K35" s="2312"/>
      <c r="L35" s="1690">
        <f>IF(D35="","",(K35-J35)*24)</f>
      </c>
      <c r="M35" s="1272">
        <f>IF(D35="","",ROUND((K35-J35)*24*60,0))</f>
      </c>
      <c r="N35" s="1288"/>
      <c r="O35" s="1691">
        <f>IF(D35="","","--")</f>
      </c>
      <c r="P35" s="1692">
        <f>IF(D35="","","NO")</f>
      </c>
      <c r="Q35" s="1692">
        <f>IF(D35="","",IF(OR(N35="P",N35="RP"),"--","NO"))</f>
      </c>
      <c r="R35" s="1693" t="str">
        <f>IF(N35="P",+I35*H35*ROUND(M35/60,2)/100,"--")</f>
        <v>--</v>
      </c>
      <c r="S35" s="1694" t="str">
        <f>IF(N35="RP",I35*H35*ROUND(M35/60,2)*0.01*O35/100,"--")</f>
        <v>--</v>
      </c>
      <c r="T35" s="1695" t="str">
        <f>IF(AND(N35="F",Q35="NO"),IF(P35="SI",1.2,1)*I35*H35,"--")</f>
        <v>--</v>
      </c>
      <c r="U35" s="1696" t="str">
        <f>IF(AND(M35&gt;10,N35="F"),IF(M35&lt;=300,ROUND(M35/60,2),5)*I35*H35*IF(P35="SI",1.2,1),"--")</f>
        <v>--</v>
      </c>
      <c r="V35" s="1697" t="str">
        <f>IF(AND(N35="F",M35&gt;300),IF(P35="SI",1.2,1)*(ROUND(M35/60,2)-5)*I35*H35*0.1,"--")</f>
        <v>--</v>
      </c>
      <c r="W35" s="1698" t="str">
        <f>IF(AND(N35="R",Q35="NO"),IF(P35="SI",1.2,1)*I35*H35*O35/100,"--")</f>
        <v>--</v>
      </c>
      <c r="X35" s="1699" t="str">
        <f>IF(AND(M35&gt;10,N35="R"),IF(M35&lt;=300,ROUND(M35/60,2),5)*I35*H35*O35/100*IF(P35="SI",1.2,1),"--")</f>
        <v>--</v>
      </c>
      <c r="Y35" s="1700" t="str">
        <f>IF(AND(N35="R",M35&gt;300),IF(P35="SI",1.2,1)*(ROUND(M35/60,2)-5)*I35*H35*O35/100*0.1,"--")</f>
        <v>--</v>
      </c>
      <c r="Z35" s="1701" t="str">
        <f>IF(N35="RF",IF(P35="SI",1.2,1)*ROUND(M35/60,2)*I35*H35*0.1,"--")</f>
        <v>--</v>
      </c>
      <c r="AA35" s="1702" t="str">
        <f>IF(N35="RR",IF(P35="SI",1.2,1)*ROUND(M35/60,2)*I35*H35*O35/100*0.1,"--")</f>
        <v>--</v>
      </c>
      <c r="AB35" s="1703">
        <f>IF(D35="","","SI")</f>
      </c>
      <c r="AC35" s="1704">
        <f>IF(D35="","",SUM(R35:AA35)*IF(AB35="SI",1,2))</f>
      </c>
      <c r="AD35" s="1097"/>
    </row>
    <row r="36" spans="1:30" ht="16.5" customHeight="1" thickBot="1">
      <c r="A36" s="1117"/>
      <c r="B36" s="1093"/>
      <c r="C36" s="2395"/>
      <c r="D36" s="1706"/>
      <c r="E36" s="1707"/>
      <c r="F36" s="1708"/>
      <c r="G36" s="1709"/>
      <c r="H36" s="1710"/>
      <c r="I36" s="2396"/>
      <c r="J36" s="1712"/>
      <c r="K36" s="1712"/>
      <c r="L36" s="1224"/>
      <c r="M36" s="1224"/>
      <c r="N36" s="1224"/>
      <c r="O36" s="1713"/>
      <c r="P36" s="1224"/>
      <c r="Q36" s="1224"/>
      <c r="R36" s="1714"/>
      <c r="S36" s="1715"/>
      <c r="T36" s="1716"/>
      <c r="U36" s="1717"/>
      <c r="V36" s="1718"/>
      <c r="W36" s="1719"/>
      <c r="X36" s="1720"/>
      <c r="Y36" s="1721"/>
      <c r="Z36" s="1722"/>
      <c r="AA36" s="1723"/>
      <c r="AB36" s="1724"/>
      <c r="AC36" s="1725"/>
      <c r="AD36" s="1158"/>
    </row>
    <row r="37" spans="1:30" ht="17.25" thickBot="1" thickTop="1">
      <c r="A37" s="1117"/>
      <c r="B37" s="1093"/>
      <c r="C37" s="1147"/>
      <c r="D37" s="1147"/>
      <c r="E37" s="1151"/>
      <c r="F37" s="1145"/>
      <c r="G37" s="1152"/>
      <c r="H37" s="1152"/>
      <c r="I37" s="1153"/>
      <c r="J37" s="1153"/>
      <c r="K37" s="1153"/>
      <c r="L37" s="1153"/>
      <c r="M37" s="1153"/>
      <c r="N37" s="1153"/>
      <c r="O37" s="1154"/>
      <c r="P37" s="1153"/>
      <c r="Q37" s="1153"/>
      <c r="R37" s="1726">
        <f aca="true" t="shared" si="0" ref="R37:AA37">SUM(R31:R36)</f>
        <v>1145.5676707199996</v>
      </c>
      <c r="S37" s="1727">
        <f t="shared" si="0"/>
        <v>0</v>
      </c>
      <c r="T37" s="1728">
        <f t="shared" si="0"/>
        <v>0</v>
      </c>
      <c r="U37" s="1728">
        <f t="shared" si="0"/>
        <v>0</v>
      </c>
      <c r="V37" s="1728">
        <f t="shared" si="0"/>
        <v>0</v>
      </c>
      <c r="W37" s="1729">
        <f t="shared" si="0"/>
        <v>0</v>
      </c>
      <c r="X37" s="1729">
        <f t="shared" si="0"/>
        <v>0</v>
      </c>
      <c r="Y37" s="1729">
        <f t="shared" si="0"/>
        <v>0</v>
      </c>
      <c r="Z37" s="1730">
        <f t="shared" si="0"/>
        <v>0</v>
      </c>
      <c r="AA37" s="1731">
        <f t="shared" si="0"/>
        <v>0</v>
      </c>
      <c r="AB37" s="1732"/>
      <c r="AC37" s="1733">
        <f>SUM(AC31:AC36)</f>
        <v>1145.5676707199996</v>
      </c>
      <c r="AD37" s="1158"/>
    </row>
    <row r="38" spans="1:30" ht="17.25" thickBot="1" thickTop="1">
      <c r="A38" s="1117"/>
      <c r="B38" s="1093"/>
      <c r="C38" s="2397"/>
      <c r="D38" s="1335"/>
      <c r="G38" s="2398"/>
      <c r="H38" s="2399"/>
      <c r="I38" s="2400"/>
      <c r="J38" s="2400"/>
      <c r="L38" s="1153"/>
      <c r="M38" s="1153"/>
      <c r="N38" s="1153"/>
      <c r="O38" s="1154"/>
      <c r="P38" s="1153"/>
      <c r="Q38" s="1153"/>
      <c r="R38" s="1734"/>
      <c r="S38" s="1735"/>
      <c r="T38" s="1736"/>
      <c r="U38" s="1736"/>
      <c r="V38" s="1736"/>
      <c r="W38" s="1734"/>
      <c r="X38" s="1734"/>
      <c r="Y38" s="1734"/>
      <c r="Z38" s="1734"/>
      <c r="AA38" s="1734"/>
      <c r="AB38" s="1352"/>
      <c r="AC38" s="1351"/>
      <c r="AD38" s="1158"/>
    </row>
    <row r="39" spans="1:33" s="1079" customFormat="1" ht="27" thickBot="1" thickTop="1">
      <c r="A39" s="1078"/>
      <c r="B39" s="1159"/>
      <c r="C39" s="1160" t="s">
        <v>29</v>
      </c>
      <c r="D39" s="1161" t="s">
        <v>60</v>
      </c>
      <c r="E39" s="1162" t="s">
        <v>61</v>
      </c>
      <c r="F39" s="2777" t="s">
        <v>62</v>
      </c>
      <c r="G39" s="2778"/>
      <c r="H39" s="1165" t="s">
        <v>36</v>
      </c>
      <c r="I39" s="1737"/>
      <c r="J39" s="1162" t="s">
        <v>37</v>
      </c>
      <c r="K39" s="1162" t="s">
        <v>38</v>
      </c>
      <c r="L39" s="1161" t="s">
        <v>63</v>
      </c>
      <c r="M39" s="1161" t="s">
        <v>40</v>
      </c>
      <c r="N39" s="1166" t="s">
        <v>111</v>
      </c>
      <c r="O39" s="1162" t="s">
        <v>43</v>
      </c>
      <c r="P39" s="2779" t="s">
        <v>112</v>
      </c>
      <c r="Q39" s="2780"/>
      <c r="R39" s="1165" t="s">
        <v>113</v>
      </c>
      <c r="S39" s="1168" t="s">
        <v>44</v>
      </c>
      <c r="T39" s="1169" t="s">
        <v>114</v>
      </c>
      <c r="U39" s="1170"/>
      <c r="V39" s="1171" t="s">
        <v>48</v>
      </c>
      <c r="W39" s="2401" t="s">
        <v>115</v>
      </c>
      <c r="X39" s="1740"/>
      <c r="Y39" s="1740"/>
      <c r="Z39" s="1740"/>
      <c r="AA39" s="1741"/>
      <c r="AB39" s="1172" t="s">
        <v>50</v>
      </c>
      <c r="AC39" s="1164" t="s">
        <v>51</v>
      </c>
      <c r="AD39" s="1097"/>
      <c r="AF39" s="1081"/>
      <c r="AG39" s="1081"/>
    </row>
    <row r="40" spans="1:30" ht="15.75" thickTop="1">
      <c r="A40" s="1079"/>
      <c r="B40" s="1093"/>
      <c r="C40" s="1173"/>
      <c r="D40" s="1173"/>
      <c r="E40" s="1173"/>
      <c r="F40" s="2781"/>
      <c r="G40" s="2782"/>
      <c r="H40" s="1742"/>
      <c r="I40" s="1742"/>
      <c r="J40" s="1173"/>
      <c r="K40" s="1173"/>
      <c r="L40" s="1173"/>
      <c r="M40" s="1173"/>
      <c r="N40" s="1173"/>
      <c r="O40" s="1176"/>
      <c r="P40" s="2781"/>
      <c r="Q40" s="2782"/>
      <c r="R40" s="1744"/>
      <c r="S40" s="1744"/>
      <c r="T40" s="1744"/>
      <c r="U40" s="1744"/>
      <c r="V40" s="1744"/>
      <c r="W40" s="1744"/>
      <c r="X40" s="1744"/>
      <c r="Y40" s="1744"/>
      <c r="Z40" s="1744"/>
      <c r="AA40" s="1745"/>
      <c r="AB40" s="1176"/>
      <c r="AC40" s="1183"/>
      <c r="AD40" s="1097"/>
    </row>
    <row r="41" spans="1:30" ht="15">
      <c r="A41" s="1079"/>
      <c r="B41" s="1093"/>
      <c r="C41" s="873" t="s">
        <v>103</v>
      </c>
      <c r="D41" s="1284"/>
      <c r="E41" s="1746"/>
      <c r="F41" s="2773"/>
      <c r="G41" s="2774"/>
      <c r="H41" s="1188">
        <f>F41*$F$22</f>
        <v>0</v>
      </c>
      <c r="I41" s="1749"/>
      <c r="J41" s="1785"/>
      <c r="K41" s="1786"/>
      <c r="L41" s="1190">
        <f>IF(D41="","",(K41-J41)*24)</f>
      </c>
      <c r="M41" s="1191">
        <f>IF(D41="","",(K41-J41)*24*60)</f>
      </c>
      <c r="N41" s="1750"/>
      <c r="O41" s="1193">
        <f>IF(D41="","",IF(N41="P","--","NO"))</f>
      </c>
      <c r="P41" s="2775">
        <f>IF(D41="","","--")</f>
      </c>
      <c r="Q41" s="2776"/>
      <c r="R41" s="2402">
        <f>IF(OR(N41="P",N41="RP"),20/10,20)</f>
        <v>20</v>
      </c>
      <c r="S41" s="1196" t="str">
        <f>IF(N41="P",H41*R41*ROUND(M41/60,2),"--")</f>
        <v>--</v>
      </c>
      <c r="T41" s="1197" t="str">
        <f>IF(AND(N41="F",O41="NO"),H41*R41,"--")</f>
        <v>--</v>
      </c>
      <c r="U41" s="1198" t="str">
        <f>IF(N41="F",H41*R41*ROUND(M41/60,2),"--")</f>
        <v>--</v>
      </c>
      <c r="V41" s="1199" t="str">
        <f>IF(N41="RF",H41*R41*ROUND(M41/60,2),"--")</f>
        <v>--</v>
      </c>
      <c r="W41" s="2403" t="str">
        <f>IF(N41="RP",H41*R41*P41/100*ROUND(M41/60,2),"--")</f>
        <v>--</v>
      </c>
      <c r="X41" s="1752"/>
      <c r="Y41" s="1752"/>
      <c r="Z41" s="1752"/>
      <c r="AA41" s="1753"/>
      <c r="AB41" s="1200">
        <f>IF(D41="","","SI")</f>
      </c>
      <c r="AC41" s="1201">
        <f>IF(D41="","",SUM(S41:W41)*IF(AB41="SI",1,2)*IF(AND(P41&lt;&gt;"--",N41="RF"),P41/100,1))</f>
      </c>
      <c r="AD41" s="1158"/>
    </row>
    <row r="42" spans="1:30" ht="15">
      <c r="A42" s="1079"/>
      <c r="B42" s="1093"/>
      <c r="C42" s="873" t="s">
        <v>104</v>
      </c>
      <c r="D42" s="1284"/>
      <c r="E42" s="1746"/>
      <c r="F42" s="2773"/>
      <c r="G42" s="2774"/>
      <c r="H42" s="1188">
        <f>F42*$F$22</f>
        <v>0</v>
      </c>
      <c r="I42" s="1749"/>
      <c r="J42" s="2404"/>
      <c r="K42" s="1211"/>
      <c r="L42" s="1190">
        <f>IF(D42="","",(K42-J42)*24)</f>
      </c>
      <c r="M42" s="1191">
        <f>IF(D42="","",(K42-J42)*24*60)</f>
      </c>
      <c r="N42" s="1750"/>
      <c r="O42" s="1193">
        <f>IF(D42="","",IF(N42="P","--","NO"))</f>
      </c>
      <c r="P42" s="2775">
        <f>IF(D42="","","--")</f>
      </c>
      <c r="Q42" s="2776"/>
      <c r="R42" s="2402">
        <f>IF(OR(N42="P",N42="RP"),20/10,20)</f>
        <v>20</v>
      </c>
      <c r="S42" s="1196" t="str">
        <f>IF(N42="P",H42*R42*ROUND(M42/60,2),"--")</f>
        <v>--</v>
      </c>
      <c r="T42" s="1197" t="str">
        <f>IF(AND(N42="F",O42="NO"),H42*R42,"--")</f>
        <v>--</v>
      </c>
      <c r="U42" s="1198" t="str">
        <f>IF(N42="F",H42*R42*ROUND(M42/60,2),"--")</f>
        <v>--</v>
      </c>
      <c r="V42" s="1199" t="str">
        <f>IF(N42="RF",H42*R42*ROUND(M42/60,2),"--")</f>
        <v>--</v>
      </c>
      <c r="W42" s="2403" t="str">
        <f>IF(N42="RP",H42*R42*P42/100*ROUND(M42/60,2),"--")</f>
        <v>--</v>
      </c>
      <c r="X42" s="1752"/>
      <c r="Y42" s="1752"/>
      <c r="Z42" s="1752"/>
      <c r="AA42" s="1753"/>
      <c r="AB42" s="1200">
        <f>IF(D42="","","SI")</f>
      </c>
      <c r="AC42" s="1201">
        <f>IF(D42="","",SUM(S42:W42)*IF(AB42="SI",1,2)*IF(AND(P42&lt;&gt;"--",N42="RF"),P42/100,1))</f>
      </c>
      <c r="AD42" s="1158"/>
    </row>
    <row r="43" spans="1:30" ht="15">
      <c r="A43" s="1079"/>
      <c r="B43" s="1093"/>
      <c r="C43" s="873" t="s">
        <v>105</v>
      </c>
      <c r="D43" s="1284"/>
      <c r="E43" s="1746"/>
      <c r="F43" s="2773"/>
      <c r="G43" s="2774"/>
      <c r="H43" s="1188">
        <f>F43*$F$22</f>
        <v>0</v>
      </c>
      <c r="I43" s="1749"/>
      <c r="J43" s="2404"/>
      <c r="K43" s="1211"/>
      <c r="L43" s="1190">
        <f>IF(D43="","",(K43-J43)*24)</f>
      </c>
      <c r="M43" s="1191">
        <f>IF(D43="","",(K43-J43)*24*60)</f>
      </c>
      <c r="N43" s="1750"/>
      <c r="O43" s="1193">
        <f>IF(D43="","",IF(N43="P","--","NO"))</f>
      </c>
      <c r="P43" s="2775">
        <f>IF(D43="","","--")</f>
      </c>
      <c r="Q43" s="2776"/>
      <c r="R43" s="2402">
        <f>IF(OR(N43="P",N43="RP"),20/10,20)</f>
        <v>20</v>
      </c>
      <c r="S43" s="1196" t="str">
        <f>IF(N43="P",H43*R43*ROUND(M43/60,2),"--")</f>
        <v>--</v>
      </c>
      <c r="T43" s="1197" t="str">
        <f>IF(AND(N43="F",O43="NO"),H43*R43,"--")</f>
        <v>--</v>
      </c>
      <c r="U43" s="1198" t="str">
        <f>IF(N43="F",H43*R43*ROUND(M43/60,2),"--")</f>
        <v>--</v>
      </c>
      <c r="V43" s="1199" t="str">
        <f>IF(N43="RF",H43*R43*ROUND(M43/60,2),"--")</f>
        <v>--</v>
      </c>
      <c r="W43" s="2403" t="str">
        <f>IF(N43="RP",H43*R43*P43/100*ROUND(M43/60,2),"--")</f>
        <v>--</v>
      </c>
      <c r="X43" s="1752"/>
      <c r="Y43" s="1752"/>
      <c r="Z43" s="1752"/>
      <c r="AA43" s="1753"/>
      <c r="AB43" s="1200">
        <f>IF(D43="","","SI")</f>
      </c>
      <c r="AC43" s="1201">
        <f>IF(D43="","",SUM(S43:W43)*IF(AB43="SI",1,2)*IF(AND(P43&lt;&gt;"--",N43="RF"),P43/100,1))</f>
      </c>
      <c r="AD43" s="1158"/>
    </row>
    <row r="44" spans="1:30" ht="15">
      <c r="A44" s="1079"/>
      <c r="B44" s="1093"/>
      <c r="C44" s="873" t="s">
        <v>106</v>
      </c>
      <c r="D44" s="1284"/>
      <c r="E44" s="1746"/>
      <c r="F44" s="2773"/>
      <c r="G44" s="2774"/>
      <c r="H44" s="1188">
        <f>F44*$F$22</f>
        <v>0</v>
      </c>
      <c r="I44" s="1749"/>
      <c r="J44" s="2404"/>
      <c r="K44" s="1211"/>
      <c r="L44" s="1190">
        <f>IF(D44="","",(K44-J44)*24)</f>
      </c>
      <c r="M44" s="1191">
        <f>IF(D44="","",(K44-J44)*24*60)</f>
      </c>
      <c r="N44" s="1750"/>
      <c r="O44" s="1193">
        <f>IF(D44="","",IF(N44="P","--","NO"))</f>
      </c>
      <c r="P44" s="2775">
        <f>IF(D44="","","--")</f>
      </c>
      <c r="Q44" s="2776"/>
      <c r="R44" s="2402">
        <f>IF(OR(N44="P",N44="RP"),20/10,20)</f>
        <v>20</v>
      </c>
      <c r="S44" s="1196" t="str">
        <f>IF(N44="P",H44*R44*ROUND(M44/60,2),"--")</f>
        <v>--</v>
      </c>
      <c r="T44" s="1197" t="str">
        <f>IF(AND(N44="F",O44="NO"),H44*R44,"--")</f>
        <v>--</v>
      </c>
      <c r="U44" s="1198" t="str">
        <f>IF(N44="F",H44*R44*ROUND(M44/60,2),"--")</f>
        <v>--</v>
      </c>
      <c r="V44" s="1199" t="str">
        <f>IF(N44="RF",H44*R44*ROUND(M44/60,2),"--")</f>
        <v>--</v>
      </c>
      <c r="W44" s="2403" t="str">
        <f>IF(N44="RP",H44*R44*P44/100*ROUND(M44/60,2),"--")</f>
        <v>--</v>
      </c>
      <c r="X44" s="1752"/>
      <c r="Y44" s="1752"/>
      <c r="Z44" s="1752"/>
      <c r="AA44" s="1753"/>
      <c r="AB44" s="1200">
        <f>IF(D44="","","SI")</f>
      </c>
      <c r="AC44" s="1201">
        <f>IF(D44="","",SUM(S44:W44)*IF(AB44="SI",1,2)*IF(AND(P44&lt;&gt;"--",N44="RF"),P44/100,1))</f>
      </c>
      <c r="AD44" s="1158"/>
    </row>
    <row r="45" spans="1:30" ht="16.5" thickBot="1">
      <c r="A45" s="1117"/>
      <c r="B45" s="1093"/>
      <c r="C45" s="1213"/>
      <c r="D45" s="1214"/>
      <c r="E45" s="1215"/>
      <c r="F45" s="2787"/>
      <c r="G45" s="2788"/>
      <c r="H45" s="1754"/>
      <c r="I45" s="1754"/>
      <c r="J45" s="1219"/>
      <c r="K45" s="1220"/>
      <c r="L45" s="1221"/>
      <c r="M45" s="1222"/>
      <c r="N45" s="1223"/>
      <c r="O45" s="1224"/>
      <c r="P45" s="2789"/>
      <c r="Q45" s="2790"/>
      <c r="R45" s="1756"/>
      <c r="S45" s="1756"/>
      <c r="T45" s="1756"/>
      <c r="U45" s="1756"/>
      <c r="V45" s="1756"/>
      <c r="W45" s="1756"/>
      <c r="X45" s="1756"/>
      <c r="Y45" s="1756"/>
      <c r="Z45" s="1756"/>
      <c r="AA45" s="1757"/>
      <c r="AB45" s="1231"/>
      <c r="AC45" s="1232"/>
      <c r="AD45" s="1158"/>
    </row>
    <row r="46" spans="1:30" ht="17.25" thickBot="1" thickTop="1">
      <c r="A46" s="1117"/>
      <c r="B46" s="1093"/>
      <c r="C46" s="1233"/>
      <c r="D46" s="1150"/>
      <c r="E46" s="1150"/>
      <c r="F46" s="1234"/>
      <c r="G46" s="1235"/>
      <c r="H46" s="1236"/>
      <c r="I46" s="1237"/>
      <c r="J46" s="1238"/>
      <c r="K46" s="1239"/>
      <c r="L46" s="1240"/>
      <c r="M46" s="1236"/>
      <c r="N46" s="1241"/>
      <c r="O46" s="1242"/>
      <c r="P46" s="1243"/>
      <c r="Q46" s="1759"/>
      <c r="R46" s="1760"/>
      <c r="S46" s="1760"/>
      <c r="T46" s="1760"/>
      <c r="U46" s="1761"/>
      <c r="V46" s="1761"/>
      <c r="W46" s="1761"/>
      <c r="X46" s="1761"/>
      <c r="Y46" s="1761"/>
      <c r="Z46" s="1761"/>
      <c r="AA46" s="1761"/>
      <c r="AB46" s="1761"/>
      <c r="AC46" s="1247">
        <f>SUM(AC40:AC45)</f>
        <v>0</v>
      </c>
      <c r="AD46" s="1158"/>
    </row>
    <row r="47" spans="1:30" ht="17.25" thickBot="1" thickTop="1">
      <c r="A47" s="1117"/>
      <c r="B47" s="1093"/>
      <c r="C47" s="1233"/>
      <c r="D47" s="1094"/>
      <c r="E47" s="1233"/>
      <c r="F47" s="1094"/>
      <c r="G47" s="1233"/>
      <c r="H47" s="1094"/>
      <c r="I47" s="1233"/>
      <c r="J47" s="1094"/>
      <c r="K47" s="1233"/>
      <c r="L47" s="1094"/>
      <c r="M47" s="1233"/>
      <c r="N47" s="1094"/>
      <c r="O47" s="1233"/>
      <c r="P47" s="1094"/>
      <c r="Q47" s="1233"/>
      <c r="R47" s="1094"/>
      <c r="S47" s="1233"/>
      <c r="T47" s="1094"/>
      <c r="U47" s="1233"/>
      <c r="V47" s="1094"/>
      <c r="W47" s="1233"/>
      <c r="X47" s="1094"/>
      <c r="Y47" s="1233"/>
      <c r="Z47" s="1094"/>
      <c r="AA47" s="1233"/>
      <c r="AB47" s="1094"/>
      <c r="AC47" s="1233"/>
      <c r="AD47" s="1158"/>
    </row>
    <row r="48" spans="1:33" s="1079" customFormat="1" ht="31.5" customHeight="1" thickBot="1" thickTop="1">
      <c r="A48" s="1078"/>
      <c r="B48" s="1159"/>
      <c r="C48" s="1160" t="s">
        <v>29</v>
      </c>
      <c r="D48" s="1161" t="s">
        <v>60</v>
      </c>
      <c r="E48" s="1253" t="s">
        <v>61</v>
      </c>
      <c r="F48" s="2791" t="s">
        <v>81</v>
      </c>
      <c r="G48" s="2792"/>
      <c r="H48" s="1165" t="s">
        <v>36</v>
      </c>
      <c r="I48" s="2405"/>
      <c r="J48" s="1253" t="s">
        <v>37</v>
      </c>
      <c r="K48" s="1253" t="s">
        <v>38</v>
      </c>
      <c r="L48" s="1251" t="s">
        <v>39</v>
      </c>
      <c r="M48" s="1251" t="s">
        <v>40</v>
      </c>
      <c r="N48" s="1166" t="s">
        <v>316</v>
      </c>
      <c r="O48" s="1166" t="s">
        <v>41</v>
      </c>
      <c r="P48" s="2793" t="s">
        <v>43</v>
      </c>
      <c r="Q48" s="2794"/>
      <c r="R48" s="2406" t="s">
        <v>35</v>
      </c>
      <c r="S48" s="2407" t="s">
        <v>73</v>
      </c>
      <c r="T48" s="2408" t="s">
        <v>82</v>
      </c>
      <c r="U48" s="2409"/>
      <c r="V48" s="2410" t="s">
        <v>83</v>
      </c>
      <c r="W48" s="2411"/>
      <c r="X48" s="2412" t="s">
        <v>48</v>
      </c>
      <c r="Y48" s="2413" t="s">
        <v>45</v>
      </c>
      <c r="Z48" s="2405"/>
      <c r="AA48" s="2405"/>
      <c r="AB48" s="1172" t="s">
        <v>50</v>
      </c>
      <c r="AC48" s="2414" t="s">
        <v>51</v>
      </c>
      <c r="AD48" s="1097"/>
      <c r="AF48" s="1081"/>
      <c r="AG48" s="1081"/>
    </row>
    <row r="49" spans="1:30" ht="15.75" thickTop="1">
      <c r="A49" s="1079"/>
      <c r="B49" s="1093"/>
      <c r="C49" s="1173"/>
      <c r="D49" s="1173"/>
      <c r="E49" s="1173"/>
      <c r="F49" s="2781"/>
      <c r="G49" s="2782"/>
      <c r="H49" s="1742"/>
      <c r="I49" s="1742"/>
      <c r="J49" s="1173"/>
      <c r="K49" s="1173"/>
      <c r="L49" s="1173"/>
      <c r="M49" s="1173"/>
      <c r="N49" s="2415"/>
      <c r="O49" s="1691">
        <f aca="true" t="shared" si="1" ref="O49:O54">IF(D49="","","--")</f>
      </c>
      <c r="P49" s="2416"/>
      <c r="Q49" s="2417"/>
      <c r="R49" s="1744"/>
      <c r="S49" s="1744"/>
      <c r="T49" s="1744"/>
      <c r="U49" s="1744"/>
      <c r="V49" s="1744"/>
      <c r="W49" s="1744"/>
      <c r="X49" s="1744"/>
      <c r="Y49" s="1744"/>
      <c r="Z49" s="1744"/>
      <c r="AA49" s="1745"/>
      <c r="AB49" s="1200">
        <f aca="true" t="shared" si="2" ref="AB49:AB54">IF(D49="","","SI")</f>
      </c>
      <c r="AC49" s="1183"/>
      <c r="AD49" s="1097"/>
    </row>
    <row r="50" spans="1:30" ht="15">
      <c r="A50" s="1079"/>
      <c r="B50" s="1093"/>
      <c r="C50" s="873" t="s">
        <v>103</v>
      </c>
      <c r="D50" s="1788" t="s">
        <v>460</v>
      </c>
      <c r="E50" s="1780" t="s">
        <v>461</v>
      </c>
      <c r="F50" s="2783">
        <v>80</v>
      </c>
      <c r="G50" s="2784"/>
      <c r="H50" s="2418">
        <f aca="true" t="shared" si="3" ref="H50:H55">F50*$F$21</f>
        <v>86.16</v>
      </c>
      <c r="I50" s="2405"/>
      <c r="J50" s="1611">
        <v>41791.03194444445</v>
      </c>
      <c r="K50" s="2005">
        <v>41794.47430555556</v>
      </c>
      <c r="L50" s="1271">
        <f aca="true" t="shared" si="4" ref="L50:L55">IF(D50="","",(K50-J50)*24)</f>
        <v>82.61666666669771</v>
      </c>
      <c r="M50" s="1272">
        <f aca="true" t="shared" si="5" ref="M50:M55">IF(D50="","",ROUND((K50-J50)*24*60,0))</f>
        <v>4957</v>
      </c>
      <c r="N50" s="1787" t="s">
        <v>332</v>
      </c>
      <c r="O50" s="1691" t="str">
        <f t="shared" si="1"/>
        <v>--</v>
      </c>
      <c r="P50" s="2785" t="str">
        <f aca="true" t="shared" si="6" ref="P50:P55">IF(D50="","",IF(OR(N50="P",N50="RP"),"--","NO"))</f>
        <v>--</v>
      </c>
      <c r="Q50" s="2786"/>
      <c r="R50" s="2419">
        <f aca="true" t="shared" si="7" ref="R50:R55">IF(OR(N50="P",N50="RP"),$F$22/10,$F$22)</f>
        <v>2</v>
      </c>
      <c r="S50" s="2420">
        <f aca="true" t="shared" si="8" ref="S50:S55">IF(N50="P",H50*R50*ROUND(M50/60,2),"--")</f>
        <v>14237.0784</v>
      </c>
      <c r="T50" s="2421" t="str">
        <f aca="true" t="shared" si="9" ref="T50:T55">IF(AND(N50="F",P50="NO"),H50*R50,"--")</f>
        <v>--</v>
      </c>
      <c r="U50" s="2422" t="str">
        <f aca="true" t="shared" si="10" ref="U50:U55">IF(N50="F",H50*R50*ROUND(M50/60,2),"--")</f>
        <v>--</v>
      </c>
      <c r="V50" s="2423" t="str">
        <f aca="true" t="shared" si="11" ref="V50:V55">IF(AND(N50="R",P50="NO"),H50*R50*O50/100,"--")</f>
        <v>--</v>
      </c>
      <c r="W50" s="2424" t="str">
        <f aca="true" t="shared" si="12" ref="W50:W55">IF(N50="R",H50*R50*O50/100*ROUND(M50/60,2),"--")</f>
        <v>--</v>
      </c>
      <c r="X50" s="2425" t="str">
        <f aca="true" t="shared" si="13" ref="X50:X55">IF(N50="RF",H50*R50*ROUND(M50/60,2),"--")</f>
        <v>--</v>
      </c>
      <c r="Y50" s="2426" t="str">
        <f aca="true" t="shared" si="14" ref="Y50:Y55">IF(N50="RP",H50*R50*O50/100*ROUND(M50/60,2),"--")</f>
        <v>--</v>
      </c>
      <c r="Z50" s="2405"/>
      <c r="AA50" s="2405"/>
      <c r="AB50" s="1692" t="str">
        <f t="shared" si="2"/>
        <v>SI</v>
      </c>
      <c r="AC50" s="1277">
        <f aca="true" t="shared" si="15" ref="AC50:AC55">IF(D50="","",SUM(S50:Y50)*IF(AB50="SI",1,2)*IF(AND(O50&lt;&gt;"--",N50="RF"),O50/100,1))</f>
        <v>14237.0784</v>
      </c>
      <c r="AD50" s="1158"/>
    </row>
    <row r="51" spans="2:30" s="1117" customFormat="1" ht="16.5" customHeight="1">
      <c r="B51" s="1118"/>
      <c r="C51" s="873" t="s">
        <v>104</v>
      </c>
      <c r="D51" s="1788"/>
      <c r="E51" s="1780"/>
      <c r="F51" s="2783"/>
      <c r="G51" s="2784"/>
      <c r="H51" s="2418">
        <f t="shared" si="3"/>
        <v>0</v>
      </c>
      <c r="I51" s="2405"/>
      <c r="J51" s="1611"/>
      <c r="K51" s="2005"/>
      <c r="L51" s="1271">
        <f t="shared" si="4"/>
      </c>
      <c r="M51" s="1272">
        <f t="shared" si="5"/>
      </c>
      <c r="N51" s="1787"/>
      <c r="O51" s="1691">
        <f t="shared" si="1"/>
      </c>
      <c r="P51" s="2785">
        <f t="shared" si="6"/>
      </c>
      <c r="Q51" s="2786"/>
      <c r="R51" s="2419">
        <f t="shared" si="7"/>
        <v>20</v>
      </c>
      <c r="S51" s="2420" t="str">
        <f t="shared" si="8"/>
        <v>--</v>
      </c>
      <c r="T51" s="2421" t="str">
        <f t="shared" si="9"/>
        <v>--</v>
      </c>
      <c r="U51" s="2422" t="str">
        <f t="shared" si="10"/>
        <v>--</v>
      </c>
      <c r="V51" s="2423" t="str">
        <f t="shared" si="11"/>
        <v>--</v>
      </c>
      <c r="W51" s="2424" t="str">
        <f t="shared" si="12"/>
        <v>--</v>
      </c>
      <c r="X51" s="2425" t="str">
        <f t="shared" si="13"/>
        <v>--</v>
      </c>
      <c r="Y51" s="2426" t="str">
        <f t="shared" si="14"/>
        <v>--</v>
      </c>
      <c r="Z51" s="2405"/>
      <c r="AA51" s="2405"/>
      <c r="AB51" s="1692">
        <f t="shared" si="2"/>
      </c>
      <c r="AC51" s="1277">
        <f t="shared" si="15"/>
      </c>
      <c r="AD51" s="1323"/>
    </row>
    <row r="52" spans="1:30" ht="15">
      <c r="A52" s="1079"/>
      <c r="B52" s="1093"/>
      <c r="C52" s="873" t="s">
        <v>105</v>
      </c>
      <c r="D52" s="1788"/>
      <c r="E52" s="1780"/>
      <c r="F52" s="2783"/>
      <c r="G52" s="2784"/>
      <c r="H52" s="2418">
        <f t="shared" si="3"/>
        <v>0</v>
      </c>
      <c r="I52" s="2405"/>
      <c r="J52" s="1611"/>
      <c r="K52" s="2005"/>
      <c r="L52" s="1271">
        <f t="shared" si="4"/>
      </c>
      <c r="M52" s="1272">
        <f t="shared" si="5"/>
      </c>
      <c r="N52" s="1787"/>
      <c r="O52" s="1691">
        <f t="shared" si="1"/>
      </c>
      <c r="P52" s="2785">
        <f t="shared" si="6"/>
      </c>
      <c r="Q52" s="2786"/>
      <c r="R52" s="2419">
        <f t="shared" si="7"/>
        <v>20</v>
      </c>
      <c r="S52" s="2420" t="str">
        <f t="shared" si="8"/>
        <v>--</v>
      </c>
      <c r="T52" s="2421" t="str">
        <f t="shared" si="9"/>
        <v>--</v>
      </c>
      <c r="U52" s="2422" t="str">
        <f t="shared" si="10"/>
        <v>--</v>
      </c>
      <c r="V52" s="2423" t="str">
        <f t="shared" si="11"/>
        <v>--</v>
      </c>
      <c r="W52" s="2424" t="str">
        <f t="shared" si="12"/>
        <v>--</v>
      </c>
      <c r="X52" s="2425" t="str">
        <f t="shared" si="13"/>
        <v>--</v>
      </c>
      <c r="Y52" s="2426" t="str">
        <f t="shared" si="14"/>
        <v>--</v>
      </c>
      <c r="Z52" s="2405"/>
      <c r="AA52" s="2405"/>
      <c r="AB52" s="1692">
        <f t="shared" si="2"/>
      </c>
      <c r="AC52" s="1277">
        <f t="shared" si="15"/>
      </c>
      <c r="AD52" s="1158"/>
    </row>
    <row r="53" spans="1:30" ht="15">
      <c r="A53" s="1079"/>
      <c r="B53" s="1093"/>
      <c r="C53" s="873" t="s">
        <v>106</v>
      </c>
      <c r="D53" s="1788"/>
      <c r="E53" s="1780"/>
      <c r="F53" s="2783"/>
      <c r="G53" s="2784"/>
      <c r="H53" s="2418">
        <f t="shared" si="3"/>
        <v>0</v>
      </c>
      <c r="I53" s="2405"/>
      <c r="J53" s="1611"/>
      <c r="K53" s="2005"/>
      <c r="L53" s="1271">
        <f t="shared" si="4"/>
      </c>
      <c r="M53" s="1272">
        <f t="shared" si="5"/>
      </c>
      <c r="N53" s="1787"/>
      <c r="O53" s="1691">
        <f t="shared" si="1"/>
      </c>
      <c r="P53" s="2785">
        <f t="shared" si="6"/>
      </c>
      <c r="Q53" s="2786"/>
      <c r="R53" s="2419">
        <f t="shared" si="7"/>
        <v>20</v>
      </c>
      <c r="S53" s="2420" t="str">
        <f t="shared" si="8"/>
        <v>--</v>
      </c>
      <c r="T53" s="2421" t="str">
        <f t="shared" si="9"/>
        <v>--</v>
      </c>
      <c r="U53" s="2422" t="str">
        <f t="shared" si="10"/>
        <v>--</v>
      </c>
      <c r="V53" s="2423" t="str">
        <f t="shared" si="11"/>
        <v>--</v>
      </c>
      <c r="W53" s="2424" t="str">
        <f t="shared" si="12"/>
        <v>--</v>
      </c>
      <c r="X53" s="2425" t="str">
        <f t="shared" si="13"/>
        <v>--</v>
      </c>
      <c r="Y53" s="2426" t="str">
        <f t="shared" si="14"/>
        <v>--</v>
      </c>
      <c r="Z53" s="2405"/>
      <c r="AA53" s="2405"/>
      <c r="AB53" s="1692">
        <f t="shared" si="2"/>
      </c>
      <c r="AC53" s="1277">
        <f t="shared" si="15"/>
      </c>
      <c r="AD53" s="1158"/>
    </row>
    <row r="54" spans="1:30" ht="15">
      <c r="A54" s="1079"/>
      <c r="B54" s="1093"/>
      <c r="C54" s="873" t="s">
        <v>107</v>
      </c>
      <c r="D54" s="1788"/>
      <c r="E54" s="1780"/>
      <c r="F54" s="2783"/>
      <c r="G54" s="2784"/>
      <c r="H54" s="2418">
        <f t="shared" si="3"/>
        <v>0</v>
      </c>
      <c r="I54" s="2405"/>
      <c r="J54" s="1611"/>
      <c r="K54" s="2005"/>
      <c r="L54" s="1271">
        <f t="shared" si="4"/>
      </c>
      <c r="M54" s="1272">
        <f t="shared" si="5"/>
      </c>
      <c r="N54" s="1787"/>
      <c r="O54" s="1691">
        <f t="shared" si="1"/>
      </c>
      <c r="P54" s="2785">
        <f t="shared" si="6"/>
      </c>
      <c r="Q54" s="2786"/>
      <c r="R54" s="2419">
        <f t="shared" si="7"/>
        <v>20</v>
      </c>
      <c r="S54" s="2420" t="str">
        <f t="shared" si="8"/>
        <v>--</v>
      </c>
      <c r="T54" s="2421" t="str">
        <f t="shared" si="9"/>
        <v>--</v>
      </c>
      <c r="U54" s="2422" t="str">
        <f t="shared" si="10"/>
        <v>--</v>
      </c>
      <c r="V54" s="2423" t="str">
        <f t="shared" si="11"/>
        <v>--</v>
      </c>
      <c r="W54" s="2424" t="str">
        <f t="shared" si="12"/>
        <v>--</v>
      </c>
      <c r="X54" s="2425" t="str">
        <f t="shared" si="13"/>
        <v>--</v>
      </c>
      <c r="Y54" s="2426" t="str">
        <f t="shared" si="14"/>
        <v>--</v>
      </c>
      <c r="Z54" s="2405"/>
      <c r="AA54" s="2405"/>
      <c r="AB54" s="1692">
        <f t="shared" si="2"/>
      </c>
      <c r="AC54" s="1277">
        <f t="shared" si="15"/>
      </c>
      <c r="AD54" s="1158"/>
    </row>
    <row r="55" spans="1:30" ht="15">
      <c r="A55" s="1079"/>
      <c r="B55" s="1093"/>
      <c r="C55" s="944" t="s">
        <v>108</v>
      </c>
      <c r="D55" s="1788"/>
      <c r="E55" s="1780"/>
      <c r="F55" s="2783"/>
      <c r="G55" s="2784"/>
      <c r="H55" s="2418">
        <f t="shared" si="3"/>
        <v>0</v>
      </c>
      <c r="I55" s="2405"/>
      <c r="J55" s="1611"/>
      <c r="K55" s="2005"/>
      <c r="L55" s="1271">
        <f t="shared" si="4"/>
      </c>
      <c r="M55" s="1272">
        <f t="shared" si="5"/>
      </c>
      <c r="N55" s="1787"/>
      <c r="O55" s="1691">
        <f>IF(D55="","","--")</f>
      </c>
      <c r="P55" s="2785">
        <f t="shared" si="6"/>
      </c>
      <c r="Q55" s="2786"/>
      <c r="R55" s="2419">
        <f t="shared" si="7"/>
        <v>20</v>
      </c>
      <c r="S55" s="2420" t="str">
        <f t="shared" si="8"/>
        <v>--</v>
      </c>
      <c r="T55" s="2421" t="str">
        <f t="shared" si="9"/>
        <v>--</v>
      </c>
      <c r="U55" s="2422" t="str">
        <f t="shared" si="10"/>
        <v>--</v>
      </c>
      <c r="V55" s="2423" t="str">
        <f t="shared" si="11"/>
        <v>--</v>
      </c>
      <c r="W55" s="2424" t="str">
        <f t="shared" si="12"/>
        <v>--</v>
      </c>
      <c r="X55" s="2425" t="str">
        <f t="shared" si="13"/>
        <v>--</v>
      </c>
      <c r="Y55" s="2426" t="str">
        <f t="shared" si="14"/>
        <v>--</v>
      </c>
      <c r="Z55" s="2405"/>
      <c r="AA55" s="2405"/>
      <c r="AB55" s="1692">
        <f>IF(D55="","","SI")</f>
      </c>
      <c r="AC55" s="1277">
        <f t="shared" si="15"/>
      </c>
      <c r="AD55" s="1158"/>
    </row>
    <row r="56" spans="1:30" ht="16.5" thickBot="1">
      <c r="A56" s="1117"/>
      <c r="B56" s="1093"/>
      <c r="C56" s="1213"/>
      <c r="D56" s="1214"/>
      <c r="E56" s="1215"/>
      <c r="F56" s="2787"/>
      <c r="G56" s="2788"/>
      <c r="H56" s="1754"/>
      <c r="I56" s="1754"/>
      <c r="J56" s="1219"/>
      <c r="K56" s="1220"/>
      <c r="L56" s="1221"/>
      <c r="M56" s="1222"/>
      <c r="N56" s="2427"/>
      <c r="O56" s="2427"/>
      <c r="P56" s="2428"/>
      <c r="Q56" s="2429"/>
      <c r="R56" s="1756"/>
      <c r="S56" s="1756"/>
      <c r="T56" s="1756"/>
      <c r="U56" s="1756"/>
      <c r="V56" s="1756"/>
      <c r="W56" s="1756"/>
      <c r="X56" s="1756"/>
      <c r="Y56" s="1756"/>
      <c r="Z56" s="1756"/>
      <c r="AA56" s="1757"/>
      <c r="AB56" s="1231"/>
      <c r="AC56" s="1232"/>
      <c r="AD56" s="1158"/>
    </row>
    <row r="57" spans="1:30" ht="17.25" thickBot="1" thickTop="1">
      <c r="A57" s="1117"/>
      <c r="B57" s="1093"/>
      <c r="C57" s="1233"/>
      <c r="D57" s="1150"/>
      <c r="E57" s="1150"/>
      <c r="F57" s="1234"/>
      <c r="G57" s="1235"/>
      <c r="H57" s="1236"/>
      <c r="I57" s="1237"/>
      <c r="J57" s="1238"/>
      <c r="K57" s="1239"/>
      <c r="L57" s="1240"/>
      <c r="M57" s="1236"/>
      <c r="N57" s="1241"/>
      <c r="O57" s="1242"/>
      <c r="P57" s="1243"/>
      <c r="Q57" s="1244"/>
      <c r="R57" s="1760"/>
      <c r="S57" s="1760"/>
      <c r="T57" s="1760"/>
      <c r="U57" s="1761"/>
      <c r="V57" s="1761"/>
      <c r="W57" s="1761"/>
      <c r="X57" s="1761"/>
      <c r="Y57" s="1761"/>
      <c r="Z57" s="1761"/>
      <c r="AA57" s="1761"/>
      <c r="AB57" s="1246"/>
      <c r="AC57" s="1247">
        <f>SUM(AC49:AC56)</f>
        <v>14237.0784</v>
      </c>
      <c r="AD57" s="1158"/>
    </row>
    <row r="58" spans="1:30" ht="20.25" thickBot="1" thickTop="1">
      <c r="A58" s="1117"/>
      <c r="B58" s="1093"/>
      <c r="C58" s="1233"/>
      <c r="D58" s="1150"/>
      <c r="E58" s="1150"/>
      <c r="F58" s="1234"/>
      <c r="G58" s="1235"/>
      <c r="H58" s="1236"/>
      <c r="I58" s="1237"/>
      <c r="J58" s="1148" t="s">
        <v>116</v>
      </c>
      <c r="K58" s="1149">
        <f>AC37+AC46+AC57</f>
        <v>15382.64607072</v>
      </c>
      <c r="L58" s="1240"/>
      <c r="M58" s="1236"/>
      <c r="N58" s="1248"/>
      <c r="O58" s="1249"/>
      <c r="P58" s="1243"/>
      <c r="Q58" s="1244"/>
      <c r="R58" s="1245"/>
      <c r="S58" s="1245"/>
      <c r="T58" s="1245"/>
      <c r="U58" s="1246"/>
      <c r="V58" s="1246"/>
      <c r="W58" s="1246"/>
      <c r="X58" s="1246"/>
      <c r="Y58" s="1246"/>
      <c r="Z58" s="1246"/>
      <c r="AA58" s="1246"/>
      <c r="AB58" s="1246"/>
      <c r="AC58" s="1790"/>
      <c r="AD58" s="1158"/>
    </row>
    <row r="59" spans="1:30" ht="13.5" customHeight="1" thickTop="1">
      <c r="A59" s="1117"/>
      <c r="B59" s="1118"/>
      <c r="C59" s="1147"/>
      <c r="D59" s="1314"/>
      <c r="E59" s="1315"/>
      <c r="F59" s="1316"/>
      <c r="G59" s="1317"/>
      <c r="H59" s="1317"/>
      <c r="I59" s="1315"/>
      <c r="J59" s="1318"/>
      <c r="K59" s="1318"/>
      <c r="L59" s="1315"/>
      <c r="M59" s="1315"/>
      <c r="N59" s="1315"/>
      <c r="O59" s="1319"/>
      <c r="P59" s="1315"/>
      <c r="Q59" s="1315"/>
      <c r="R59" s="1320"/>
      <c r="S59" s="1321"/>
      <c r="T59" s="1321"/>
      <c r="U59" s="1322"/>
      <c r="AC59" s="1322"/>
      <c r="AD59" s="1323"/>
    </row>
    <row r="60" spans="1:30" ht="16.5" customHeight="1">
      <c r="A60" s="1117"/>
      <c r="B60" s="1118"/>
      <c r="C60" s="1324" t="s">
        <v>117</v>
      </c>
      <c r="D60" s="1325" t="s">
        <v>319</v>
      </c>
      <c r="E60" s="1315"/>
      <c r="F60" s="1316"/>
      <c r="G60" s="1317"/>
      <c r="H60" s="1317"/>
      <c r="I60" s="1315"/>
      <c r="J60" s="1318"/>
      <c r="K60" s="1318"/>
      <c r="L60" s="1315"/>
      <c r="M60" s="1315"/>
      <c r="N60" s="1315"/>
      <c r="O60" s="1319"/>
      <c r="P60" s="1315"/>
      <c r="Q60" s="1315"/>
      <c r="R60" s="1320"/>
      <c r="S60" s="1321"/>
      <c r="T60" s="1321"/>
      <c r="U60" s="1322"/>
      <c r="AC60" s="1322"/>
      <c r="AD60" s="1323"/>
    </row>
    <row r="61" spans="1:30" ht="16.5" customHeight="1">
      <c r="A61" s="1117"/>
      <c r="B61" s="1118"/>
      <c r="C61" s="1324"/>
      <c r="D61" s="1314"/>
      <c r="E61" s="1315"/>
      <c r="F61" s="1316"/>
      <c r="G61" s="1317"/>
      <c r="H61" s="1317"/>
      <c r="I61" s="1315"/>
      <c r="J61" s="1318"/>
      <c r="K61" s="1318"/>
      <c r="L61" s="1315"/>
      <c r="M61" s="1315"/>
      <c r="N61" s="1315"/>
      <c r="O61" s="1319"/>
      <c r="P61" s="1315"/>
      <c r="Q61" s="1315"/>
      <c r="R61" s="1315"/>
      <c r="S61" s="1320"/>
      <c r="T61" s="1321"/>
      <c r="AD61" s="1323"/>
    </row>
    <row r="62" spans="2:30" s="1117" customFormat="1" ht="16.5" customHeight="1">
      <c r="B62" s="1118"/>
      <c r="C62" s="1147"/>
      <c r="D62" s="1326" t="s">
        <v>5</v>
      </c>
      <c r="E62" s="1153" t="s">
        <v>118</v>
      </c>
      <c r="F62" s="1153" t="s">
        <v>119</v>
      </c>
      <c r="G62" s="1327" t="s">
        <v>320</v>
      </c>
      <c r="H62" s="1154"/>
      <c r="I62" s="1153"/>
      <c r="J62" s="1081"/>
      <c r="K62" s="1340" t="s">
        <v>321</v>
      </c>
      <c r="L62" s="1081"/>
      <c r="M62" s="1081"/>
      <c r="O62" s="1340" t="s">
        <v>322</v>
      </c>
      <c r="P62" s="1339"/>
      <c r="Q62" s="1341"/>
      <c r="R62" s="1330"/>
      <c r="S62" s="1119"/>
      <c r="T62" s="1081"/>
      <c r="U62" s="1081"/>
      <c r="V62" s="1081"/>
      <c r="W62" s="1081"/>
      <c r="X62" s="1119"/>
      <c r="Y62" s="1119"/>
      <c r="Z62" s="1119"/>
      <c r="AA62" s="1119"/>
      <c r="AB62" s="1119"/>
      <c r="AC62" s="1791" t="s">
        <v>323</v>
      </c>
      <c r="AD62" s="1323"/>
    </row>
    <row r="63" spans="2:30" s="1117" customFormat="1" ht="16.5" customHeight="1">
      <c r="B63" s="1118"/>
      <c r="C63" s="1147"/>
      <c r="D63" s="1153" t="s">
        <v>120</v>
      </c>
      <c r="E63" s="2430">
        <v>267</v>
      </c>
      <c r="F63" s="1343">
        <v>500</v>
      </c>
      <c r="G63" s="1122">
        <f>E63*$F$20*$L$21/100</f>
        <v>752871.4344</v>
      </c>
      <c r="H63" s="1122"/>
      <c r="I63" s="1122"/>
      <c r="J63" s="1108"/>
      <c r="K63" s="1344">
        <v>1270768</v>
      </c>
      <c r="L63" s="1108"/>
      <c r="M63" s="1042" t="str">
        <f>"(DTE "&amp;DATO!$G$14&amp;DATO!$H$14&amp;")"</f>
        <v>(DTE 0614)</v>
      </c>
      <c r="R63" s="1330"/>
      <c r="S63" s="1119"/>
      <c r="T63" s="1081"/>
      <c r="U63" s="1081"/>
      <c r="V63" s="1081"/>
      <c r="W63" s="1081"/>
      <c r="X63" s="1119"/>
      <c r="Y63" s="1119"/>
      <c r="Z63" s="1119"/>
      <c r="AA63" s="1119"/>
      <c r="AB63" s="1793"/>
      <c r="AC63" s="1794">
        <f>K63+G63</f>
        <v>2023639.4344000001</v>
      </c>
      <c r="AD63" s="1323"/>
    </row>
    <row r="64" spans="2:30" s="1117" customFormat="1" ht="16.5" customHeight="1">
      <c r="B64" s="1118"/>
      <c r="C64" s="1147"/>
      <c r="D64" s="1153" t="s">
        <v>121</v>
      </c>
      <c r="E64" s="2430">
        <f>3*3.6</f>
        <v>10.8</v>
      </c>
      <c r="F64" s="1343">
        <v>500</v>
      </c>
      <c r="G64" s="1122">
        <f>E64*$F$20*$L$21/100</f>
        <v>30453.226560000003</v>
      </c>
      <c r="H64" s="1329"/>
      <c r="I64" s="1338"/>
      <c r="J64" s="1108"/>
      <c r="K64" s="1122">
        <v>43824</v>
      </c>
      <c r="L64" s="1108"/>
      <c r="M64" s="1042" t="str">
        <f>"(DTE "&amp;DATO!$G$14&amp;DATO!$H$14&amp;")"</f>
        <v>(DTE 0614)</v>
      </c>
      <c r="O64" s="2431"/>
      <c r="P64" s="1081"/>
      <c r="Q64" s="1330"/>
      <c r="R64" s="1330"/>
      <c r="S64" s="1119"/>
      <c r="T64" s="1081"/>
      <c r="U64" s="1081"/>
      <c r="V64" s="1081"/>
      <c r="W64" s="1081"/>
      <c r="X64" s="1119"/>
      <c r="Y64" s="1119"/>
      <c r="Z64" s="1119"/>
      <c r="AA64" s="1119"/>
      <c r="AB64" s="1119"/>
      <c r="AC64" s="1794">
        <f>K64+G64</f>
        <v>74277.22656000001</v>
      </c>
      <c r="AD64" s="1323"/>
    </row>
    <row r="65" spans="2:30" s="1117" customFormat="1" ht="16.5" customHeight="1">
      <c r="B65" s="1118"/>
      <c r="C65" s="1147"/>
      <c r="E65" s="1345"/>
      <c r="F65" s="1153"/>
      <c r="G65" s="1154"/>
      <c r="H65" s="1081"/>
      <c r="I65" s="1153"/>
      <c r="J65" s="1153"/>
      <c r="K65" s="1081"/>
      <c r="L65" s="1794"/>
      <c r="M65" s="1341"/>
      <c r="N65" s="1341"/>
      <c r="O65" s="1344">
        <v>0</v>
      </c>
      <c r="P65" s="1108"/>
      <c r="Q65" s="1042" t="str">
        <f>"(DTE "&amp;DATO!$G$14&amp;DATO!$H$14&amp;")"</f>
        <v>(DTE 0614)</v>
      </c>
      <c r="R65" s="1330"/>
      <c r="S65" s="1119"/>
      <c r="T65" s="1081"/>
      <c r="U65" s="1081"/>
      <c r="V65" s="1081"/>
      <c r="W65" s="1081"/>
      <c r="X65" s="1119"/>
      <c r="Y65" s="1119"/>
      <c r="Z65" s="1119"/>
      <c r="AA65" s="1119"/>
      <c r="AB65" s="1119"/>
      <c r="AC65" s="2432">
        <f>+O65</f>
        <v>0</v>
      </c>
      <c r="AD65" s="1323"/>
    </row>
    <row r="66" spans="2:30" s="1117" customFormat="1" ht="10.5" customHeight="1" thickBot="1">
      <c r="B66" s="1118"/>
      <c r="C66" s="1147"/>
      <c r="E66" s="1345"/>
      <c r="F66" s="1153"/>
      <c r="G66" s="1154"/>
      <c r="H66" s="1081"/>
      <c r="I66" s="1153"/>
      <c r="J66" s="1153"/>
      <c r="K66" s="1081"/>
      <c r="L66" s="1794"/>
      <c r="M66" s="1341"/>
      <c r="N66" s="1341"/>
      <c r="O66" s="1344"/>
      <c r="P66" s="1108"/>
      <c r="Q66" s="1123"/>
      <c r="R66" s="1330"/>
      <c r="S66" s="1119"/>
      <c r="T66" s="1081"/>
      <c r="U66" s="1081"/>
      <c r="V66" s="1081"/>
      <c r="W66" s="1081"/>
      <c r="X66" s="1119"/>
      <c r="Y66" s="1119"/>
      <c r="Z66" s="1119"/>
      <c r="AA66" s="1119"/>
      <c r="AB66" s="1119"/>
      <c r="AC66" s="1794"/>
      <c r="AD66" s="1323"/>
    </row>
    <row r="67" spans="1:30" ht="21" customHeight="1" thickBot="1" thickTop="1">
      <c r="A67" s="1117"/>
      <c r="B67" s="1118"/>
      <c r="C67" s="1147"/>
      <c r="D67" s="1318"/>
      <c r="E67" s="1345"/>
      <c r="F67" s="1153"/>
      <c r="G67" s="1153"/>
      <c r="H67" s="1154"/>
      <c r="J67" s="1153"/>
      <c r="L67" s="1346"/>
      <c r="M67" s="1341"/>
      <c r="N67" s="1341"/>
      <c r="O67" s="1330"/>
      <c r="P67" s="1330"/>
      <c r="Q67" s="1330"/>
      <c r="R67" s="1330"/>
      <c r="S67" s="1330"/>
      <c r="AB67" s="2433" t="s">
        <v>142</v>
      </c>
      <c r="AC67" s="2434">
        <f>SUM(AC63:AC65)</f>
        <v>2097916.66096</v>
      </c>
      <c r="AD67" s="1323"/>
    </row>
    <row r="68" spans="1:30" ht="16.5" customHeight="1" thickBot="1" thickTop="1">
      <c r="A68" s="1117"/>
      <c r="B68" s="1118"/>
      <c r="C68" s="1147"/>
      <c r="D68" s="1318"/>
      <c r="E68" s="1345"/>
      <c r="F68" s="1153"/>
      <c r="G68" s="1153"/>
      <c r="H68" s="1154"/>
      <c r="J68" s="1153"/>
      <c r="L68" s="1346"/>
      <c r="M68" s="1341"/>
      <c r="N68" s="1341"/>
      <c r="O68" s="1330"/>
      <c r="P68" s="1330"/>
      <c r="Q68" s="1330"/>
      <c r="R68" s="1330"/>
      <c r="S68" s="1330"/>
      <c r="AC68" s="1640"/>
      <c r="AD68" s="1323"/>
    </row>
    <row r="69" spans="1:30" ht="21" customHeight="1" thickBot="1" thickTop="1">
      <c r="A69" s="1117"/>
      <c r="B69" s="1118"/>
      <c r="C69" s="1147"/>
      <c r="D69" s="1318"/>
      <c r="E69" s="1345"/>
      <c r="F69" s="1153"/>
      <c r="G69" s="1153"/>
      <c r="H69" s="1154"/>
      <c r="J69" s="1153"/>
      <c r="L69" s="1346"/>
      <c r="M69" s="1341"/>
      <c r="N69" s="1341"/>
      <c r="O69" s="1330"/>
      <c r="P69" s="1330"/>
      <c r="Q69" s="1330"/>
      <c r="R69" s="1330"/>
      <c r="S69" s="1330"/>
      <c r="AB69" s="2433" t="s">
        <v>445</v>
      </c>
      <c r="AC69" s="2434">
        <v>1548968.74864</v>
      </c>
      <c r="AD69" s="1323"/>
    </row>
    <row r="70" spans="2:30" ht="16.5" customHeight="1" thickTop="1">
      <c r="B70" s="1118"/>
      <c r="C70" s="1324" t="s">
        <v>122</v>
      </c>
      <c r="D70" s="1347" t="s">
        <v>123</v>
      </c>
      <c r="E70" s="1153"/>
      <c r="F70" s="1348"/>
      <c r="G70" s="1152"/>
      <c r="H70" s="1318"/>
      <c r="I70" s="1318"/>
      <c r="J70" s="1318"/>
      <c r="K70" s="1153"/>
      <c r="L70" s="1153"/>
      <c r="M70" s="1318"/>
      <c r="N70" s="1153"/>
      <c r="O70" s="1318"/>
      <c r="P70" s="1318"/>
      <c r="Q70" s="1318"/>
      <c r="R70" s="1318"/>
      <c r="S70" s="1318"/>
      <c r="T70" s="1318"/>
      <c r="U70" s="1318"/>
      <c r="AC70" s="1318"/>
      <c r="AD70" s="1323"/>
    </row>
    <row r="71" spans="2:30" s="1117" customFormat="1" ht="16.5" customHeight="1">
      <c r="B71" s="1118"/>
      <c r="C71" s="1147"/>
      <c r="D71" s="1326" t="s">
        <v>124</v>
      </c>
      <c r="E71" s="1349">
        <f>10*K58*K26/AC67</f>
        <v>2839.3928222143845</v>
      </c>
      <c r="G71" s="1152"/>
      <c r="L71" s="1153"/>
      <c r="N71" s="1153"/>
      <c r="O71" s="1154"/>
      <c r="V71" s="1081"/>
      <c r="W71" s="1081"/>
      <c r="AD71" s="1323"/>
    </row>
    <row r="72" spans="2:30" s="1117" customFormat="1" ht="16.5" customHeight="1">
      <c r="B72" s="1118"/>
      <c r="C72" s="1147"/>
      <c r="E72" s="1350"/>
      <c r="F72" s="1145"/>
      <c r="G72" s="1152"/>
      <c r="J72" s="1152"/>
      <c r="K72" s="1351"/>
      <c r="L72" s="1153"/>
      <c r="M72" s="1153"/>
      <c r="N72" s="1153"/>
      <c r="O72" s="1154"/>
      <c r="P72" s="1153"/>
      <c r="Q72" s="1153"/>
      <c r="R72" s="1352"/>
      <c r="S72" s="1352"/>
      <c r="T72" s="1352"/>
      <c r="U72" s="1353"/>
      <c r="V72" s="1081"/>
      <c r="W72" s="1081"/>
      <c r="AC72" s="1353"/>
      <c r="AD72" s="1323"/>
    </row>
    <row r="73" spans="2:30" ht="16.5" customHeight="1">
      <c r="B73" s="1118"/>
      <c r="C73" s="1147"/>
      <c r="D73" s="1354" t="s">
        <v>125</v>
      </c>
      <c r="E73" s="1355"/>
      <c r="F73" s="1145"/>
      <c r="G73" s="1152"/>
      <c r="H73" s="1318"/>
      <c r="I73" s="1318"/>
      <c r="N73" s="1153"/>
      <c r="O73" s="1154"/>
      <c r="P73" s="1153"/>
      <c r="Q73" s="1153"/>
      <c r="R73" s="1339"/>
      <c r="S73" s="1339"/>
      <c r="T73" s="1339"/>
      <c r="U73" s="1341"/>
      <c r="AC73" s="1341"/>
      <c r="AD73" s="1323"/>
    </row>
    <row r="74" spans="2:30" ht="16.5" customHeight="1" thickBot="1">
      <c r="B74" s="1118"/>
      <c r="C74" s="1147"/>
      <c r="D74" s="1354"/>
      <c r="E74" s="1355"/>
      <c r="F74" s="1145"/>
      <c r="G74" s="1152"/>
      <c r="H74" s="1318"/>
      <c r="I74" s="1318"/>
      <c r="N74" s="1153"/>
      <c r="O74" s="1154"/>
      <c r="P74" s="1153"/>
      <c r="Q74" s="1153"/>
      <c r="R74" s="1339"/>
      <c r="S74" s="1339"/>
      <c r="T74" s="1339"/>
      <c r="U74" s="1341"/>
      <c r="AC74" s="1341"/>
      <c r="AD74" s="1323"/>
    </row>
    <row r="75" spans="2:30" s="1356" customFormat="1" ht="21" thickBot="1" thickTop="1">
      <c r="B75" s="1357"/>
      <c r="C75" s="1358"/>
      <c r="D75" s="1359"/>
      <c r="E75" s="1360"/>
      <c r="F75" s="1361"/>
      <c r="G75" s="1362"/>
      <c r="I75" s="1081"/>
      <c r="J75" s="1363" t="s">
        <v>126</v>
      </c>
      <c r="K75" s="1364">
        <f>IF(E71&gt;3*K26,K26*3,E71)</f>
        <v>2839.3928222143845</v>
      </c>
      <c r="M75" s="1367"/>
      <c r="N75" s="1365" t="s">
        <v>407</v>
      </c>
      <c r="O75" s="1366"/>
      <c r="P75" s="1367"/>
      <c r="Q75" s="1367"/>
      <c r="R75" s="1368"/>
      <c r="S75" s="1368"/>
      <c r="T75" s="1368"/>
      <c r="U75" s="1369"/>
      <c r="V75" s="1081"/>
      <c r="W75" s="1081"/>
      <c r="AC75" s="1369"/>
      <c r="AD75" s="1370"/>
    </row>
    <row r="76" spans="2:30" ht="16.5" customHeight="1" thickBot="1" thickTop="1">
      <c r="B76" s="1371"/>
      <c r="C76" s="1372"/>
      <c r="D76" s="1372"/>
      <c r="E76" s="1372"/>
      <c r="F76" s="1372"/>
      <c r="G76" s="1372"/>
      <c r="H76" s="1372"/>
      <c r="I76" s="1372"/>
      <c r="J76" s="1372"/>
      <c r="K76" s="1372"/>
      <c r="L76" s="1372"/>
      <c r="M76" s="1372"/>
      <c r="N76" s="1372"/>
      <c r="O76" s="1372"/>
      <c r="P76" s="1372"/>
      <c r="Q76" s="1372"/>
      <c r="R76" s="1372"/>
      <c r="S76" s="1372"/>
      <c r="T76" s="1372"/>
      <c r="U76" s="1372"/>
      <c r="V76" s="1373"/>
      <c r="W76" s="1373"/>
      <c r="X76" s="1373"/>
      <c r="Y76" s="1373"/>
      <c r="Z76" s="1373"/>
      <c r="AA76" s="1373"/>
      <c r="AB76" s="1373"/>
      <c r="AC76" s="1372"/>
      <c r="AD76" s="1374"/>
    </row>
    <row r="77" spans="2:23" ht="16.5" customHeight="1" thickTop="1">
      <c r="B77" s="1114"/>
      <c r="C77" s="1375"/>
      <c r="W77" s="1114"/>
    </row>
  </sheetData>
  <sheetProtection/>
  <mergeCells count="30">
    <mergeCell ref="F54:G54"/>
    <mergeCell ref="P54:Q54"/>
    <mergeCell ref="F55:G55"/>
    <mergeCell ref="P55:Q55"/>
    <mergeCell ref="P45:Q45"/>
    <mergeCell ref="F48:G48"/>
    <mergeCell ref="P48:Q48"/>
    <mergeCell ref="F56:G56"/>
    <mergeCell ref="F51:G51"/>
    <mergeCell ref="P51:Q51"/>
    <mergeCell ref="F52:G52"/>
    <mergeCell ref="P52:Q52"/>
    <mergeCell ref="F53:G53"/>
    <mergeCell ref="P53:Q53"/>
    <mergeCell ref="F49:G49"/>
    <mergeCell ref="F50:G50"/>
    <mergeCell ref="P50:Q50"/>
    <mergeCell ref="F42:G42"/>
    <mergeCell ref="P42:Q42"/>
    <mergeCell ref="F43:G43"/>
    <mergeCell ref="P43:Q43"/>
    <mergeCell ref="F44:G44"/>
    <mergeCell ref="P44:Q44"/>
    <mergeCell ref="F45:G45"/>
    <mergeCell ref="F41:G41"/>
    <mergeCell ref="P41:Q41"/>
    <mergeCell ref="F39:G39"/>
    <mergeCell ref="P39:Q39"/>
    <mergeCell ref="F40:G40"/>
    <mergeCell ref="P40:Q40"/>
  </mergeCells>
  <printOptions/>
  <pageMargins left="1.4" right="0.1968503937007874" top="0.65" bottom="0.37" header="0" footer="0"/>
  <pageSetup horizontalDpi="600" verticalDpi="600" orientation="landscape" paperSize="9" scale="35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7"/>
  <dimension ref="A1:AG79"/>
  <sheetViews>
    <sheetView zoomScale="60" zoomScaleNormal="60" zoomScalePageLayoutView="0" workbookViewId="0" topLeftCell="C58">
      <selection activeCell="A6" sqref="A6"/>
    </sheetView>
  </sheetViews>
  <sheetFormatPr defaultColWidth="11.421875" defaultRowHeight="12.75"/>
  <cols>
    <col min="1" max="1" width="23.00390625" style="649" customWidth="1"/>
    <col min="2" max="2" width="17.140625" style="649" customWidth="1"/>
    <col min="3" max="3" width="4.7109375" style="649" customWidth="1"/>
    <col min="4" max="4" width="30.7109375" style="649" customWidth="1"/>
    <col min="5" max="5" width="20.7109375" style="649" customWidth="1"/>
    <col min="6" max="6" width="17.57421875" style="649" customWidth="1"/>
    <col min="7" max="7" width="15.00390625" style="649" customWidth="1"/>
    <col min="8" max="8" width="10.140625" style="649" hidden="1" customWidth="1"/>
    <col min="9" max="9" width="13.00390625" style="649" hidden="1" customWidth="1"/>
    <col min="10" max="11" width="18.7109375" style="649" customWidth="1"/>
    <col min="12" max="12" width="11.8515625" style="649" customWidth="1"/>
    <col min="13" max="13" width="11.57421875" style="649" customWidth="1"/>
    <col min="14" max="14" width="9.7109375" style="649" customWidth="1"/>
    <col min="15" max="15" width="10.57421875" style="649" customWidth="1"/>
    <col min="16" max="16" width="8.421875" style="649" customWidth="1"/>
    <col min="17" max="17" width="5.8515625" style="649" customWidth="1"/>
    <col min="18" max="18" width="12.140625" style="649" hidden="1" customWidth="1"/>
    <col min="19" max="19" width="13.00390625" style="649" hidden="1" customWidth="1"/>
    <col min="20" max="20" width="12.421875" style="649" hidden="1" customWidth="1"/>
    <col min="21" max="21" width="11.57421875" style="649" hidden="1" customWidth="1"/>
    <col min="22" max="22" width="11.7109375" style="649" hidden="1" customWidth="1"/>
    <col min="23" max="23" width="8.421875" style="649" hidden="1" customWidth="1"/>
    <col min="24" max="24" width="11.57421875" style="649" hidden="1" customWidth="1"/>
    <col min="25" max="25" width="12.140625" style="649" hidden="1" customWidth="1"/>
    <col min="26" max="27" width="8.421875" style="649" hidden="1" customWidth="1"/>
    <col min="28" max="28" width="10.57421875" style="649" customWidth="1"/>
    <col min="29" max="29" width="19.8515625" style="649" customWidth="1"/>
    <col min="30" max="30" width="17.7109375" style="649" customWidth="1"/>
    <col min="31" max="31" width="4.140625" style="649" customWidth="1"/>
    <col min="32" max="32" width="7.140625" style="649" customWidth="1"/>
    <col min="33" max="33" width="5.28125" style="649" customWidth="1"/>
    <col min="34" max="34" width="5.421875" style="649" customWidth="1"/>
    <col min="35" max="35" width="4.7109375" style="649" customWidth="1"/>
    <col min="36" max="36" width="5.28125" style="649" customWidth="1"/>
    <col min="37" max="38" width="13.28125" style="649" customWidth="1"/>
    <col min="39" max="39" width="6.57421875" style="649" customWidth="1"/>
    <col min="40" max="40" width="6.421875" style="649" customWidth="1"/>
    <col min="41" max="44" width="11.421875" style="649" customWidth="1"/>
    <col min="45" max="45" width="12.7109375" style="649" customWidth="1"/>
    <col min="46" max="48" width="11.421875" style="649" customWidth="1"/>
    <col min="49" max="49" width="21.00390625" style="649" customWidth="1"/>
    <col min="50" max="16384" width="11.421875" style="649" customWidth="1"/>
  </cols>
  <sheetData>
    <row r="1" spans="1:30" ht="13.5">
      <c r="A1" s="599"/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600"/>
      <c r="U1" s="600"/>
      <c r="V1" s="600"/>
      <c r="AD1" s="785"/>
    </row>
    <row r="2" spans="1:23" ht="27" customHeight="1">
      <c r="A2" s="599"/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600"/>
      <c r="V2" s="600"/>
      <c r="W2" s="600"/>
    </row>
    <row r="3" spans="1:30" s="789" customFormat="1" ht="30.75">
      <c r="A3" s="786"/>
      <c r="B3" s="787" t="str">
        <f>'TOT-0614'!B2</f>
        <v>ANEXO I al Memorándum D.T.E.E. N°         347   / 2015</v>
      </c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AB3" s="788"/>
      <c r="AC3" s="788"/>
      <c r="AD3" s="788"/>
    </row>
    <row r="4" spans="1:2" s="604" customFormat="1" ht="11.25">
      <c r="A4" s="790" t="s">
        <v>2</v>
      </c>
      <c r="B4" s="791"/>
    </row>
    <row r="5" spans="1:2" s="604" customFormat="1" ht="12" thickBot="1">
      <c r="A5" s="790" t="s">
        <v>3</v>
      </c>
      <c r="B5" s="790"/>
    </row>
    <row r="6" spans="1:30" ht="16.5" customHeight="1" thickTop="1">
      <c r="A6" s="600"/>
      <c r="B6" s="792"/>
      <c r="C6" s="793"/>
      <c r="D6" s="793"/>
      <c r="E6" s="794"/>
      <c r="F6" s="793"/>
      <c r="G6" s="793"/>
      <c r="H6" s="793"/>
      <c r="I6" s="793"/>
      <c r="J6" s="793"/>
      <c r="K6" s="793"/>
      <c r="L6" s="793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5"/>
      <c r="X6" s="795"/>
      <c r="Y6" s="795"/>
      <c r="Z6" s="795"/>
      <c r="AA6" s="795"/>
      <c r="AB6" s="795"/>
      <c r="AC6" s="795"/>
      <c r="AD6" s="607"/>
    </row>
    <row r="7" spans="1:30" ht="20.25">
      <c r="A7" s="600"/>
      <c r="B7" s="796"/>
      <c r="C7" s="651"/>
      <c r="D7" s="611" t="s">
        <v>85</v>
      </c>
      <c r="E7" s="651"/>
      <c r="F7" s="651"/>
      <c r="G7" s="651"/>
      <c r="H7" s="651"/>
      <c r="I7" s="651"/>
      <c r="J7" s="651"/>
      <c r="K7" s="651"/>
      <c r="L7" s="651"/>
      <c r="M7" s="651"/>
      <c r="N7" s="651"/>
      <c r="O7" s="651"/>
      <c r="P7" s="797"/>
      <c r="Q7" s="797"/>
      <c r="R7" s="651"/>
      <c r="S7" s="651"/>
      <c r="T7" s="651"/>
      <c r="U7" s="651"/>
      <c r="V7" s="651"/>
      <c r="AD7" s="618"/>
    </row>
    <row r="8" spans="1:30" ht="16.5" customHeight="1">
      <c r="A8" s="600"/>
      <c r="B8" s="796"/>
      <c r="C8" s="651"/>
      <c r="D8" s="651"/>
      <c r="E8" s="651"/>
      <c r="F8" s="651"/>
      <c r="G8" s="651"/>
      <c r="H8" s="651"/>
      <c r="I8" s="651"/>
      <c r="J8" s="651"/>
      <c r="K8" s="651"/>
      <c r="L8" s="651"/>
      <c r="M8" s="651"/>
      <c r="N8" s="651"/>
      <c r="O8" s="651"/>
      <c r="P8" s="651"/>
      <c r="Q8" s="651"/>
      <c r="R8" s="651"/>
      <c r="S8" s="651"/>
      <c r="T8" s="651"/>
      <c r="U8" s="651"/>
      <c r="V8" s="651"/>
      <c r="AD8" s="618"/>
    </row>
    <row r="9" spans="2:30" s="640" customFormat="1" ht="20.25">
      <c r="B9" s="798"/>
      <c r="C9" s="799"/>
      <c r="D9" s="611" t="s">
        <v>86</v>
      </c>
      <c r="E9" s="799"/>
      <c r="F9" s="799"/>
      <c r="G9" s="799"/>
      <c r="H9" s="799"/>
      <c r="N9" s="799"/>
      <c r="O9" s="799"/>
      <c r="P9" s="800"/>
      <c r="Q9" s="800"/>
      <c r="R9" s="799"/>
      <c r="S9" s="799"/>
      <c r="T9" s="799"/>
      <c r="U9" s="799"/>
      <c r="V9" s="799"/>
      <c r="W9" s="649"/>
      <c r="X9" s="799"/>
      <c r="Y9" s="799"/>
      <c r="Z9" s="799"/>
      <c r="AA9" s="799"/>
      <c r="AB9" s="799"/>
      <c r="AC9" s="649"/>
      <c r="AD9" s="801"/>
    </row>
    <row r="10" spans="1:30" ht="16.5" customHeight="1">
      <c r="A10" s="600"/>
      <c r="B10" s="796"/>
      <c r="C10" s="651"/>
      <c r="D10" s="651"/>
      <c r="E10" s="651"/>
      <c r="F10" s="651"/>
      <c r="G10" s="651"/>
      <c r="H10" s="651"/>
      <c r="I10" s="651"/>
      <c r="J10" s="651"/>
      <c r="K10" s="651"/>
      <c r="L10" s="651"/>
      <c r="M10" s="651"/>
      <c r="N10" s="651"/>
      <c r="O10" s="651"/>
      <c r="P10" s="651"/>
      <c r="Q10" s="651"/>
      <c r="R10" s="651"/>
      <c r="S10" s="651"/>
      <c r="T10" s="651"/>
      <c r="U10" s="651"/>
      <c r="V10" s="651"/>
      <c r="AD10" s="618"/>
    </row>
    <row r="11" spans="2:30" s="640" customFormat="1" ht="20.25">
      <c r="B11" s="798"/>
      <c r="C11" s="799"/>
      <c r="D11" s="611" t="s">
        <v>394</v>
      </c>
      <c r="E11" s="799"/>
      <c r="F11" s="799"/>
      <c r="G11" s="799"/>
      <c r="H11" s="799"/>
      <c r="N11" s="799"/>
      <c r="O11" s="799"/>
      <c r="P11" s="800"/>
      <c r="Q11" s="800"/>
      <c r="R11" s="799"/>
      <c r="S11" s="799"/>
      <c r="T11" s="799"/>
      <c r="U11" s="799"/>
      <c r="V11" s="799"/>
      <c r="W11" s="649"/>
      <c r="X11" s="799"/>
      <c r="Y11" s="799"/>
      <c r="Z11" s="799"/>
      <c r="AA11" s="799"/>
      <c r="AB11" s="799"/>
      <c r="AC11" s="649"/>
      <c r="AD11" s="801"/>
    </row>
    <row r="12" spans="1:30" ht="16.5" customHeight="1">
      <c r="A12" s="600"/>
      <c r="B12" s="796"/>
      <c r="C12" s="651"/>
      <c r="D12" s="651"/>
      <c r="E12" s="600"/>
      <c r="F12" s="600"/>
      <c r="G12" s="600"/>
      <c r="H12" s="600"/>
      <c r="I12" s="802"/>
      <c r="J12" s="802"/>
      <c r="K12" s="802"/>
      <c r="L12" s="802"/>
      <c r="M12" s="802"/>
      <c r="N12" s="802"/>
      <c r="O12" s="802"/>
      <c r="P12" s="802"/>
      <c r="Q12" s="802"/>
      <c r="R12" s="651"/>
      <c r="S12" s="651"/>
      <c r="T12" s="651"/>
      <c r="U12" s="651"/>
      <c r="V12" s="651"/>
      <c r="AD12" s="618"/>
    </row>
    <row r="13" spans="2:30" s="640" customFormat="1" ht="19.5">
      <c r="B13" s="803" t="str">
        <f>'TOT-0614'!B14</f>
        <v>Desde el 01 al 30 de junio de 2014</v>
      </c>
      <c r="C13" s="804"/>
      <c r="D13" s="635"/>
      <c r="E13" s="635"/>
      <c r="F13" s="635"/>
      <c r="G13" s="635"/>
      <c r="H13" s="635"/>
      <c r="I13" s="805"/>
      <c r="J13" s="806"/>
      <c r="K13" s="805"/>
      <c r="L13" s="805"/>
      <c r="M13" s="805"/>
      <c r="N13" s="805"/>
      <c r="O13" s="805"/>
      <c r="P13" s="805"/>
      <c r="Q13" s="805"/>
      <c r="R13" s="805"/>
      <c r="S13" s="805"/>
      <c r="T13" s="805"/>
      <c r="U13" s="807"/>
      <c r="V13" s="807"/>
      <c r="W13" s="649"/>
      <c r="X13" s="808"/>
      <c r="Y13" s="808"/>
      <c r="Z13" s="808"/>
      <c r="AA13" s="808"/>
      <c r="AB13" s="807"/>
      <c r="AC13" s="806"/>
      <c r="AD13" s="809"/>
    </row>
    <row r="14" spans="1:30" ht="16.5" customHeight="1">
      <c r="A14" s="600"/>
      <c r="B14" s="796"/>
      <c r="C14" s="651"/>
      <c r="D14" s="651"/>
      <c r="E14" s="810"/>
      <c r="F14" s="810"/>
      <c r="G14" s="651"/>
      <c r="H14" s="651"/>
      <c r="I14" s="651"/>
      <c r="J14" s="811"/>
      <c r="K14" s="651"/>
      <c r="L14" s="651"/>
      <c r="M14" s="651"/>
      <c r="N14" s="600"/>
      <c r="O14" s="600"/>
      <c r="P14" s="651"/>
      <c r="Q14" s="651"/>
      <c r="R14" s="651"/>
      <c r="S14" s="651"/>
      <c r="T14" s="651"/>
      <c r="U14" s="651"/>
      <c r="V14" s="651"/>
      <c r="AD14" s="618"/>
    </row>
    <row r="15" spans="1:30" ht="16.5" customHeight="1">
      <c r="A15" s="600"/>
      <c r="B15" s="796"/>
      <c r="C15" s="651"/>
      <c r="D15" s="651"/>
      <c r="E15" s="810"/>
      <c r="F15" s="810"/>
      <c r="G15" s="651"/>
      <c r="H15" s="651"/>
      <c r="I15" s="812"/>
      <c r="J15" s="651"/>
      <c r="K15" s="813"/>
      <c r="M15" s="651"/>
      <c r="N15" s="600"/>
      <c r="O15" s="600"/>
      <c r="P15" s="651"/>
      <c r="Q15" s="651"/>
      <c r="R15" s="651"/>
      <c r="S15" s="651"/>
      <c r="T15" s="651"/>
      <c r="U15" s="651"/>
      <c r="V15" s="651"/>
      <c r="AD15" s="618"/>
    </row>
    <row r="16" spans="1:30" ht="16.5" customHeight="1">
      <c r="A16" s="600"/>
      <c r="B16" s="796"/>
      <c r="C16" s="651"/>
      <c r="D16" s="651"/>
      <c r="E16" s="810"/>
      <c r="F16" s="810"/>
      <c r="G16" s="651"/>
      <c r="H16" s="651"/>
      <c r="I16" s="812"/>
      <c r="J16" s="651"/>
      <c r="K16" s="813"/>
      <c r="M16" s="651"/>
      <c r="N16" s="600"/>
      <c r="O16" s="600"/>
      <c r="P16" s="651"/>
      <c r="Q16" s="651"/>
      <c r="R16" s="651"/>
      <c r="S16" s="651"/>
      <c r="T16" s="651"/>
      <c r="U16" s="651"/>
      <c r="V16" s="651"/>
      <c r="AD16" s="618"/>
    </row>
    <row r="17" spans="1:30" ht="16.5" customHeight="1">
      <c r="A17" s="600"/>
      <c r="B17" s="796"/>
      <c r="C17" s="814" t="s">
        <v>88</v>
      </c>
      <c r="D17" s="815" t="s">
        <v>89</v>
      </c>
      <c r="E17" s="810"/>
      <c r="F17" s="810"/>
      <c r="G17" s="651"/>
      <c r="H17" s="651"/>
      <c r="I17" s="651"/>
      <c r="J17" s="811"/>
      <c r="K17" s="651"/>
      <c r="L17" s="651"/>
      <c r="M17" s="651"/>
      <c r="N17" s="600"/>
      <c r="O17" s="600"/>
      <c r="P17" s="651"/>
      <c r="Q17" s="651"/>
      <c r="R17" s="651"/>
      <c r="S17" s="651"/>
      <c r="T17" s="651"/>
      <c r="U17" s="651"/>
      <c r="V17" s="651"/>
      <c r="AD17" s="618"/>
    </row>
    <row r="18" spans="2:30" s="816" customFormat="1" ht="16.5" customHeight="1">
      <c r="B18" s="817"/>
      <c r="C18" s="818"/>
      <c r="D18" s="819"/>
      <c r="E18" s="820"/>
      <c r="F18" s="821"/>
      <c r="G18" s="818"/>
      <c r="H18" s="818"/>
      <c r="I18" s="818"/>
      <c r="J18" s="822"/>
      <c r="K18" s="818"/>
      <c r="L18" s="818"/>
      <c r="M18" s="818"/>
      <c r="P18" s="818"/>
      <c r="Q18" s="818"/>
      <c r="R18" s="818"/>
      <c r="S18" s="818"/>
      <c r="T18" s="818"/>
      <c r="U18" s="818"/>
      <c r="V18" s="818"/>
      <c r="W18" s="649"/>
      <c r="AD18" s="823"/>
    </row>
    <row r="19" spans="2:30" s="816" customFormat="1" ht="16.5" customHeight="1">
      <c r="B19" s="817"/>
      <c r="C19" s="818"/>
      <c r="D19" s="824" t="s">
        <v>90</v>
      </c>
      <c r="F19" s="825" t="s">
        <v>395</v>
      </c>
      <c r="G19" s="824" t="s">
        <v>91</v>
      </c>
      <c r="H19" s="818"/>
      <c r="I19" s="818"/>
      <c r="J19" s="826"/>
      <c r="K19" s="827" t="s">
        <v>92</v>
      </c>
      <c r="L19" s="828">
        <v>0.025</v>
      </c>
      <c r="R19" s="818"/>
      <c r="S19" s="818"/>
      <c r="T19" s="818"/>
      <c r="U19" s="818"/>
      <c r="V19" s="818"/>
      <c r="W19" s="649"/>
      <c r="AD19" s="823"/>
    </row>
    <row r="20" spans="2:30" s="816" customFormat="1" ht="16.5" customHeight="1">
      <c r="B20" s="817"/>
      <c r="C20" s="818"/>
      <c r="D20" s="824" t="s">
        <v>93</v>
      </c>
      <c r="F20" s="825">
        <v>1.077</v>
      </c>
      <c r="G20" s="824" t="s">
        <v>94</v>
      </c>
      <c r="H20" s="818"/>
      <c r="I20" s="818"/>
      <c r="J20" s="818"/>
      <c r="K20" s="819" t="s">
        <v>95</v>
      </c>
      <c r="L20" s="818">
        <f>MID(B13,16,2)*24</f>
        <v>720</v>
      </c>
      <c r="M20" s="818" t="s">
        <v>96</v>
      </c>
      <c r="N20" s="818"/>
      <c r="O20" s="818"/>
      <c r="P20" s="829"/>
      <c r="Q20" s="818"/>
      <c r="R20" s="818"/>
      <c r="S20" s="818"/>
      <c r="T20" s="818"/>
      <c r="U20" s="818"/>
      <c r="V20" s="818"/>
      <c r="W20" s="649"/>
      <c r="AD20" s="823"/>
    </row>
    <row r="21" spans="2:30" s="816" customFormat="1" ht="16.5" customHeight="1">
      <c r="B21" s="817"/>
      <c r="C21" s="818"/>
      <c r="D21" s="824" t="s">
        <v>396</v>
      </c>
      <c r="F21" s="825">
        <v>213.592</v>
      </c>
      <c r="G21" s="824" t="s">
        <v>397</v>
      </c>
      <c r="H21" s="818"/>
      <c r="I21" s="818"/>
      <c r="J21" s="818"/>
      <c r="K21" s="830"/>
      <c r="L21" s="831"/>
      <c r="M21" s="818"/>
      <c r="N21" s="818"/>
      <c r="O21" s="818"/>
      <c r="P21" s="829"/>
      <c r="Q21" s="818"/>
      <c r="R21" s="818"/>
      <c r="S21" s="818"/>
      <c r="T21" s="818"/>
      <c r="U21" s="818"/>
      <c r="V21" s="818"/>
      <c r="W21" s="649"/>
      <c r="AD21" s="823"/>
    </row>
    <row r="22" spans="2:30" s="816" customFormat="1" ht="8.25" customHeight="1">
      <c r="B22" s="817"/>
      <c r="C22" s="818"/>
      <c r="D22" s="818"/>
      <c r="E22" s="832"/>
      <c r="F22" s="818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649"/>
      <c r="AD22" s="823"/>
    </row>
    <row r="23" spans="1:30" ht="16.5" customHeight="1">
      <c r="A23" s="600"/>
      <c r="B23" s="796"/>
      <c r="C23" s="814" t="s">
        <v>97</v>
      </c>
      <c r="D23" s="833" t="s">
        <v>398</v>
      </c>
      <c r="I23" s="651"/>
      <c r="J23" s="816"/>
      <c r="O23" s="651"/>
      <c r="P23" s="651"/>
      <c r="Q23" s="651"/>
      <c r="R23" s="651"/>
      <c r="S23" s="651"/>
      <c r="T23" s="651"/>
      <c r="V23" s="651"/>
      <c r="X23" s="651"/>
      <c r="Y23" s="651"/>
      <c r="Z23" s="651"/>
      <c r="AA23" s="651"/>
      <c r="AB23" s="651"/>
      <c r="AC23" s="651"/>
      <c r="AD23" s="618"/>
    </row>
    <row r="24" spans="1:30" ht="10.5" customHeight="1" thickBot="1">
      <c r="A24" s="600"/>
      <c r="B24" s="796"/>
      <c r="C24" s="810"/>
      <c r="D24" s="833"/>
      <c r="I24" s="651"/>
      <c r="J24" s="816"/>
      <c r="O24" s="651"/>
      <c r="P24" s="651"/>
      <c r="Q24" s="651"/>
      <c r="R24" s="651"/>
      <c r="S24" s="651"/>
      <c r="T24" s="651"/>
      <c r="V24" s="651"/>
      <c r="X24" s="651"/>
      <c r="Y24" s="651"/>
      <c r="Z24" s="651"/>
      <c r="AA24" s="651"/>
      <c r="AB24" s="651"/>
      <c r="AC24" s="651"/>
      <c r="AD24" s="618"/>
    </row>
    <row r="25" spans="2:30" s="816" customFormat="1" ht="16.5" customHeight="1" thickBot="1" thickTop="1">
      <c r="B25" s="817"/>
      <c r="C25" s="821"/>
      <c r="D25" s="649"/>
      <c r="E25" s="649"/>
      <c r="F25" s="649"/>
      <c r="G25" s="649"/>
      <c r="H25" s="649"/>
      <c r="I25" s="649"/>
      <c r="J25" s="834" t="s">
        <v>98</v>
      </c>
      <c r="K25" s="835">
        <f>L19*AC71</f>
        <v>6752.5560000000005</v>
      </c>
      <c r="L25" s="649"/>
      <c r="S25" s="649"/>
      <c r="T25" s="649"/>
      <c r="U25" s="649"/>
      <c r="W25" s="649"/>
      <c r="AD25" s="823"/>
    </row>
    <row r="26" spans="2:30" s="816" customFormat="1" ht="11.25" customHeight="1" thickTop="1">
      <c r="B26" s="817"/>
      <c r="C26" s="821"/>
      <c r="D26" s="818"/>
      <c r="E26" s="832"/>
      <c r="F26" s="818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8"/>
      <c r="T26" s="818"/>
      <c r="U26" s="649"/>
      <c r="W26" s="649"/>
      <c r="AD26" s="823"/>
    </row>
    <row r="27" spans="1:30" ht="16.5" customHeight="1">
      <c r="A27" s="600"/>
      <c r="B27" s="796"/>
      <c r="C27" s="814" t="s">
        <v>99</v>
      </c>
      <c r="D27" s="833" t="s">
        <v>318</v>
      </c>
      <c r="E27" s="836"/>
      <c r="F27" s="651"/>
      <c r="G27" s="651"/>
      <c r="H27" s="651"/>
      <c r="I27" s="651"/>
      <c r="J27" s="651"/>
      <c r="K27" s="651"/>
      <c r="L27" s="651"/>
      <c r="M27" s="651"/>
      <c r="N27" s="651"/>
      <c r="O27" s="651"/>
      <c r="P27" s="651"/>
      <c r="Q27" s="651"/>
      <c r="R27" s="651"/>
      <c r="S27" s="651"/>
      <c r="T27" s="651"/>
      <c r="U27" s="651"/>
      <c r="V27" s="651"/>
      <c r="AD27" s="618"/>
    </row>
    <row r="28" spans="1:30" ht="21.75" customHeight="1" thickBot="1">
      <c r="A28" s="600"/>
      <c r="B28" s="796"/>
      <c r="C28" s="651"/>
      <c r="D28" s="651"/>
      <c r="E28" s="836"/>
      <c r="F28" s="651"/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  <c r="S28" s="651"/>
      <c r="T28" s="651"/>
      <c r="U28" s="651"/>
      <c r="V28" s="651"/>
      <c r="AD28" s="618"/>
    </row>
    <row r="29" spans="1:30" ht="13.5" customHeight="1" thickBot="1" thickTop="1">
      <c r="A29" s="816"/>
      <c r="B29" s="796"/>
      <c r="C29" s="821"/>
      <c r="D29" s="821"/>
      <c r="E29" s="837"/>
      <c r="F29" s="832"/>
      <c r="G29" s="838"/>
      <c r="H29" s="838"/>
      <c r="I29" s="839"/>
      <c r="J29" s="839"/>
      <c r="K29" s="839"/>
      <c r="L29" s="839"/>
      <c r="M29" s="839"/>
      <c r="N29" s="839"/>
      <c r="O29" s="840"/>
      <c r="P29" s="839"/>
      <c r="Q29" s="839"/>
      <c r="R29" s="841"/>
      <c r="S29" s="842"/>
      <c r="T29" s="843"/>
      <c r="U29" s="843"/>
      <c r="V29" s="843"/>
      <c r="W29" s="841"/>
      <c r="X29" s="841"/>
      <c r="Y29" s="841"/>
      <c r="Z29" s="841"/>
      <c r="AA29" s="841"/>
      <c r="AB29" s="844"/>
      <c r="AC29" s="845"/>
      <c r="AD29" s="846"/>
    </row>
    <row r="30" spans="1:33" s="600" customFormat="1" ht="33.75" customHeight="1" thickBot="1" thickTop="1">
      <c r="A30" s="599"/>
      <c r="B30" s="615"/>
      <c r="C30" s="662" t="s">
        <v>29</v>
      </c>
      <c r="D30" s="664" t="s">
        <v>60</v>
      </c>
      <c r="E30" s="665" t="s">
        <v>61</v>
      </c>
      <c r="F30" s="666" t="s">
        <v>62</v>
      </c>
      <c r="G30" s="667" t="s">
        <v>32</v>
      </c>
      <c r="H30" s="668" t="s">
        <v>36</v>
      </c>
      <c r="I30" s="847"/>
      <c r="J30" s="665" t="s">
        <v>37</v>
      </c>
      <c r="K30" s="665" t="s">
        <v>38</v>
      </c>
      <c r="L30" s="664" t="s">
        <v>63</v>
      </c>
      <c r="M30" s="664" t="s">
        <v>40</v>
      </c>
      <c r="N30" s="669" t="s">
        <v>111</v>
      </c>
      <c r="O30" s="665" t="s">
        <v>43</v>
      </c>
      <c r="P30" s="848" t="s">
        <v>64</v>
      </c>
      <c r="Q30" s="849"/>
      <c r="R30" s="668" t="s">
        <v>113</v>
      </c>
      <c r="S30" s="850" t="s">
        <v>44</v>
      </c>
      <c r="T30" s="851" t="s">
        <v>114</v>
      </c>
      <c r="U30" s="852"/>
      <c r="V30" s="853" t="s">
        <v>48</v>
      </c>
      <c r="W30" s="854"/>
      <c r="X30" s="855"/>
      <c r="Y30" s="855"/>
      <c r="Z30" s="855"/>
      <c r="AA30" s="856"/>
      <c r="AB30" s="680" t="s">
        <v>50</v>
      </c>
      <c r="AC30" s="667" t="s">
        <v>51</v>
      </c>
      <c r="AD30" s="618"/>
      <c r="AF30" s="649"/>
      <c r="AG30" s="649"/>
    </row>
    <row r="31" spans="1:30" ht="16.5" customHeight="1" thickTop="1">
      <c r="A31" s="600"/>
      <c r="B31" s="796"/>
      <c r="C31" s="857"/>
      <c r="D31" s="858"/>
      <c r="E31" s="858"/>
      <c r="F31" s="858"/>
      <c r="G31" s="859"/>
      <c r="H31" s="860"/>
      <c r="I31" s="861"/>
      <c r="J31" s="858"/>
      <c r="K31" s="858"/>
      <c r="L31" s="858"/>
      <c r="M31" s="858"/>
      <c r="N31" s="858"/>
      <c r="O31" s="862"/>
      <c r="P31" s="2801"/>
      <c r="Q31" s="2802"/>
      <c r="R31" s="864"/>
      <c r="S31" s="865"/>
      <c r="T31" s="866"/>
      <c r="U31" s="867"/>
      <c r="V31" s="868"/>
      <c r="W31" s="869"/>
      <c r="X31" s="870"/>
      <c r="Y31" s="870"/>
      <c r="Z31" s="870"/>
      <c r="AA31" s="871"/>
      <c r="AB31" s="862"/>
      <c r="AC31" s="872"/>
      <c r="AD31" s="618"/>
    </row>
    <row r="32" spans="1:30" ht="16.5" customHeight="1">
      <c r="A32" s="600"/>
      <c r="B32" s="796"/>
      <c r="C32" s="873" t="s">
        <v>103</v>
      </c>
      <c r="D32" s="874" t="s">
        <v>390</v>
      </c>
      <c r="E32" s="875" t="s">
        <v>344</v>
      </c>
      <c r="F32" s="876">
        <v>150</v>
      </c>
      <c r="G32" s="877" t="s">
        <v>144</v>
      </c>
      <c r="H32" s="878">
        <f>F32*F20</f>
        <v>161.54999999999998</v>
      </c>
      <c r="I32" s="879"/>
      <c r="J32" s="880">
        <v>41796.49375</v>
      </c>
      <c r="K32" s="880">
        <v>41796.540972222225</v>
      </c>
      <c r="L32" s="881">
        <f>IF(D32="","",(K32-J32)*24)</f>
        <v>1.133333333360497</v>
      </c>
      <c r="M32" s="882">
        <f>IF(D32="","",(K32-J32)*24*60)</f>
        <v>68.00000000162981</v>
      </c>
      <c r="N32" s="883" t="s">
        <v>332</v>
      </c>
      <c r="O32" s="884" t="str">
        <f>IF(D32="","",IF(OR(N32="P",N32="RP"),"--","NO"))</f>
        <v>--</v>
      </c>
      <c r="P32" s="2803" t="s">
        <v>391</v>
      </c>
      <c r="Q32" s="2804"/>
      <c r="R32" s="886">
        <f>200*IF(P32="SI",1,0.1)*IF(N32="P",0.1,1)</f>
        <v>2</v>
      </c>
      <c r="S32" s="887">
        <f>IF(N32="P",H32*R32*ROUND(M32/60,2),"--")</f>
        <v>365.10299999999995</v>
      </c>
      <c r="T32" s="888" t="str">
        <f>IF(AND(N32="F",O32="NO"),H32*R32,"--")</f>
        <v>--</v>
      </c>
      <c r="U32" s="889" t="str">
        <f>IF(N32="F",H32*R32*ROUND(M32/60,2),"--")</f>
        <v>--</v>
      </c>
      <c r="V32" s="890" t="str">
        <f>IF(N32="RF",H32*R32*ROUND(M32/60,2),"--")</f>
        <v>--</v>
      </c>
      <c r="W32" s="891"/>
      <c r="X32" s="892"/>
      <c r="Y32" s="892"/>
      <c r="Z32" s="892"/>
      <c r="AA32" s="893"/>
      <c r="AB32" s="894" t="str">
        <f>IF(D32="","","SI")</f>
        <v>SI</v>
      </c>
      <c r="AC32" s="895">
        <f>IF(D32="","",SUM(S32:V32)*IF(AB32="SI",1,2))</f>
        <v>365.10299999999995</v>
      </c>
      <c r="AD32" s="618"/>
    </row>
    <row r="33" spans="1:30" ht="16.5" customHeight="1">
      <c r="A33" s="600"/>
      <c r="B33" s="796"/>
      <c r="C33" s="873" t="s">
        <v>104</v>
      </c>
      <c r="D33" s="874" t="s">
        <v>390</v>
      </c>
      <c r="E33" s="875" t="s">
        <v>344</v>
      </c>
      <c r="F33" s="876">
        <v>150</v>
      </c>
      <c r="G33" s="877" t="s">
        <v>144</v>
      </c>
      <c r="H33" s="878">
        <f>F33*$F$20</f>
        <v>161.54999999999998</v>
      </c>
      <c r="I33" s="879"/>
      <c r="J33" s="880">
        <v>41810.44513888889</v>
      </c>
      <c r="K33" s="880">
        <v>41810.501388888886</v>
      </c>
      <c r="L33" s="881">
        <f>IF(D33="","",(K33-J33)*24)</f>
        <v>1.3499999998603016</v>
      </c>
      <c r="M33" s="882">
        <f>IF(D33="","",(K33-J33)*24*60)</f>
        <v>80.9999999916181</v>
      </c>
      <c r="N33" s="883" t="s">
        <v>332</v>
      </c>
      <c r="O33" s="884" t="str">
        <f>IF(D33="","",IF(OR(N33="P",N33="RP"),"--","NO"))</f>
        <v>--</v>
      </c>
      <c r="P33" s="2803" t="str">
        <f>IF(D33="","","NO")</f>
        <v>NO</v>
      </c>
      <c r="Q33" s="2804"/>
      <c r="R33" s="886">
        <f>200*IF(P33="SI",1,0.1)*IF(N33="P",0.1,1)</f>
        <v>2</v>
      </c>
      <c r="S33" s="887">
        <f>IF(N33="P",H33*R33*ROUND(M33/60,2),"--")</f>
        <v>436.185</v>
      </c>
      <c r="T33" s="888" t="str">
        <f>IF(AND(N33="F",O33="NO"),H33*R33,"--")</f>
        <v>--</v>
      </c>
      <c r="U33" s="889" t="str">
        <f>IF(N33="F",H33*R33*ROUND(M33/60,2),"--")</f>
        <v>--</v>
      </c>
      <c r="V33" s="890" t="str">
        <f>IF(N33="RF",H33*R33*ROUND(M33/60,2),"--")</f>
        <v>--</v>
      </c>
      <c r="W33" s="891"/>
      <c r="X33" s="892"/>
      <c r="Y33" s="892"/>
      <c r="Z33" s="892"/>
      <c r="AA33" s="893"/>
      <c r="AB33" s="894" t="str">
        <f>IF(D33="","","SI")</f>
        <v>SI</v>
      </c>
      <c r="AC33" s="895">
        <f>IF(D33="","",SUM(S33:V33)*IF(AB33="SI",1,2))</f>
        <v>436.185</v>
      </c>
      <c r="AD33" s="618"/>
    </row>
    <row r="34" spans="1:30" ht="16.5" customHeight="1">
      <c r="A34" s="600"/>
      <c r="B34" s="796"/>
      <c r="C34" s="873" t="s">
        <v>105</v>
      </c>
      <c r="D34" s="874"/>
      <c r="E34" s="875"/>
      <c r="F34" s="876"/>
      <c r="G34" s="877"/>
      <c r="H34" s="878">
        <f>F34*$F$20</f>
        <v>0</v>
      </c>
      <c r="I34" s="879"/>
      <c r="J34" s="880"/>
      <c r="K34" s="880"/>
      <c r="L34" s="881">
        <f>IF(D34="","",(K34-J34)*24)</f>
      </c>
      <c r="M34" s="882">
        <f>IF(D34="","",(K34-J34)*24*60)</f>
      </c>
      <c r="N34" s="883"/>
      <c r="O34" s="884">
        <f>IF(D34="","",IF(OR(N34="P",N34="RP"),"--","NO"))</f>
      </c>
      <c r="P34" s="2803">
        <f>IF(D34="","","NO")</f>
      </c>
      <c r="Q34" s="2804"/>
      <c r="R34" s="886">
        <f>200*IF(P34="SI",1,0.1)*IF(N34="P",0.1,1)</f>
        <v>20</v>
      </c>
      <c r="S34" s="887" t="str">
        <f>IF(N34="P",H34*R34*ROUND(M34/60,2),"--")</f>
        <v>--</v>
      </c>
      <c r="T34" s="888" t="str">
        <f>IF(AND(N34="F",O34="NO"),H34*R34,"--")</f>
        <v>--</v>
      </c>
      <c r="U34" s="889" t="str">
        <f>IF(N34="F",H34*R34*ROUND(M34/60,2),"--")</f>
        <v>--</v>
      </c>
      <c r="V34" s="890" t="str">
        <f>IF(N34="RF",H34*R34*ROUND(M34/60,2),"--")</f>
        <v>--</v>
      </c>
      <c r="W34" s="891"/>
      <c r="X34" s="892"/>
      <c r="Y34" s="892"/>
      <c r="Z34" s="892"/>
      <c r="AA34" s="893"/>
      <c r="AB34" s="894">
        <f>IF(D34="","","SI")</f>
      </c>
      <c r="AC34" s="895">
        <f>IF(D34="","",SUM(S34:V34)*IF(AB34="SI",1,2))</f>
      </c>
      <c r="AD34" s="618"/>
    </row>
    <row r="35" spans="1:30" ht="16.5" customHeight="1" thickBot="1">
      <c r="A35" s="816"/>
      <c r="B35" s="796"/>
      <c r="C35" s="896"/>
      <c r="D35" s="897"/>
      <c r="E35" s="898"/>
      <c r="F35" s="899"/>
      <c r="G35" s="900"/>
      <c r="H35" s="901"/>
      <c r="I35" s="902"/>
      <c r="J35" s="903"/>
      <c r="K35" s="904"/>
      <c r="L35" s="905"/>
      <c r="M35" s="906"/>
      <c r="N35" s="907"/>
      <c r="O35" s="908"/>
      <c r="P35" s="2795"/>
      <c r="Q35" s="2796"/>
      <c r="R35" s="909"/>
      <c r="S35" s="910"/>
      <c r="T35" s="911"/>
      <c r="U35" s="912"/>
      <c r="V35" s="913"/>
      <c r="W35" s="914"/>
      <c r="X35" s="915"/>
      <c r="Y35" s="915"/>
      <c r="Z35" s="915"/>
      <c r="AA35" s="916"/>
      <c r="AB35" s="917"/>
      <c r="AC35" s="918"/>
      <c r="AD35" s="846"/>
    </row>
    <row r="36" spans="1:30" ht="16.5" customHeight="1" thickBot="1" thickTop="1">
      <c r="A36" s="816"/>
      <c r="B36" s="796"/>
      <c r="C36" s="641"/>
      <c r="D36" s="836"/>
      <c r="E36" s="836"/>
      <c r="F36" s="919"/>
      <c r="G36" s="920"/>
      <c r="H36" s="921"/>
      <c r="I36" s="922"/>
      <c r="J36" s="923"/>
      <c r="K36" s="924"/>
      <c r="L36" s="925"/>
      <c r="M36" s="921"/>
      <c r="N36" s="926"/>
      <c r="O36" s="927"/>
      <c r="P36" s="928"/>
      <c r="Q36" s="929"/>
      <c r="R36" s="930"/>
      <c r="S36" s="930"/>
      <c r="T36" s="930"/>
      <c r="U36" s="931"/>
      <c r="V36" s="931"/>
      <c r="W36" s="931"/>
      <c r="X36" s="931"/>
      <c r="Y36" s="931"/>
      <c r="Z36" s="931"/>
      <c r="AA36" s="931"/>
      <c r="AB36" s="931"/>
      <c r="AC36" s="932">
        <f>SUM(AC31:AC35)</f>
        <v>801.288</v>
      </c>
      <c r="AD36" s="846"/>
    </row>
    <row r="37" spans="1:30" ht="13.5" customHeight="1" thickBot="1" thickTop="1">
      <c r="A37" s="816"/>
      <c r="B37" s="796"/>
      <c r="C37" s="821"/>
      <c r="D37" s="821"/>
      <c r="E37" s="821"/>
      <c r="F37" s="821"/>
      <c r="G37" s="821"/>
      <c r="H37" s="821"/>
      <c r="I37" s="821"/>
      <c r="J37" s="821"/>
      <c r="K37" s="821"/>
      <c r="L37" s="821"/>
      <c r="M37" s="821"/>
      <c r="N37" s="821"/>
      <c r="O37" s="821"/>
      <c r="P37" s="821"/>
      <c r="Q37" s="821"/>
      <c r="R37" s="821"/>
      <c r="S37" s="821"/>
      <c r="T37" s="821"/>
      <c r="U37" s="821"/>
      <c r="V37" s="821"/>
      <c r="W37" s="821"/>
      <c r="X37" s="821"/>
      <c r="Y37" s="821"/>
      <c r="Z37" s="821"/>
      <c r="AA37" s="821"/>
      <c r="AB37" s="821"/>
      <c r="AC37" s="821"/>
      <c r="AD37" s="846"/>
    </row>
    <row r="38" spans="1:33" s="600" customFormat="1" ht="33.75" customHeight="1" thickBot="1" thickTop="1">
      <c r="A38" s="599"/>
      <c r="B38" s="615"/>
      <c r="C38" s="662" t="s">
        <v>29</v>
      </c>
      <c r="D38" s="664" t="s">
        <v>60</v>
      </c>
      <c r="E38" s="2797" t="s">
        <v>61</v>
      </c>
      <c r="F38" s="2798"/>
      <c r="G38" s="933" t="s">
        <v>32</v>
      </c>
      <c r="H38" s="668" t="s">
        <v>36</v>
      </c>
      <c r="I38" s="847"/>
      <c r="J38" s="665" t="s">
        <v>37</v>
      </c>
      <c r="K38" s="665" t="s">
        <v>38</v>
      </c>
      <c r="L38" s="664" t="s">
        <v>63</v>
      </c>
      <c r="M38" s="664" t="s">
        <v>40</v>
      </c>
      <c r="N38" s="669" t="s">
        <v>111</v>
      </c>
      <c r="O38" s="2797" t="s">
        <v>43</v>
      </c>
      <c r="P38" s="2799"/>
      <c r="Q38" s="2800"/>
      <c r="R38" s="934" t="s">
        <v>35</v>
      </c>
      <c r="S38" s="935" t="s">
        <v>73</v>
      </c>
      <c r="T38" s="936" t="s">
        <v>74</v>
      </c>
      <c r="U38" s="937"/>
      <c r="V38" s="938" t="s">
        <v>48</v>
      </c>
      <c r="W38" s="855"/>
      <c r="X38" s="855"/>
      <c r="Y38" s="855"/>
      <c r="Z38" s="855"/>
      <c r="AA38" s="856"/>
      <c r="AB38" s="680" t="s">
        <v>50</v>
      </c>
      <c r="AC38" s="667" t="s">
        <v>51</v>
      </c>
      <c r="AD38" s="618"/>
      <c r="AF38" s="649"/>
      <c r="AG38" s="649"/>
    </row>
    <row r="39" spans="1:30" ht="16.5" customHeight="1" thickTop="1">
      <c r="A39" s="600"/>
      <c r="B39" s="796"/>
      <c r="C39" s="857"/>
      <c r="D39" s="858"/>
      <c r="E39" s="2801"/>
      <c r="F39" s="2809"/>
      <c r="G39" s="863"/>
      <c r="H39" s="860"/>
      <c r="I39" s="861"/>
      <c r="J39" s="858"/>
      <c r="K39" s="858"/>
      <c r="L39" s="858"/>
      <c r="M39" s="858"/>
      <c r="N39" s="858"/>
      <c r="O39" s="2801"/>
      <c r="P39" s="2810"/>
      <c r="Q39" s="2802"/>
      <c r="R39" s="939"/>
      <c r="S39" s="940"/>
      <c r="T39" s="941"/>
      <c r="U39" s="942"/>
      <c r="V39" s="943"/>
      <c r="W39" s="870"/>
      <c r="X39" s="870"/>
      <c r="Y39" s="870"/>
      <c r="Z39" s="870"/>
      <c r="AA39" s="871"/>
      <c r="AB39" s="862"/>
      <c r="AC39" s="872"/>
      <c r="AD39" s="618"/>
    </row>
    <row r="40" spans="1:30" ht="15">
      <c r="A40" s="600"/>
      <c r="B40" s="796"/>
      <c r="C40" s="944" t="s">
        <v>103</v>
      </c>
      <c r="D40" s="945"/>
      <c r="E40" s="2811"/>
      <c r="F40" s="2812"/>
      <c r="G40" s="946"/>
      <c r="H40" s="878">
        <f>IF(G40=132,#REF!,IF(G40=500,$F$21,0))</f>
        <v>0</v>
      </c>
      <c r="I40" s="879"/>
      <c r="J40" s="947"/>
      <c r="K40" s="948"/>
      <c r="L40" s="881">
        <f>IF(D40="","",(K40-J40)*24)</f>
      </c>
      <c r="M40" s="882">
        <f>IF(D40="","",(K40-J40)*24*60)</f>
      </c>
      <c r="N40" s="883"/>
      <c r="O40" s="2813">
        <f>IF(D40="","",IF(N40="P","--","NO"))</f>
      </c>
      <c r="P40" s="2814"/>
      <c r="Q40" s="2815"/>
      <c r="R40" s="939">
        <f>IF(G40=500,200,IF(G40=132,40,0))</f>
        <v>0</v>
      </c>
      <c r="S40" s="949" t="str">
        <f>IF(N40="P",H40*R40*ROUND(M40/60,2)*0.1,"--")</f>
        <v>--</v>
      </c>
      <c r="T40" s="950" t="str">
        <f>IF(AND(N40="F",O40="NO"),H40*R40,"--")</f>
        <v>--</v>
      </c>
      <c r="U40" s="951" t="str">
        <f>IF(N40="F",H40*R40*ROUND(M40/60,2),"--")</f>
        <v>--</v>
      </c>
      <c r="V40" s="890" t="str">
        <f>IF(N40="RF",H40*R40*ROUND(M40/60,2),"--")</f>
        <v>--</v>
      </c>
      <c r="W40" s="892"/>
      <c r="X40" s="892"/>
      <c r="Y40" s="892"/>
      <c r="Z40" s="892"/>
      <c r="AA40" s="893"/>
      <c r="AB40" s="894">
        <f>IF(D40="","","SI")</f>
      </c>
      <c r="AC40" s="952">
        <f>IF(D40="","",SUM(S40:V40)*IF(AB40="SI",1,2))</f>
      </c>
      <c r="AD40" s="846"/>
    </row>
    <row r="41" spans="1:30" ht="16.5" customHeight="1">
      <c r="A41" s="600"/>
      <c r="B41" s="796"/>
      <c r="C41" s="873" t="s">
        <v>104</v>
      </c>
      <c r="D41" s="945"/>
      <c r="E41" s="2811"/>
      <c r="F41" s="2812"/>
      <c r="G41" s="946"/>
      <c r="H41" s="878">
        <f>IF(G41=132,#REF!,IF(G41=500,$F$21,0))</f>
        <v>0</v>
      </c>
      <c r="I41" s="879"/>
      <c r="J41" s="947"/>
      <c r="K41" s="948"/>
      <c r="L41" s="881">
        <f>IF(D41="","",(K41-J41)*24)</f>
      </c>
      <c r="M41" s="882">
        <f>IF(D41="","",(K41-J41)*24*60)</f>
      </c>
      <c r="N41" s="883"/>
      <c r="O41" s="2813">
        <f>IF(D41="","",IF(N41="P","--","NO"))</f>
      </c>
      <c r="P41" s="2814"/>
      <c r="Q41" s="2815"/>
      <c r="R41" s="939">
        <f>IF(G41=500,200,IF(G41=132,40,0))</f>
        <v>0</v>
      </c>
      <c r="S41" s="949" t="str">
        <f>IF(N41="P",H41*R41*ROUND(M41/60,2)*0.1,"--")</f>
        <v>--</v>
      </c>
      <c r="T41" s="950" t="str">
        <f>IF(AND(N41="F",O41="NO"),H41*R41,"--")</f>
        <v>--</v>
      </c>
      <c r="U41" s="951" t="str">
        <f>IF(N41="F",H41*R41*ROUND(M41/60,2),"--")</f>
        <v>--</v>
      </c>
      <c r="V41" s="890" t="str">
        <f>IF(N41="RF",H41*R41*ROUND(M41/60,2),"--")</f>
        <v>--</v>
      </c>
      <c r="W41" s="892"/>
      <c r="X41" s="892"/>
      <c r="Y41" s="892"/>
      <c r="Z41" s="892"/>
      <c r="AA41" s="893"/>
      <c r="AB41" s="894">
        <f>IF(D41="","","SI")</f>
      </c>
      <c r="AC41" s="952">
        <f>IF(D41="","",SUM(S41:V41)*IF(AB41="SI",1,2))</f>
      </c>
      <c r="AD41" s="618"/>
    </row>
    <row r="42" spans="1:30" ht="16.5" customHeight="1">
      <c r="A42" s="600"/>
      <c r="B42" s="796"/>
      <c r="C42" s="873" t="s">
        <v>105</v>
      </c>
      <c r="D42" s="945"/>
      <c r="E42" s="2811"/>
      <c r="F42" s="2812"/>
      <c r="G42" s="946"/>
      <c r="H42" s="878">
        <f>IF(G42=132,#REF!,IF(G42=500,$F$21,0))</f>
        <v>0</v>
      </c>
      <c r="I42" s="879"/>
      <c r="J42" s="947"/>
      <c r="K42" s="948"/>
      <c r="L42" s="881">
        <f>IF(D42="","",(K42-J42)*24)</f>
      </c>
      <c r="M42" s="882">
        <f>IF(D42="","",(K42-J42)*24*60)</f>
      </c>
      <c r="N42" s="883"/>
      <c r="O42" s="2813">
        <f>IF(D42="","",IF(N42="P","--","NO"))</f>
      </c>
      <c r="P42" s="2814"/>
      <c r="Q42" s="2815"/>
      <c r="R42" s="939">
        <f>IF(G42=500,200,IF(G42=132,40,0))</f>
        <v>0</v>
      </c>
      <c r="S42" s="949" t="str">
        <f>IF(N42="P",H42*R42*ROUND(M42/60,2)*0.1,"--")</f>
        <v>--</v>
      </c>
      <c r="T42" s="950" t="str">
        <f>IF(AND(N42="F",O42="NO"),H42*R42,"--")</f>
        <v>--</v>
      </c>
      <c r="U42" s="951" t="str">
        <f>IF(N42="F",H42*R42*ROUND(M42/60,2),"--")</f>
        <v>--</v>
      </c>
      <c r="V42" s="890" t="str">
        <f>IF(N42="RF",H42*R42*ROUND(M42/60,2),"--")</f>
        <v>--</v>
      </c>
      <c r="W42" s="892"/>
      <c r="X42" s="892"/>
      <c r="Y42" s="892"/>
      <c r="Z42" s="892"/>
      <c r="AA42" s="893"/>
      <c r="AB42" s="894">
        <f>IF(D42="","","SI")</f>
      </c>
      <c r="AC42" s="952">
        <f>IF(D42="","",SUM(S42:V42)*IF(AB42="SI",1,2))</f>
      </c>
      <c r="AD42" s="618"/>
    </row>
    <row r="43" spans="1:30" ht="16.5" customHeight="1" thickBot="1">
      <c r="A43" s="816"/>
      <c r="B43" s="796"/>
      <c r="C43" s="896"/>
      <c r="D43" s="897"/>
      <c r="E43" s="2816"/>
      <c r="F43" s="2817"/>
      <c r="G43" s="953"/>
      <c r="H43" s="901"/>
      <c r="I43" s="902"/>
      <c r="J43" s="903"/>
      <c r="K43" s="904"/>
      <c r="L43" s="905"/>
      <c r="M43" s="906"/>
      <c r="N43" s="907"/>
      <c r="O43" s="2795"/>
      <c r="P43" s="2818"/>
      <c r="Q43" s="2796"/>
      <c r="R43" s="939"/>
      <c r="S43" s="949"/>
      <c r="T43" s="950"/>
      <c r="U43" s="951"/>
      <c r="V43" s="890"/>
      <c r="W43" s="915"/>
      <c r="X43" s="915"/>
      <c r="Y43" s="915"/>
      <c r="Z43" s="915"/>
      <c r="AA43" s="916"/>
      <c r="AB43" s="917"/>
      <c r="AC43" s="952">
        <f>IF(D43="","",SUM(S43:V43)*IF(AB43="SI",1,2))</f>
      </c>
      <c r="AD43" s="846"/>
    </row>
    <row r="44" spans="1:30" ht="16.5" customHeight="1" thickBot="1" thickTop="1">
      <c r="A44" s="816"/>
      <c r="B44" s="796"/>
      <c r="C44" s="641"/>
      <c r="D44" s="836"/>
      <c r="E44" s="836"/>
      <c r="F44" s="919"/>
      <c r="G44" s="920"/>
      <c r="H44" s="921"/>
      <c r="I44" s="922"/>
      <c r="J44" s="923"/>
      <c r="K44" s="924"/>
      <c r="L44" s="925"/>
      <c r="M44" s="921"/>
      <c r="N44" s="926"/>
      <c r="O44" s="927"/>
      <c r="P44" s="954"/>
      <c r="Q44" s="955"/>
      <c r="R44" s="956"/>
      <c r="S44" s="956"/>
      <c r="T44" s="956"/>
      <c r="U44" s="957"/>
      <c r="V44" s="957"/>
      <c r="W44" s="957"/>
      <c r="X44" s="957"/>
      <c r="Y44" s="957"/>
      <c r="Z44" s="957"/>
      <c r="AA44" s="957"/>
      <c r="AB44" s="957"/>
      <c r="AC44" s="932">
        <f>SUM(AC39:AC43)</f>
        <v>0</v>
      </c>
      <c r="AD44" s="846"/>
    </row>
    <row r="45" spans="1:30" ht="16.5" customHeight="1" thickBot="1" thickTop="1">
      <c r="A45" s="816"/>
      <c r="B45" s="796"/>
      <c r="C45" s="641"/>
      <c r="D45" s="836"/>
      <c r="E45" s="836"/>
      <c r="F45" s="919"/>
      <c r="G45" s="920"/>
      <c r="H45" s="921"/>
      <c r="I45" s="922"/>
      <c r="J45" s="923"/>
      <c r="K45" s="924"/>
      <c r="L45" s="925"/>
      <c r="M45" s="921"/>
      <c r="N45" s="926"/>
      <c r="O45" s="927"/>
      <c r="P45" s="954"/>
      <c r="Q45" s="955"/>
      <c r="R45" s="956"/>
      <c r="S45" s="956"/>
      <c r="T45" s="956"/>
      <c r="U45" s="957"/>
      <c r="V45" s="957"/>
      <c r="W45" s="957"/>
      <c r="X45" s="957"/>
      <c r="Y45" s="957"/>
      <c r="Z45" s="957"/>
      <c r="AA45" s="957"/>
      <c r="AB45" s="957"/>
      <c r="AC45" s="958"/>
      <c r="AD45" s="846"/>
    </row>
    <row r="46" spans="1:30" ht="43.5" customHeight="1" thickBot="1" thickTop="1">
      <c r="A46" s="816"/>
      <c r="B46" s="817"/>
      <c r="C46" s="662" t="s">
        <v>29</v>
      </c>
      <c r="D46" s="664" t="s">
        <v>60</v>
      </c>
      <c r="E46" s="959" t="s">
        <v>61</v>
      </c>
      <c r="F46" s="2805" t="s">
        <v>81</v>
      </c>
      <c r="G46" s="2806"/>
      <c r="H46" s="668" t="s">
        <v>36</v>
      </c>
      <c r="I46" s="960"/>
      <c r="J46" s="959" t="s">
        <v>37</v>
      </c>
      <c r="K46" s="959" t="s">
        <v>38</v>
      </c>
      <c r="L46" s="961" t="s">
        <v>39</v>
      </c>
      <c r="M46" s="961" t="s">
        <v>40</v>
      </c>
      <c r="N46" s="669" t="s">
        <v>316</v>
      </c>
      <c r="O46" s="669" t="s">
        <v>41</v>
      </c>
      <c r="P46" s="2807" t="s">
        <v>43</v>
      </c>
      <c r="Q46" s="2808"/>
      <c r="R46" s="962" t="s">
        <v>35</v>
      </c>
      <c r="S46" s="963" t="s">
        <v>73</v>
      </c>
      <c r="T46" s="964" t="s">
        <v>82</v>
      </c>
      <c r="U46" s="965"/>
      <c r="V46" s="676" t="s">
        <v>83</v>
      </c>
      <c r="W46" s="677"/>
      <c r="X46" s="966" t="s">
        <v>48</v>
      </c>
      <c r="Y46" s="673" t="s">
        <v>45</v>
      </c>
      <c r="Z46" s="960"/>
      <c r="AA46" s="960"/>
      <c r="AB46" s="680" t="s">
        <v>50</v>
      </c>
      <c r="AC46" s="967" t="s">
        <v>51</v>
      </c>
      <c r="AD46" s="968"/>
    </row>
    <row r="47" spans="1:30" ht="16.5" customHeight="1" thickTop="1">
      <c r="A47" s="816"/>
      <c r="B47" s="817"/>
      <c r="C47" s="682"/>
      <c r="D47" s="969"/>
      <c r="E47" s="969"/>
      <c r="F47" s="2821"/>
      <c r="G47" s="2822"/>
      <c r="H47" s="685"/>
      <c r="I47" s="960"/>
      <c r="J47" s="970"/>
      <c r="K47" s="970"/>
      <c r="L47" s="971"/>
      <c r="M47" s="971"/>
      <c r="N47" s="969"/>
      <c r="O47" s="686"/>
      <c r="P47" s="2821"/>
      <c r="Q47" s="2822"/>
      <c r="R47" s="972"/>
      <c r="S47" s="973"/>
      <c r="T47" s="974"/>
      <c r="U47" s="975"/>
      <c r="V47" s="693"/>
      <c r="W47" s="694"/>
      <c r="X47" s="976"/>
      <c r="Y47" s="976"/>
      <c r="Z47" s="960"/>
      <c r="AA47" s="960"/>
      <c r="AB47" s="977"/>
      <c r="AC47" s="978"/>
      <c r="AD47" s="968"/>
    </row>
    <row r="48" spans="1:30" ht="16.5" customHeight="1">
      <c r="A48" s="816"/>
      <c r="B48" s="817"/>
      <c r="C48" s="944" t="s">
        <v>103</v>
      </c>
      <c r="D48" s="979"/>
      <c r="E48" s="980"/>
      <c r="F48" s="2823"/>
      <c r="G48" s="2824"/>
      <c r="H48" s="981">
        <f>F48*$F$20</f>
        <v>0</v>
      </c>
      <c r="I48" s="960"/>
      <c r="J48" s="982"/>
      <c r="K48" s="983"/>
      <c r="L48" s="984">
        <f aca="true" t="shared" si="0" ref="L48:L56">IF(D48="","",(K48-J48)*24)</f>
      </c>
      <c r="M48" s="985">
        <f aca="true" t="shared" si="1" ref="M48:M56">IF(D48="","",ROUND((K48-J48)*24*60,0))</f>
      </c>
      <c r="N48" s="885"/>
      <c r="O48" s="725">
        <f aca="true" t="shared" si="2" ref="O48:O56">IF(D48="","","--")</f>
      </c>
      <c r="P48" s="2803">
        <f aca="true" t="shared" si="3" ref="P48:P55">IF(D48="","",IF(OR(N48="P",N48="RP"),"--","NO"))</f>
      </c>
      <c r="Q48" s="2804"/>
      <c r="R48" s="986">
        <f aca="true" t="shared" si="4" ref="R48:R55">IF(OR(N48="P",N48="RP"),20/10,20)</f>
        <v>20</v>
      </c>
      <c r="S48" s="987" t="str">
        <f aca="true" t="shared" si="5" ref="S48:S55">IF(N48="P",H48*R48*ROUND(M48/60,2),"--")</f>
        <v>--</v>
      </c>
      <c r="T48" s="988" t="str">
        <f aca="true" t="shared" si="6" ref="T48:T55">IF(AND(N48="F",P48="NO"),H48*R48,"--")</f>
        <v>--</v>
      </c>
      <c r="U48" s="989" t="str">
        <f aca="true" t="shared" si="7" ref="U48:U55">IF(N48="F",H48*R48*ROUND(M48/60,2),"--")</f>
        <v>--</v>
      </c>
      <c r="V48" s="732" t="str">
        <f aca="true" t="shared" si="8" ref="V48:V55">IF(AND(N48="R",P48="NO"),H48*R48*O48/100,"--")</f>
        <v>--</v>
      </c>
      <c r="W48" s="733" t="str">
        <f aca="true" t="shared" si="9" ref="W48:W55">IF(N48="R",H48*R48*O48/100*ROUND(M48/60,2),"--")</f>
        <v>--</v>
      </c>
      <c r="X48" s="990" t="str">
        <f aca="true" t="shared" si="10" ref="X48:X55">IF(N48="RF",H48*R48*ROUND(M48/60,2),"--")</f>
        <v>--</v>
      </c>
      <c r="Y48" s="991" t="str">
        <f aca="true" t="shared" si="11" ref="Y48:Y55">IF(N48="RP",H48*R48*O48/100*ROUND(M48/60,2),"--")</f>
        <v>--</v>
      </c>
      <c r="Z48" s="960"/>
      <c r="AA48" s="960"/>
      <c r="AB48" s="727">
        <f aca="true" t="shared" si="12" ref="AB48:AB55">IF(D48="","","SI")</f>
      </c>
      <c r="AC48" s="738">
        <f aca="true" t="shared" si="13" ref="AC48:AC55">IF(D48="","",SUM(S48:Y48)*IF(AB48="SI",1,2)*IF(AND(O48&lt;&gt;"--",N48="RF"),O48/100,1))</f>
      </c>
      <c r="AD48" s="968"/>
    </row>
    <row r="49" spans="2:30" s="816" customFormat="1" ht="16.5" customHeight="1">
      <c r="B49" s="817"/>
      <c r="C49" s="873" t="s">
        <v>104</v>
      </c>
      <c r="D49" s="979"/>
      <c r="E49" s="980"/>
      <c r="F49" s="2819"/>
      <c r="G49" s="2820"/>
      <c r="H49" s="981" t="e">
        <f>F49*#REF!</f>
        <v>#REF!</v>
      </c>
      <c r="I49" s="960"/>
      <c r="J49" s="982"/>
      <c r="K49" s="983"/>
      <c r="L49" s="992">
        <f t="shared" si="0"/>
      </c>
      <c r="M49" s="993">
        <f t="shared" si="1"/>
      </c>
      <c r="N49" s="994"/>
      <c r="O49" s="725">
        <f t="shared" si="2"/>
      </c>
      <c r="P49" s="2803">
        <f t="shared" si="3"/>
      </c>
      <c r="Q49" s="2804"/>
      <c r="R49" s="986">
        <f t="shared" si="4"/>
        <v>20</v>
      </c>
      <c r="S49" s="987" t="str">
        <f t="shared" si="5"/>
        <v>--</v>
      </c>
      <c r="T49" s="988" t="str">
        <f t="shared" si="6"/>
        <v>--</v>
      </c>
      <c r="U49" s="989" t="str">
        <f t="shared" si="7"/>
        <v>--</v>
      </c>
      <c r="V49" s="732" t="str">
        <f t="shared" si="8"/>
        <v>--</v>
      </c>
      <c r="W49" s="733" t="str">
        <f t="shared" si="9"/>
        <v>--</v>
      </c>
      <c r="X49" s="990" t="str">
        <f t="shared" si="10"/>
        <v>--</v>
      </c>
      <c r="Y49" s="729" t="str">
        <f t="shared" si="11"/>
        <v>--</v>
      </c>
      <c r="Z49" s="960"/>
      <c r="AA49" s="960"/>
      <c r="AB49" s="995">
        <f t="shared" si="12"/>
      </c>
      <c r="AC49" s="952">
        <f t="shared" si="13"/>
      </c>
      <c r="AD49" s="968"/>
    </row>
    <row r="50" spans="2:30" s="816" customFormat="1" ht="16.5" customHeight="1">
      <c r="B50" s="817"/>
      <c r="C50" s="873" t="s">
        <v>105</v>
      </c>
      <c r="D50" s="996"/>
      <c r="E50" s="997"/>
      <c r="F50" s="2819"/>
      <c r="G50" s="2820"/>
      <c r="H50" s="981" t="e">
        <f>F50*#REF!</f>
        <v>#REF!</v>
      </c>
      <c r="I50" s="960"/>
      <c r="J50" s="998"/>
      <c r="K50" s="999"/>
      <c r="L50" s="992">
        <f t="shared" si="0"/>
      </c>
      <c r="M50" s="993">
        <f t="shared" si="1"/>
      </c>
      <c r="N50" s="994"/>
      <c r="O50" s="725">
        <f t="shared" si="2"/>
      </c>
      <c r="P50" s="2803">
        <f t="shared" si="3"/>
      </c>
      <c r="Q50" s="2804"/>
      <c r="R50" s="986">
        <f t="shared" si="4"/>
        <v>20</v>
      </c>
      <c r="S50" s="987" t="str">
        <f t="shared" si="5"/>
        <v>--</v>
      </c>
      <c r="T50" s="988" t="str">
        <f t="shared" si="6"/>
        <v>--</v>
      </c>
      <c r="U50" s="989" t="str">
        <f t="shared" si="7"/>
        <v>--</v>
      </c>
      <c r="V50" s="732" t="str">
        <f t="shared" si="8"/>
        <v>--</v>
      </c>
      <c r="W50" s="733" t="str">
        <f t="shared" si="9"/>
        <v>--</v>
      </c>
      <c r="X50" s="990" t="str">
        <f t="shared" si="10"/>
        <v>--</v>
      </c>
      <c r="Y50" s="729" t="str">
        <f t="shared" si="11"/>
        <v>--</v>
      </c>
      <c r="Z50" s="960"/>
      <c r="AA50" s="960"/>
      <c r="AB50" s="995">
        <f t="shared" si="12"/>
      </c>
      <c r="AC50" s="952">
        <f t="shared" si="13"/>
      </c>
      <c r="AD50" s="968"/>
    </row>
    <row r="51" spans="2:30" s="816" customFormat="1" ht="16.5" customHeight="1">
      <c r="B51" s="817"/>
      <c r="C51" s="873" t="s">
        <v>106</v>
      </c>
      <c r="D51" s="996"/>
      <c r="E51" s="997"/>
      <c r="F51" s="2819"/>
      <c r="G51" s="2820"/>
      <c r="H51" s="981">
        <f>F51*$F$20</f>
        <v>0</v>
      </c>
      <c r="I51" s="960"/>
      <c r="J51" s="998"/>
      <c r="K51" s="999"/>
      <c r="L51" s="992">
        <f t="shared" si="0"/>
      </c>
      <c r="M51" s="993">
        <f t="shared" si="1"/>
      </c>
      <c r="N51" s="994"/>
      <c r="O51" s="725">
        <f t="shared" si="2"/>
      </c>
      <c r="P51" s="2803">
        <f t="shared" si="3"/>
      </c>
      <c r="Q51" s="2804"/>
      <c r="R51" s="986">
        <f t="shared" si="4"/>
        <v>20</v>
      </c>
      <c r="S51" s="987" t="str">
        <f t="shared" si="5"/>
        <v>--</v>
      </c>
      <c r="T51" s="988" t="str">
        <f t="shared" si="6"/>
        <v>--</v>
      </c>
      <c r="U51" s="989" t="str">
        <f t="shared" si="7"/>
        <v>--</v>
      </c>
      <c r="V51" s="732" t="str">
        <f t="shared" si="8"/>
        <v>--</v>
      </c>
      <c r="W51" s="733" t="str">
        <f t="shared" si="9"/>
        <v>--</v>
      </c>
      <c r="X51" s="990" t="str">
        <f t="shared" si="10"/>
        <v>--</v>
      </c>
      <c r="Y51" s="729" t="str">
        <f t="shared" si="11"/>
        <v>--</v>
      </c>
      <c r="Z51" s="960"/>
      <c r="AA51" s="960"/>
      <c r="AB51" s="995">
        <f t="shared" si="12"/>
      </c>
      <c r="AC51" s="952">
        <f t="shared" si="13"/>
      </c>
      <c r="AD51" s="968"/>
    </row>
    <row r="52" spans="2:30" s="816" customFormat="1" ht="16.5" customHeight="1">
      <c r="B52" s="817"/>
      <c r="C52" s="873" t="s">
        <v>107</v>
      </c>
      <c r="D52" s="996"/>
      <c r="E52" s="997"/>
      <c r="F52" s="2819"/>
      <c r="G52" s="2820"/>
      <c r="H52" s="981" t="e">
        <f>F52*#REF!</f>
        <v>#REF!</v>
      </c>
      <c r="I52" s="960"/>
      <c r="J52" s="998"/>
      <c r="K52" s="999"/>
      <c r="L52" s="992">
        <f t="shared" si="0"/>
      </c>
      <c r="M52" s="993">
        <f t="shared" si="1"/>
      </c>
      <c r="N52" s="994"/>
      <c r="O52" s="725">
        <f t="shared" si="2"/>
      </c>
      <c r="P52" s="2803">
        <f t="shared" si="3"/>
      </c>
      <c r="Q52" s="2804"/>
      <c r="R52" s="986">
        <f t="shared" si="4"/>
        <v>20</v>
      </c>
      <c r="S52" s="987" t="str">
        <f t="shared" si="5"/>
        <v>--</v>
      </c>
      <c r="T52" s="988" t="str">
        <f t="shared" si="6"/>
        <v>--</v>
      </c>
      <c r="U52" s="989" t="str">
        <f t="shared" si="7"/>
        <v>--</v>
      </c>
      <c r="V52" s="732" t="str">
        <f t="shared" si="8"/>
        <v>--</v>
      </c>
      <c r="W52" s="733" t="str">
        <f t="shared" si="9"/>
        <v>--</v>
      </c>
      <c r="X52" s="990" t="str">
        <f t="shared" si="10"/>
        <v>--</v>
      </c>
      <c r="Y52" s="729" t="str">
        <f t="shared" si="11"/>
        <v>--</v>
      </c>
      <c r="Z52" s="960"/>
      <c r="AA52" s="960"/>
      <c r="AB52" s="995">
        <f t="shared" si="12"/>
      </c>
      <c r="AC52" s="952">
        <f t="shared" si="13"/>
      </c>
      <c r="AD52" s="968"/>
    </row>
    <row r="53" spans="1:30" ht="16.5" customHeight="1">
      <c r="A53" s="816"/>
      <c r="B53" s="817"/>
      <c r="C53" s="873" t="s">
        <v>108</v>
      </c>
      <c r="D53" s="996"/>
      <c r="E53" s="997"/>
      <c r="F53" s="2819"/>
      <c r="G53" s="2820"/>
      <c r="H53" s="981" t="e">
        <f>F53*#REF!</f>
        <v>#REF!</v>
      </c>
      <c r="I53" s="960"/>
      <c r="J53" s="998"/>
      <c r="K53" s="999"/>
      <c r="L53" s="992">
        <f t="shared" si="0"/>
      </c>
      <c r="M53" s="993">
        <f t="shared" si="1"/>
      </c>
      <c r="N53" s="994"/>
      <c r="O53" s="725">
        <f t="shared" si="2"/>
      </c>
      <c r="P53" s="2803">
        <f t="shared" si="3"/>
      </c>
      <c r="Q53" s="2804"/>
      <c r="R53" s="986">
        <f t="shared" si="4"/>
        <v>20</v>
      </c>
      <c r="S53" s="987" t="str">
        <f t="shared" si="5"/>
        <v>--</v>
      </c>
      <c r="T53" s="988" t="str">
        <f t="shared" si="6"/>
        <v>--</v>
      </c>
      <c r="U53" s="989" t="str">
        <f t="shared" si="7"/>
        <v>--</v>
      </c>
      <c r="V53" s="732" t="str">
        <f t="shared" si="8"/>
        <v>--</v>
      </c>
      <c r="W53" s="733" t="str">
        <f t="shared" si="9"/>
        <v>--</v>
      </c>
      <c r="X53" s="990" t="str">
        <f t="shared" si="10"/>
        <v>--</v>
      </c>
      <c r="Y53" s="729" t="str">
        <f t="shared" si="11"/>
        <v>--</v>
      </c>
      <c r="Z53" s="960"/>
      <c r="AA53" s="960"/>
      <c r="AB53" s="995">
        <f t="shared" si="12"/>
      </c>
      <c r="AC53" s="952">
        <f t="shared" si="13"/>
      </c>
      <c r="AD53" s="968"/>
    </row>
    <row r="54" spans="1:30" ht="16.5" customHeight="1">
      <c r="A54" s="816"/>
      <c r="B54" s="817"/>
      <c r="C54" s="873" t="s">
        <v>109</v>
      </c>
      <c r="D54" s="996"/>
      <c r="E54" s="997"/>
      <c r="F54" s="2819"/>
      <c r="G54" s="2820"/>
      <c r="H54" s="981" t="e">
        <f>F54*#REF!</f>
        <v>#REF!</v>
      </c>
      <c r="I54" s="960"/>
      <c r="J54" s="998"/>
      <c r="K54" s="999"/>
      <c r="L54" s="992">
        <f t="shared" si="0"/>
      </c>
      <c r="M54" s="993">
        <f t="shared" si="1"/>
      </c>
      <c r="N54" s="994"/>
      <c r="O54" s="725">
        <f t="shared" si="2"/>
      </c>
      <c r="P54" s="2803">
        <f t="shared" si="3"/>
      </c>
      <c r="Q54" s="2804"/>
      <c r="R54" s="986">
        <f t="shared" si="4"/>
        <v>20</v>
      </c>
      <c r="S54" s="987" t="str">
        <f t="shared" si="5"/>
        <v>--</v>
      </c>
      <c r="T54" s="988" t="str">
        <f t="shared" si="6"/>
        <v>--</v>
      </c>
      <c r="U54" s="989" t="str">
        <f t="shared" si="7"/>
        <v>--</v>
      </c>
      <c r="V54" s="732" t="str">
        <f t="shared" si="8"/>
        <v>--</v>
      </c>
      <c r="W54" s="733" t="str">
        <f t="shared" si="9"/>
        <v>--</v>
      </c>
      <c r="X54" s="990" t="str">
        <f t="shared" si="10"/>
        <v>--</v>
      </c>
      <c r="Y54" s="729" t="str">
        <f t="shared" si="11"/>
        <v>--</v>
      </c>
      <c r="Z54" s="960"/>
      <c r="AA54" s="960"/>
      <c r="AB54" s="995">
        <f t="shared" si="12"/>
      </c>
      <c r="AC54" s="952">
        <f t="shared" si="13"/>
      </c>
      <c r="AD54" s="968"/>
    </row>
    <row r="55" spans="1:30" ht="16.5" customHeight="1">
      <c r="A55" s="816"/>
      <c r="B55" s="817"/>
      <c r="C55" s="873" t="s">
        <v>110</v>
      </c>
      <c r="D55" s="996"/>
      <c r="E55" s="997"/>
      <c r="F55" s="2819"/>
      <c r="G55" s="2820"/>
      <c r="H55" s="981" t="e">
        <f>F55*#REF!</f>
        <v>#REF!</v>
      </c>
      <c r="I55" s="960"/>
      <c r="J55" s="998"/>
      <c r="K55" s="999"/>
      <c r="L55" s="992">
        <f t="shared" si="0"/>
      </c>
      <c r="M55" s="993">
        <f t="shared" si="1"/>
      </c>
      <c r="N55" s="994"/>
      <c r="O55" s="725">
        <f t="shared" si="2"/>
      </c>
      <c r="P55" s="2803">
        <f t="shared" si="3"/>
      </c>
      <c r="Q55" s="2804"/>
      <c r="R55" s="986">
        <f t="shared" si="4"/>
        <v>20</v>
      </c>
      <c r="S55" s="987" t="str">
        <f t="shared" si="5"/>
        <v>--</v>
      </c>
      <c r="T55" s="988" t="str">
        <f t="shared" si="6"/>
        <v>--</v>
      </c>
      <c r="U55" s="989" t="str">
        <f t="shared" si="7"/>
        <v>--</v>
      </c>
      <c r="V55" s="732" t="str">
        <f t="shared" si="8"/>
        <v>--</v>
      </c>
      <c r="W55" s="733" t="str">
        <f t="shared" si="9"/>
        <v>--</v>
      </c>
      <c r="X55" s="990" t="str">
        <f t="shared" si="10"/>
        <v>--</v>
      </c>
      <c r="Y55" s="729" t="str">
        <f t="shared" si="11"/>
        <v>--</v>
      </c>
      <c r="Z55" s="960"/>
      <c r="AA55" s="960"/>
      <c r="AB55" s="995">
        <f t="shared" si="12"/>
      </c>
      <c r="AC55" s="952">
        <f t="shared" si="13"/>
      </c>
      <c r="AD55" s="968"/>
    </row>
    <row r="56" spans="1:30" ht="16.5" customHeight="1" thickBot="1">
      <c r="A56" s="816"/>
      <c r="B56" s="817"/>
      <c r="C56" s="1000"/>
      <c r="D56" s="1001"/>
      <c r="E56" s="1002"/>
      <c r="F56" s="2825"/>
      <c r="G56" s="2826"/>
      <c r="H56" s="981" t="e">
        <f>F56*#REF!</f>
        <v>#REF!</v>
      </c>
      <c r="I56" s="960"/>
      <c r="J56" s="1003"/>
      <c r="K56" s="1004"/>
      <c r="L56" s="1005">
        <f t="shared" si="0"/>
      </c>
      <c r="M56" s="749">
        <f t="shared" si="1"/>
      </c>
      <c r="N56" s="1006"/>
      <c r="O56" s="1007">
        <f t="shared" si="2"/>
      </c>
      <c r="P56" s="2795"/>
      <c r="Q56" s="2796"/>
      <c r="R56" s="1008"/>
      <c r="S56" s="1009"/>
      <c r="T56" s="1010"/>
      <c r="U56" s="1011"/>
      <c r="V56" s="1012"/>
      <c r="W56" s="1013"/>
      <c r="X56" s="1014"/>
      <c r="Y56" s="1015"/>
      <c r="Z56" s="915"/>
      <c r="AA56" s="915"/>
      <c r="AB56" s="908"/>
      <c r="AC56" s="1016"/>
      <c r="AD56" s="968"/>
    </row>
    <row r="57" spans="1:30" ht="16.5" customHeight="1" thickBot="1" thickTop="1">
      <c r="A57" s="816"/>
      <c r="B57" s="817"/>
      <c r="C57" s="641"/>
      <c r="D57" s="836"/>
      <c r="E57" s="957"/>
      <c r="F57" s="957"/>
      <c r="G57" s="957"/>
      <c r="H57" s="957"/>
      <c r="I57" s="957"/>
      <c r="J57" s="957"/>
      <c r="K57" s="957"/>
      <c r="L57" s="957"/>
      <c r="M57" s="957"/>
      <c r="N57" s="957"/>
      <c r="O57" s="957"/>
      <c r="P57" s="957"/>
      <c r="Q57" s="957"/>
      <c r="R57" s="957"/>
      <c r="S57" s="957"/>
      <c r="T57" s="957"/>
      <c r="U57" s="957"/>
      <c r="V57" s="957"/>
      <c r="W57" s="957"/>
      <c r="X57" s="957"/>
      <c r="Y57" s="957"/>
      <c r="Z57" s="957"/>
      <c r="AA57" s="957"/>
      <c r="AB57" s="957"/>
      <c r="AC57" s="932">
        <f>SUM(AC47:AC56)</f>
        <v>0</v>
      </c>
      <c r="AD57" s="968"/>
    </row>
    <row r="58" spans="1:30" ht="16.5" customHeight="1" thickBot="1" thickTop="1">
      <c r="A58" s="816"/>
      <c r="B58" s="817"/>
      <c r="C58" s="641"/>
      <c r="D58" s="836"/>
      <c r="E58" s="957"/>
      <c r="F58" s="957"/>
      <c r="G58" s="957"/>
      <c r="H58" s="957"/>
      <c r="I58" s="957"/>
      <c r="J58" s="957"/>
      <c r="K58" s="957"/>
      <c r="L58" s="957"/>
      <c r="M58" s="957"/>
      <c r="N58" s="957"/>
      <c r="O58" s="957"/>
      <c r="P58" s="957"/>
      <c r="Q58" s="957"/>
      <c r="R58" s="957"/>
      <c r="S58" s="957"/>
      <c r="T58" s="957"/>
      <c r="U58" s="957"/>
      <c r="V58" s="957"/>
      <c r="W58" s="957"/>
      <c r="X58" s="957"/>
      <c r="Y58" s="957"/>
      <c r="Z58" s="957"/>
      <c r="AA58" s="957"/>
      <c r="AB58" s="957"/>
      <c r="AC58" s="1017"/>
      <c r="AD58" s="968"/>
    </row>
    <row r="59" spans="1:30" ht="16.5" customHeight="1" thickBot="1" thickTop="1">
      <c r="A59" s="816"/>
      <c r="B59" s="796"/>
      <c r="C59" s="641"/>
      <c r="D59" s="836"/>
      <c r="E59" s="836"/>
      <c r="F59" s="919"/>
      <c r="G59" s="920"/>
      <c r="H59" s="921"/>
      <c r="I59" s="922"/>
      <c r="J59" s="834" t="s">
        <v>116</v>
      </c>
      <c r="K59" s="835">
        <f>+AC36+AC44+AC57</f>
        <v>801.288</v>
      </c>
      <c r="L59" s="925"/>
      <c r="M59" s="921"/>
      <c r="N59" s="1018"/>
      <c r="O59" s="1019"/>
      <c r="P59" s="954"/>
      <c r="Q59" s="955"/>
      <c r="R59" s="956"/>
      <c r="S59" s="956"/>
      <c r="T59" s="956"/>
      <c r="U59" s="957"/>
      <c r="V59" s="957"/>
      <c r="W59" s="957"/>
      <c r="X59" s="957"/>
      <c r="Y59" s="957"/>
      <c r="Z59" s="957"/>
      <c r="AA59" s="957"/>
      <c r="AB59" s="957"/>
      <c r="AC59" s="1020"/>
      <c r="AD59" s="846"/>
    </row>
    <row r="60" spans="1:30" ht="13.5" customHeight="1" thickTop="1">
      <c r="A60" s="816"/>
      <c r="B60" s="817"/>
      <c r="C60" s="821"/>
      <c r="D60" s="1021"/>
      <c r="E60" s="1022"/>
      <c r="F60" s="1023"/>
      <c r="G60" s="1024"/>
      <c r="H60" s="1024"/>
      <c r="I60" s="1022"/>
      <c r="J60" s="1025"/>
      <c r="K60" s="1025"/>
      <c r="L60" s="1022"/>
      <c r="M60" s="1022"/>
      <c r="N60" s="1022"/>
      <c r="O60" s="1026"/>
      <c r="P60" s="1022"/>
      <c r="Q60" s="1022"/>
      <c r="R60" s="1027"/>
      <c r="S60" s="1028"/>
      <c r="T60" s="1028"/>
      <c r="U60" s="1029"/>
      <c r="AC60" s="1029"/>
      <c r="AD60" s="968"/>
    </row>
    <row r="61" spans="1:30" ht="16.5" customHeight="1">
      <c r="A61" s="816"/>
      <c r="B61" s="817"/>
      <c r="C61" s="1030" t="s">
        <v>117</v>
      </c>
      <c r="D61" s="1031" t="s">
        <v>319</v>
      </c>
      <c r="E61" s="1022"/>
      <c r="F61" s="1023"/>
      <c r="G61" s="1024"/>
      <c r="H61" s="1024"/>
      <c r="I61" s="1022"/>
      <c r="J61" s="1025"/>
      <c r="K61" s="1025"/>
      <c r="L61" s="1022"/>
      <c r="M61" s="1022"/>
      <c r="N61" s="1022"/>
      <c r="O61" s="1026"/>
      <c r="P61" s="1022"/>
      <c r="Q61" s="1022"/>
      <c r="R61" s="1027"/>
      <c r="S61" s="1028"/>
      <c r="T61" s="1028"/>
      <c r="U61" s="1029"/>
      <c r="AC61" s="1029"/>
      <c r="AD61" s="968"/>
    </row>
    <row r="62" spans="1:30" ht="16.5" customHeight="1">
      <c r="A62" s="816"/>
      <c r="B62" s="817"/>
      <c r="C62" s="1030"/>
      <c r="D62" s="1021"/>
      <c r="E62" s="1022"/>
      <c r="F62" s="1023"/>
      <c r="G62" s="1024"/>
      <c r="H62" s="1024"/>
      <c r="I62" s="1022"/>
      <c r="J62" s="1025"/>
      <c r="K62" s="1025"/>
      <c r="L62" s="1022"/>
      <c r="M62" s="1022"/>
      <c r="N62" s="1022"/>
      <c r="O62" s="1026"/>
      <c r="P62" s="1022"/>
      <c r="Q62" s="1022"/>
      <c r="R62" s="1022"/>
      <c r="S62" s="1027"/>
      <c r="T62" s="1028"/>
      <c r="AD62" s="968"/>
    </row>
    <row r="63" spans="1:30" ht="16.5" customHeight="1">
      <c r="A63" s="816"/>
      <c r="B63" s="817"/>
      <c r="C63" s="821"/>
      <c r="D63" s="1032" t="s">
        <v>127</v>
      </c>
      <c r="E63" s="839" t="s">
        <v>128</v>
      </c>
      <c r="F63" s="839" t="s">
        <v>119</v>
      </c>
      <c r="G63" s="1033" t="s">
        <v>324</v>
      </c>
      <c r="I63" s="1034"/>
      <c r="J63" s="839"/>
      <c r="L63" s="1035" t="s">
        <v>322</v>
      </c>
      <c r="M63" s="1034"/>
      <c r="N63" s="1036"/>
      <c r="O63" s="1037"/>
      <c r="P63" s="1037"/>
      <c r="Q63" s="1037"/>
      <c r="R63" s="1037"/>
      <c r="S63" s="1037"/>
      <c r="AC63" s="1038"/>
      <c r="AD63" s="968"/>
    </row>
    <row r="64" spans="1:30" ht="16.5" customHeight="1">
      <c r="A64" s="816"/>
      <c r="B64" s="817"/>
      <c r="C64" s="821"/>
      <c r="D64" s="839" t="s">
        <v>399</v>
      </c>
      <c r="E64" s="1039">
        <v>150</v>
      </c>
      <c r="F64" s="1039" t="s">
        <v>400</v>
      </c>
      <c r="G64" s="1040">
        <f>E64*F20*L20</f>
        <v>116315.99999999999</v>
      </c>
      <c r="H64" s="806"/>
      <c r="I64" s="806"/>
      <c r="J64" s="1041"/>
      <c r="L64" s="1041">
        <v>0</v>
      </c>
      <c r="M64" s="806"/>
      <c r="N64" s="1042" t="s">
        <v>477</v>
      </c>
      <c r="O64" s="1043"/>
      <c r="P64" s="1043"/>
      <c r="Q64" s="1043"/>
      <c r="R64" s="1043"/>
      <c r="S64" s="1043"/>
      <c r="AC64" s="1044">
        <f>G64</f>
        <v>116315.99999999999</v>
      </c>
      <c r="AD64" s="968"/>
    </row>
    <row r="65" spans="1:30" ht="16.5" customHeight="1">
      <c r="A65" s="816"/>
      <c r="B65" s="817"/>
      <c r="C65" s="821"/>
      <c r="D65" s="839"/>
      <c r="E65" s="1039"/>
      <c r="F65" s="1039"/>
      <c r="G65" s="1040"/>
      <c r="H65" s="806"/>
      <c r="I65" s="806"/>
      <c r="J65" s="1041"/>
      <c r="L65" s="1041"/>
      <c r="M65" s="806"/>
      <c r="N65" s="1045"/>
      <c r="O65" s="1043"/>
      <c r="P65" s="1043"/>
      <c r="Q65" s="1043"/>
      <c r="R65" s="1043"/>
      <c r="S65" s="1043"/>
      <c r="AC65" s="1044"/>
      <c r="AD65" s="968"/>
    </row>
    <row r="66" spans="1:30" ht="16.5" customHeight="1">
      <c r="A66" s="816"/>
      <c r="B66" s="817"/>
      <c r="C66" s="821"/>
      <c r="D66" s="1032" t="s">
        <v>129</v>
      </c>
      <c r="E66" s="1046" t="s">
        <v>401</v>
      </c>
      <c r="F66" s="1046"/>
      <c r="G66" s="839" t="s">
        <v>119</v>
      </c>
      <c r="I66" s="1034"/>
      <c r="J66" s="1033" t="s">
        <v>402</v>
      </c>
      <c r="L66" s="1035"/>
      <c r="M66" s="1034"/>
      <c r="N66" s="1036"/>
      <c r="O66" s="1037"/>
      <c r="P66" s="1037"/>
      <c r="Q66" s="1037"/>
      <c r="R66" s="1037"/>
      <c r="S66" s="1037"/>
      <c r="AC66" s="1038"/>
      <c r="AD66" s="968"/>
    </row>
    <row r="67" spans="1:30" ht="16.5" customHeight="1">
      <c r="A67" s="816"/>
      <c r="B67" s="817"/>
      <c r="C67" s="821"/>
      <c r="D67" s="839" t="s">
        <v>403</v>
      </c>
      <c r="E67" s="1047" t="s">
        <v>404</v>
      </c>
      <c r="F67" s="1048"/>
      <c r="G67" s="1039">
        <v>500</v>
      </c>
      <c r="H67" s="806"/>
      <c r="I67" s="806"/>
      <c r="J67" s="1040">
        <f>F21*L20</f>
        <v>153786.24000000002</v>
      </c>
      <c r="L67" s="1041"/>
      <c r="M67" s="806"/>
      <c r="N67" s="1045"/>
      <c r="O67" s="1043"/>
      <c r="P67" s="1043"/>
      <c r="Q67" s="1043"/>
      <c r="R67" s="1043"/>
      <c r="S67" s="1043"/>
      <c r="AC67" s="1049">
        <f>J67</f>
        <v>153786.24000000002</v>
      </c>
      <c r="AD67" s="968"/>
    </row>
    <row r="68" spans="1:30" ht="7.5" customHeight="1" thickBot="1">
      <c r="A68" s="816"/>
      <c r="B68" s="817"/>
      <c r="C68" s="821"/>
      <c r="D68" s="839"/>
      <c r="E68" s="1047"/>
      <c r="F68" s="1048"/>
      <c r="G68" s="1039"/>
      <c r="H68" s="806"/>
      <c r="I68" s="806"/>
      <c r="J68" s="1040"/>
      <c r="L68" s="1041"/>
      <c r="M68" s="806"/>
      <c r="N68" s="1045"/>
      <c r="O68" s="1043"/>
      <c r="P68" s="1043"/>
      <c r="Q68" s="1043"/>
      <c r="R68" s="1043"/>
      <c r="S68" s="1043"/>
      <c r="AC68" s="1044"/>
      <c r="AD68" s="968"/>
    </row>
    <row r="69" spans="1:30" ht="16.5" customHeight="1" thickBot="1" thickTop="1">
      <c r="A69" s="816"/>
      <c r="B69" s="817"/>
      <c r="C69" s="821"/>
      <c r="D69" s="839"/>
      <c r="E69" s="1047"/>
      <c r="F69" s="1048"/>
      <c r="G69" s="1039"/>
      <c r="H69" s="806"/>
      <c r="I69" s="806"/>
      <c r="J69" s="1040"/>
      <c r="L69" s="1041"/>
      <c r="M69" s="806"/>
      <c r="N69" s="1045"/>
      <c r="O69" s="1043"/>
      <c r="P69" s="1043"/>
      <c r="Q69" s="1043"/>
      <c r="R69" s="1043"/>
      <c r="S69" s="1043"/>
      <c r="AB69" s="834" t="s">
        <v>142</v>
      </c>
      <c r="AC69" s="835">
        <f>SUM(AC63:AC67)</f>
        <v>270102.24</v>
      </c>
      <c r="AD69" s="968"/>
    </row>
    <row r="70" spans="1:30" ht="16.5" customHeight="1" thickBot="1" thickTop="1">
      <c r="A70" s="816"/>
      <c r="B70" s="817"/>
      <c r="C70" s="821"/>
      <c r="D70" s="839"/>
      <c r="E70" s="1047"/>
      <c r="F70" s="1048"/>
      <c r="G70" s="1039"/>
      <c r="H70" s="806"/>
      <c r="I70" s="806"/>
      <c r="J70" s="1040"/>
      <c r="L70" s="1041"/>
      <c r="M70" s="806"/>
      <c r="N70" s="1045"/>
      <c r="O70" s="1043"/>
      <c r="P70" s="1043"/>
      <c r="Q70" s="1043"/>
      <c r="R70" s="1043"/>
      <c r="S70" s="1043"/>
      <c r="AC70" s="1044"/>
      <c r="AD70" s="968"/>
    </row>
    <row r="71" spans="1:30" ht="16.5" customHeight="1" thickBot="1" thickTop="1">
      <c r="A71" s="816"/>
      <c r="B71" s="817"/>
      <c r="C71" s="821"/>
      <c r="D71" s="1025"/>
      <c r="E71" s="826"/>
      <c r="F71" s="839"/>
      <c r="G71" s="839"/>
      <c r="H71" s="840"/>
      <c r="J71" s="839"/>
      <c r="L71" s="1050"/>
      <c r="M71" s="1036"/>
      <c r="N71" s="1036"/>
      <c r="O71" s="1037"/>
      <c r="P71" s="1037"/>
      <c r="Q71" s="1037"/>
      <c r="R71" s="1037"/>
      <c r="S71" s="1037"/>
      <c r="AA71" s="813"/>
      <c r="AB71" s="834" t="s">
        <v>405</v>
      </c>
      <c r="AC71" s="835">
        <v>270102.24</v>
      </c>
      <c r="AD71" s="968"/>
    </row>
    <row r="72" spans="2:30" ht="16.5" customHeight="1" thickTop="1">
      <c r="B72" s="817"/>
      <c r="C72" s="1030" t="s">
        <v>122</v>
      </c>
      <c r="D72" s="1051" t="s">
        <v>123</v>
      </c>
      <c r="E72" s="839"/>
      <c r="F72" s="1052"/>
      <c r="G72" s="838"/>
      <c r="H72" s="1025"/>
      <c r="I72" s="1025"/>
      <c r="J72" s="1025"/>
      <c r="K72" s="839"/>
      <c r="L72" s="839"/>
      <c r="M72" s="1025"/>
      <c r="N72" s="839"/>
      <c r="O72" s="1025"/>
      <c r="P72" s="1025"/>
      <c r="Q72" s="1025"/>
      <c r="R72" s="1025"/>
      <c r="S72" s="1025"/>
      <c r="T72" s="1025"/>
      <c r="U72" s="1025"/>
      <c r="AC72" s="1025"/>
      <c r="AD72" s="968"/>
    </row>
    <row r="73" spans="2:30" s="816" customFormat="1" ht="16.5" customHeight="1">
      <c r="B73" s="817"/>
      <c r="C73" s="821"/>
      <c r="D73" s="1032" t="s">
        <v>124</v>
      </c>
      <c r="E73" s="1053">
        <f>10*K59*K25/AC69</f>
        <v>200.32200000000003</v>
      </c>
      <c r="G73" s="838"/>
      <c r="L73" s="839"/>
      <c r="N73" s="839"/>
      <c r="O73" s="840"/>
      <c r="V73" s="649"/>
      <c r="W73" s="649"/>
      <c r="AD73" s="968"/>
    </row>
    <row r="74" spans="2:30" s="816" customFormat="1" ht="16.5" customHeight="1">
      <c r="B74" s="817"/>
      <c r="C74" s="821"/>
      <c r="E74" s="1054"/>
      <c r="F74" s="832"/>
      <c r="G74" s="838"/>
      <c r="J74" s="838"/>
      <c r="K74" s="845"/>
      <c r="L74" s="839"/>
      <c r="M74" s="839"/>
      <c r="N74" s="839"/>
      <c r="O74" s="840"/>
      <c r="P74" s="839"/>
      <c r="Q74" s="839"/>
      <c r="R74" s="844"/>
      <c r="S74" s="844"/>
      <c r="T74" s="844"/>
      <c r="U74" s="1055"/>
      <c r="V74" s="649"/>
      <c r="W74" s="649"/>
      <c r="AC74" s="1055"/>
      <c r="AD74" s="968"/>
    </row>
    <row r="75" spans="2:30" ht="16.5" customHeight="1">
      <c r="B75" s="817"/>
      <c r="C75" s="821"/>
      <c r="D75" s="1056" t="s">
        <v>406</v>
      </c>
      <c r="E75" s="1057"/>
      <c r="F75" s="832"/>
      <c r="G75" s="838"/>
      <c r="H75" s="1025"/>
      <c r="I75" s="1025"/>
      <c r="N75" s="839"/>
      <c r="O75" s="840"/>
      <c r="P75" s="839"/>
      <c r="Q75" s="839"/>
      <c r="R75" s="1034"/>
      <c r="S75" s="1034"/>
      <c r="T75" s="1034"/>
      <c r="U75" s="1036"/>
      <c r="AC75" s="1036"/>
      <c r="AD75" s="968"/>
    </row>
    <row r="76" spans="2:30" ht="16.5" customHeight="1" thickBot="1">
      <c r="B76" s="817"/>
      <c r="C76" s="821"/>
      <c r="D76" s="1056"/>
      <c r="E76" s="1057"/>
      <c r="F76" s="832"/>
      <c r="G76" s="838"/>
      <c r="H76" s="1025"/>
      <c r="I76" s="1025"/>
      <c r="N76" s="839"/>
      <c r="O76" s="840"/>
      <c r="P76" s="839"/>
      <c r="Q76" s="839"/>
      <c r="R76" s="1034"/>
      <c r="S76" s="1034"/>
      <c r="T76" s="1034"/>
      <c r="U76" s="1036"/>
      <c r="AC76" s="1036"/>
      <c r="AD76" s="968"/>
    </row>
    <row r="77" spans="2:30" s="1058" customFormat="1" ht="21" thickBot="1" thickTop="1">
      <c r="B77" s="1059"/>
      <c r="C77" s="1060"/>
      <c r="D77" s="1061"/>
      <c r="E77" s="1062"/>
      <c r="F77" s="1063"/>
      <c r="G77" s="1064"/>
      <c r="I77" s="649"/>
      <c r="J77" s="1065" t="s">
        <v>126</v>
      </c>
      <c r="K77" s="1066">
        <f>IF(E73&gt;3*K25,K25*3,E73)</f>
        <v>200.32200000000003</v>
      </c>
      <c r="M77" s="1067"/>
      <c r="N77" s="1068" t="s">
        <v>407</v>
      </c>
      <c r="O77" s="1069"/>
      <c r="P77" s="1067"/>
      <c r="Q77" s="1067"/>
      <c r="R77" s="1070"/>
      <c r="S77" s="1070"/>
      <c r="T77" s="1070"/>
      <c r="U77" s="1071"/>
      <c r="V77" s="649"/>
      <c r="W77" s="649"/>
      <c r="AC77" s="1071"/>
      <c r="AD77" s="1072"/>
    </row>
    <row r="78" spans="2:30" ht="16.5" customHeight="1" thickBot="1" thickTop="1">
      <c r="B78" s="1073"/>
      <c r="C78" s="1074"/>
      <c r="D78" s="1074"/>
      <c r="E78" s="1074"/>
      <c r="F78" s="1074"/>
      <c r="G78" s="1074"/>
      <c r="H78" s="1074"/>
      <c r="I78" s="1074"/>
      <c r="J78" s="1074"/>
      <c r="K78" s="1074"/>
      <c r="L78" s="1074"/>
      <c r="M78" s="1074"/>
      <c r="N78" s="1074"/>
      <c r="O78" s="1074"/>
      <c r="P78" s="1074"/>
      <c r="Q78" s="1074"/>
      <c r="R78" s="1074"/>
      <c r="S78" s="1074"/>
      <c r="T78" s="1074"/>
      <c r="U78" s="1074"/>
      <c r="V78" s="1075"/>
      <c r="W78" s="1075"/>
      <c r="X78" s="1075"/>
      <c r="Y78" s="1075"/>
      <c r="Z78" s="1075"/>
      <c r="AA78" s="1075"/>
      <c r="AB78" s="1075"/>
      <c r="AC78" s="1074"/>
      <c r="AD78" s="1076"/>
    </row>
    <row r="79" spans="2:23" ht="16.5" customHeight="1" thickTop="1">
      <c r="B79" s="813"/>
      <c r="C79" s="1077"/>
      <c r="W79" s="813"/>
    </row>
  </sheetData>
  <sheetProtection password="CC12"/>
  <mergeCells count="39">
    <mergeCell ref="F55:G55"/>
    <mergeCell ref="P55:Q55"/>
    <mergeCell ref="F50:G50"/>
    <mergeCell ref="P50:Q50"/>
    <mergeCell ref="F51:G51"/>
    <mergeCell ref="P51:Q51"/>
    <mergeCell ref="F56:G56"/>
    <mergeCell ref="P56:Q56"/>
    <mergeCell ref="F53:G53"/>
    <mergeCell ref="P53:Q53"/>
    <mergeCell ref="F54:G54"/>
    <mergeCell ref="P54:Q54"/>
    <mergeCell ref="E43:F43"/>
    <mergeCell ref="O43:Q43"/>
    <mergeCell ref="F52:G52"/>
    <mergeCell ref="P52:Q52"/>
    <mergeCell ref="F47:G47"/>
    <mergeCell ref="P47:Q47"/>
    <mergeCell ref="F48:G48"/>
    <mergeCell ref="P48:Q48"/>
    <mergeCell ref="F49:G49"/>
    <mergeCell ref="P49:Q49"/>
    <mergeCell ref="F46:G46"/>
    <mergeCell ref="P46:Q46"/>
    <mergeCell ref="E39:F39"/>
    <mergeCell ref="O39:Q39"/>
    <mergeCell ref="E40:F40"/>
    <mergeCell ref="O40:Q40"/>
    <mergeCell ref="E41:F41"/>
    <mergeCell ref="O41:Q41"/>
    <mergeCell ref="E42:F42"/>
    <mergeCell ref="O42:Q42"/>
    <mergeCell ref="P35:Q35"/>
    <mergeCell ref="E38:F38"/>
    <mergeCell ref="O38:Q38"/>
    <mergeCell ref="P31:Q31"/>
    <mergeCell ref="P32:Q32"/>
    <mergeCell ref="P33:Q33"/>
    <mergeCell ref="P34:Q34"/>
  </mergeCells>
  <printOptions/>
  <pageMargins left="1.09" right="0.1968503937007874" top="0.72" bottom="0.5511811023622047" header="0" footer="0"/>
  <pageSetup horizontalDpi="600" verticalDpi="600" orientation="landscape" paperSize="9" scale="35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79">
    <pageSetUpPr fitToPage="1"/>
  </sheetPr>
  <dimension ref="A1:AG97"/>
  <sheetViews>
    <sheetView zoomScale="60" zoomScaleNormal="60" zoomScalePageLayoutView="0" workbookViewId="0" topLeftCell="A1">
      <selection activeCell="A6" sqref="A6"/>
    </sheetView>
  </sheetViews>
  <sheetFormatPr defaultColWidth="11.421875" defaultRowHeight="12.75"/>
  <cols>
    <col min="1" max="1" width="25.421875" style="1081" customWidth="1"/>
    <col min="2" max="2" width="15.57421875" style="1081" customWidth="1"/>
    <col min="3" max="3" width="4.7109375" style="1081" customWidth="1"/>
    <col min="4" max="4" width="26.57421875" style="1081" customWidth="1"/>
    <col min="5" max="5" width="33.8515625" style="1081" customWidth="1"/>
    <col min="6" max="6" width="15.00390625" style="1081" customWidth="1"/>
    <col min="7" max="7" width="14.7109375" style="1081" customWidth="1"/>
    <col min="8" max="8" width="8.57421875" style="1081" hidden="1" customWidth="1"/>
    <col min="9" max="9" width="11.7109375" style="1081" hidden="1" customWidth="1"/>
    <col min="10" max="11" width="18.7109375" style="1081" customWidth="1"/>
    <col min="12" max="12" width="14.28125" style="1081" customWidth="1"/>
    <col min="13" max="13" width="10.7109375" style="1081" customWidth="1"/>
    <col min="14" max="14" width="9.7109375" style="1081" customWidth="1"/>
    <col min="15" max="15" width="10.57421875" style="1081" customWidth="1"/>
    <col min="16" max="16" width="8.421875" style="1081" customWidth="1"/>
    <col min="17" max="17" width="6.00390625" style="1081" customWidth="1"/>
    <col min="18" max="18" width="12.28125" style="1081" hidden="1" customWidth="1"/>
    <col min="19" max="19" width="13.140625" style="1081" hidden="1" customWidth="1"/>
    <col min="20" max="21" width="5.28125" style="1081" hidden="1" customWidth="1"/>
    <col min="22" max="22" width="12.28125" style="1081" hidden="1" customWidth="1"/>
    <col min="23" max="27" width="5.28125" style="1081" hidden="1" customWidth="1"/>
    <col min="28" max="28" width="9.7109375" style="1081" customWidth="1"/>
    <col min="29" max="29" width="20.421875" style="1081" customWidth="1"/>
    <col min="30" max="30" width="13.7109375" style="1081" customWidth="1"/>
    <col min="31" max="31" width="4.140625" style="1081" customWidth="1"/>
    <col min="32" max="32" width="7.140625" style="1081" customWidth="1"/>
    <col min="33" max="33" width="5.28125" style="1081" customWidth="1"/>
    <col min="34" max="34" width="5.421875" style="1081" customWidth="1"/>
    <col min="35" max="35" width="4.7109375" style="1081" customWidth="1"/>
    <col min="36" max="36" width="5.28125" style="1081" customWidth="1"/>
    <col min="37" max="38" width="13.28125" style="1081" customWidth="1"/>
    <col min="39" max="39" width="6.57421875" style="1081" customWidth="1"/>
    <col min="40" max="40" width="6.421875" style="1081" customWidth="1"/>
    <col min="41" max="44" width="11.421875" style="1081" customWidth="1"/>
    <col min="45" max="45" width="12.7109375" style="1081" customWidth="1"/>
    <col min="46" max="48" width="11.421875" style="1081" customWidth="1"/>
    <col min="49" max="49" width="21.00390625" style="1081" customWidth="1"/>
    <col min="50" max="16384" width="11.421875" style="1081" customWidth="1"/>
  </cols>
  <sheetData>
    <row r="1" spans="1:30" ht="13.5">
      <c r="A1" s="1078"/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  <c r="U1" s="1079"/>
      <c r="V1" s="1079"/>
      <c r="AD1" s="1080"/>
    </row>
    <row r="2" spans="1:23" ht="27" customHeight="1">
      <c r="A2" s="1078"/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079"/>
    </row>
    <row r="3" spans="1:30" s="1085" customFormat="1" ht="30.75">
      <c r="A3" s="1082"/>
      <c r="B3" s="1083" t="str">
        <f>'TOT-0614'!B2</f>
        <v>ANEXO I al Memorándum D.T.E.E. N°         347   / 2015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AB3" s="1084"/>
      <c r="AC3" s="1084"/>
      <c r="AD3" s="1084"/>
    </row>
    <row r="4" spans="1:2" s="1088" customFormat="1" ht="11.25">
      <c r="A4" s="1086" t="s">
        <v>2</v>
      </c>
      <c r="B4" s="1087"/>
    </row>
    <row r="5" spans="1:2" s="1088" customFormat="1" ht="12" thickBot="1">
      <c r="A5" s="1086" t="s">
        <v>3</v>
      </c>
      <c r="B5" s="1086"/>
    </row>
    <row r="6" spans="1:30" ht="16.5" customHeight="1" thickTop="1">
      <c r="A6" s="1079"/>
      <c r="B6" s="1089"/>
      <c r="C6" s="1090"/>
      <c r="D6" s="1090"/>
      <c r="E6" s="1091"/>
      <c r="F6" s="1090"/>
      <c r="G6" s="1090"/>
      <c r="H6" s="1090"/>
      <c r="I6" s="1090"/>
      <c r="J6" s="1090"/>
      <c r="K6" s="1090"/>
      <c r="L6" s="1090"/>
      <c r="M6" s="1090"/>
      <c r="N6" s="1090"/>
      <c r="O6" s="1090"/>
      <c r="P6" s="1090"/>
      <c r="Q6" s="1090"/>
      <c r="R6" s="1090"/>
      <c r="S6" s="1090"/>
      <c r="T6" s="1090"/>
      <c r="U6" s="1090"/>
      <c r="V6" s="1090"/>
      <c r="W6" s="1638"/>
      <c r="X6" s="1638"/>
      <c r="Y6" s="1638"/>
      <c r="Z6" s="1638"/>
      <c r="AA6" s="1638"/>
      <c r="AB6" s="1638"/>
      <c r="AC6" s="1638"/>
      <c r="AD6" s="1092"/>
    </row>
    <row r="7" spans="1:30" ht="20.25">
      <c r="A7" s="1079"/>
      <c r="B7" s="1093"/>
      <c r="C7" s="1094"/>
      <c r="D7" s="1095" t="s">
        <v>85</v>
      </c>
      <c r="E7" s="1094"/>
      <c r="F7" s="1094"/>
      <c r="G7" s="1094"/>
      <c r="H7" s="1094"/>
      <c r="I7" s="1094"/>
      <c r="J7" s="1094"/>
      <c r="K7" s="1094"/>
      <c r="L7" s="1094"/>
      <c r="M7" s="1094"/>
      <c r="N7" s="1094"/>
      <c r="O7" s="1094"/>
      <c r="P7" s="1096"/>
      <c r="Q7" s="1096"/>
      <c r="R7" s="1094"/>
      <c r="S7" s="1094"/>
      <c r="T7" s="1094"/>
      <c r="U7" s="1094"/>
      <c r="V7" s="1094"/>
      <c r="AD7" s="1097"/>
    </row>
    <row r="8" spans="1:30" ht="16.5" customHeight="1">
      <c r="A8" s="1079"/>
      <c r="B8" s="1093"/>
      <c r="C8" s="1094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4"/>
      <c r="U8" s="1094"/>
      <c r="V8" s="1094"/>
      <c r="AD8" s="1097"/>
    </row>
    <row r="9" spans="2:30" s="1098" customFormat="1" ht="20.25">
      <c r="B9" s="1099"/>
      <c r="C9" s="1100"/>
      <c r="D9" s="1095" t="s">
        <v>86</v>
      </c>
      <c r="E9" s="1100"/>
      <c r="F9" s="1100"/>
      <c r="G9" s="1100"/>
      <c r="H9" s="1100"/>
      <c r="N9" s="1100"/>
      <c r="O9" s="1100"/>
      <c r="P9" s="1101"/>
      <c r="Q9" s="1101"/>
      <c r="R9" s="1100"/>
      <c r="S9" s="1100"/>
      <c r="T9" s="1100"/>
      <c r="U9" s="1100"/>
      <c r="V9" s="1100"/>
      <c r="W9" s="1081"/>
      <c r="X9" s="1100"/>
      <c r="Y9" s="1100"/>
      <c r="Z9" s="1100"/>
      <c r="AA9" s="1100"/>
      <c r="AB9" s="1100"/>
      <c r="AC9" s="1081"/>
      <c r="AD9" s="1102"/>
    </row>
    <row r="10" spans="1:30" ht="16.5" customHeight="1">
      <c r="A10" s="1079"/>
      <c r="B10" s="1093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AD10" s="1097"/>
    </row>
    <row r="11" spans="2:30" s="1098" customFormat="1" ht="20.25">
      <c r="B11" s="1099"/>
      <c r="C11" s="1100"/>
      <c r="D11" s="1095" t="s">
        <v>478</v>
      </c>
      <c r="E11" s="1100"/>
      <c r="F11" s="1100"/>
      <c r="G11" s="1100"/>
      <c r="H11" s="1100"/>
      <c r="N11" s="1100"/>
      <c r="O11" s="1100"/>
      <c r="P11" s="1101"/>
      <c r="Q11" s="1101"/>
      <c r="R11" s="1100"/>
      <c r="S11" s="1100"/>
      <c r="T11" s="1100"/>
      <c r="U11" s="1100"/>
      <c r="V11" s="1100"/>
      <c r="W11" s="1081"/>
      <c r="X11" s="1100"/>
      <c r="Y11" s="1100"/>
      <c r="Z11" s="1100"/>
      <c r="AA11" s="1100"/>
      <c r="AB11" s="1100"/>
      <c r="AC11" s="1081"/>
      <c r="AD11" s="1102"/>
    </row>
    <row r="12" spans="1:30" ht="16.5" customHeight="1">
      <c r="A12" s="1079"/>
      <c r="B12" s="1093"/>
      <c r="C12" s="1094"/>
      <c r="D12" s="1094"/>
      <c r="E12" s="1079"/>
      <c r="F12" s="1079"/>
      <c r="G12" s="1079"/>
      <c r="H12" s="1079"/>
      <c r="I12" s="1103"/>
      <c r="J12" s="1103"/>
      <c r="K12" s="1103"/>
      <c r="L12" s="1103"/>
      <c r="M12" s="1103"/>
      <c r="N12" s="1103"/>
      <c r="O12" s="1103"/>
      <c r="P12" s="1103"/>
      <c r="Q12" s="1103"/>
      <c r="R12" s="1094"/>
      <c r="S12" s="1094"/>
      <c r="T12" s="1094"/>
      <c r="U12" s="1094"/>
      <c r="V12" s="1094"/>
      <c r="AD12" s="1097"/>
    </row>
    <row r="13" spans="2:30" s="1098" customFormat="1" ht="19.5">
      <c r="B13" s="1104" t="str">
        <f>'TOT-0614'!B14</f>
        <v>Desde el 01 al 30 de junio de 2014</v>
      </c>
      <c r="C13" s="1105"/>
      <c r="D13" s="1106"/>
      <c r="E13" s="1106"/>
      <c r="F13" s="1106"/>
      <c r="G13" s="1106"/>
      <c r="H13" s="1106"/>
      <c r="I13" s="1107"/>
      <c r="J13" s="1108"/>
      <c r="K13" s="1107"/>
      <c r="L13" s="1107"/>
      <c r="M13" s="1107"/>
      <c r="N13" s="1107"/>
      <c r="O13" s="1107"/>
      <c r="P13" s="1107"/>
      <c r="Q13" s="1107"/>
      <c r="R13" s="1107"/>
      <c r="S13" s="1107"/>
      <c r="T13" s="1107"/>
      <c r="U13" s="1109"/>
      <c r="V13" s="1109"/>
      <c r="W13" s="1081"/>
      <c r="X13" s="1639"/>
      <c r="Y13" s="1639"/>
      <c r="Z13" s="1639"/>
      <c r="AA13" s="1639"/>
      <c r="AB13" s="1109"/>
      <c r="AC13" s="1108"/>
      <c r="AD13" s="1110"/>
    </row>
    <row r="14" spans="1:30" ht="16.5" customHeight="1">
      <c r="A14" s="1079"/>
      <c r="B14" s="1093"/>
      <c r="C14" s="1094"/>
      <c r="D14" s="1094"/>
      <c r="E14" s="1111"/>
      <c r="F14" s="1111"/>
      <c r="G14" s="1094"/>
      <c r="H14" s="1094"/>
      <c r="I14" s="1094"/>
      <c r="J14" s="1112"/>
      <c r="K14" s="1094"/>
      <c r="L14" s="1094"/>
      <c r="M14" s="1094"/>
      <c r="N14" s="1079"/>
      <c r="O14" s="1079"/>
      <c r="P14" s="1094"/>
      <c r="Q14" s="1094"/>
      <c r="R14" s="1094"/>
      <c r="S14" s="1094"/>
      <c r="T14" s="1094"/>
      <c r="U14" s="1094"/>
      <c r="V14" s="1094"/>
      <c r="AD14" s="1097"/>
    </row>
    <row r="15" spans="1:30" ht="16.5" customHeight="1">
      <c r="A15" s="1079"/>
      <c r="B15" s="1093"/>
      <c r="C15" s="1094"/>
      <c r="D15" s="1094"/>
      <c r="E15" s="1111"/>
      <c r="F15" s="1111"/>
      <c r="G15" s="1094"/>
      <c r="H15" s="1094"/>
      <c r="I15" s="1113"/>
      <c r="J15" s="1094"/>
      <c r="K15" s="1114"/>
      <c r="M15" s="1094"/>
      <c r="N15" s="1079"/>
      <c r="O15" s="1079"/>
      <c r="P15" s="1094"/>
      <c r="Q15" s="1094"/>
      <c r="R15" s="1094"/>
      <c r="S15" s="1094"/>
      <c r="T15" s="1094"/>
      <c r="U15" s="1094"/>
      <c r="V15" s="1094"/>
      <c r="AD15" s="1097"/>
    </row>
    <row r="16" spans="1:30" ht="16.5" customHeight="1">
      <c r="A16" s="1079"/>
      <c r="B16" s="1093"/>
      <c r="C16" s="1094"/>
      <c r="D16" s="1094"/>
      <c r="E16" s="1111"/>
      <c r="F16" s="1111"/>
      <c r="G16" s="1094"/>
      <c r="H16" s="1094"/>
      <c r="I16" s="1113"/>
      <c r="J16" s="1094"/>
      <c r="K16" s="1114"/>
      <c r="M16" s="1094"/>
      <c r="N16" s="1079"/>
      <c r="O16" s="1079"/>
      <c r="P16" s="1094"/>
      <c r="Q16" s="1094"/>
      <c r="R16" s="1094"/>
      <c r="S16" s="1094"/>
      <c r="T16" s="1094"/>
      <c r="U16" s="1094"/>
      <c r="V16" s="1094"/>
      <c r="AD16" s="1097"/>
    </row>
    <row r="17" spans="1:30" ht="16.5" customHeight="1">
      <c r="A17" s="1079"/>
      <c r="B17" s="1093"/>
      <c r="C17" s="1115" t="s">
        <v>88</v>
      </c>
      <c r="D17" s="1116" t="s">
        <v>89</v>
      </c>
      <c r="E17" s="1111"/>
      <c r="F17" s="1111"/>
      <c r="G17" s="1094"/>
      <c r="H17" s="1094"/>
      <c r="I17" s="1094"/>
      <c r="J17" s="1112"/>
      <c r="K17" s="1094"/>
      <c r="L17" s="1094"/>
      <c r="M17" s="1094"/>
      <c r="N17" s="1079"/>
      <c r="O17" s="1079"/>
      <c r="P17" s="1094"/>
      <c r="Q17" s="1094"/>
      <c r="R17" s="1094"/>
      <c r="S17" s="1094"/>
      <c r="T17" s="1094"/>
      <c r="U17" s="1094"/>
      <c r="V17" s="1094"/>
      <c r="AD17" s="1097"/>
    </row>
    <row r="18" spans="2:30" s="1117" customFormat="1" ht="16.5" customHeight="1">
      <c r="B18" s="1118"/>
      <c r="C18" s="1119"/>
      <c r="D18" s="1120"/>
      <c r="E18" s="1640"/>
      <c r="F18" s="1147"/>
      <c r="G18" s="1119"/>
      <c r="H18" s="1119"/>
      <c r="I18" s="1119"/>
      <c r="J18" s="1124"/>
      <c r="K18" s="1119"/>
      <c r="L18" s="1119"/>
      <c r="M18" s="1119"/>
      <c r="P18" s="1119"/>
      <c r="Q18" s="1119"/>
      <c r="R18" s="1119"/>
      <c r="S18" s="1119"/>
      <c r="T18" s="1119"/>
      <c r="U18" s="1119"/>
      <c r="V18" s="1119"/>
      <c r="W18" s="1081"/>
      <c r="AD18" s="1126"/>
    </row>
    <row r="19" spans="2:30" s="1117" customFormat="1" ht="16.5" customHeight="1">
      <c r="B19" s="1118"/>
      <c r="C19" s="1119"/>
      <c r="D19" s="1641" t="s">
        <v>90</v>
      </c>
      <c r="F19" s="1129">
        <v>391.631</v>
      </c>
      <c r="G19" s="1641" t="s">
        <v>91</v>
      </c>
      <c r="H19" s="1119"/>
      <c r="I19" s="1119"/>
      <c r="J19" s="1345"/>
      <c r="K19" s="1121" t="s">
        <v>92</v>
      </c>
      <c r="L19" s="1128">
        <v>0.04</v>
      </c>
      <c r="R19" s="1119"/>
      <c r="S19" s="1119"/>
      <c r="T19" s="1119"/>
      <c r="U19" s="1119"/>
      <c r="V19" s="1119"/>
      <c r="W19" s="1081"/>
      <c r="AD19" s="1126"/>
    </row>
    <row r="20" spans="2:30" s="1117" customFormat="1" ht="16.5" customHeight="1">
      <c r="B20" s="1118"/>
      <c r="C20" s="1119"/>
      <c r="D20" s="1641" t="s">
        <v>93</v>
      </c>
      <c r="F20" s="1129">
        <v>1.077</v>
      </c>
      <c r="G20" s="1641" t="s">
        <v>94</v>
      </c>
      <c r="H20" s="1119"/>
      <c r="I20" s="1119"/>
      <c r="J20" s="1119"/>
      <c r="K20" s="1120" t="s">
        <v>95</v>
      </c>
      <c r="L20" s="1119">
        <f>MID(B13,16,2)*24</f>
        <v>720</v>
      </c>
      <c r="M20" s="1119" t="s">
        <v>96</v>
      </c>
      <c r="N20" s="1119"/>
      <c r="O20" s="1119"/>
      <c r="P20" s="1140"/>
      <c r="Q20" s="1119"/>
      <c r="R20" s="1119"/>
      <c r="S20" s="1119"/>
      <c r="T20" s="1119"/>
      <c r="U20" s="1119"/>
      <c r="V20" s="1119"/>
      <c r="W20" s="1081"/>
      <c r="AD20" s="1126"/>
    </row>
    <row r="21" spans="2:30" s="1117" customFormat="1" ht="16.5" customHeight="1">
      <c r="B21" s="1118"/>
      <c r="C21" s="1119"/>
      <c r="D21" s="1641" t="s">
        <v>425</v>
      </c>
      <c r="F21" s="1129">
        <v>170.878</v>
      </c>
      <c r="G21" s="1641" t="s">
        <v>397</v>
      </c>
      <c r="H21" s="1119"/>
      <c r="I21" s="1119"/>
      <c r="J21" s="1119"/>
      <c r="K21" s="1120"/>
      <c r="L21" s="1119"/>
      <c r="M21" s="1119"/>
      <c r="N21" s="1119"/>
      <c r="O21" s="1119"/>
      <c r="P21" s="1140"/>
      <c r="Q21" s="1119"/>
      <c r="R21" s="1119"/>
      <c r="S21" s="1119"/>
      <c r="T21" s="1119"/>
      <c r="U21" s="1119"/>
      <c r="V21" s="1119"/>
      <c r="W21" s="1081"/>
      <c r="AD21" s="1126"/>
    </row>
    <row r="22" spans="2:30" s="1117" customFormat="1" ht="16.5" customHeight="1">
      <c r="B22" s="1118"/>
      <c r="C22" s="1119"/>
      <c r="H22" s="1119"/>
      <c r="I22" s="1119"/>
      <c r="J22" s="1119"/>
      <c r="K22" s="1130"/>
      <c r="L22" s="1131"/>
      <c r="M22" s="1119"/>
      <c r="N22" s="1119"/>
      <c r="O22" s="1119"/>
      <c r="P22" s="1140"/>
      <c r="Q22" s="1119"/>
      <c r="R22" s="1119"/>
      <c r="S22" s="1119"/>
      <c r="T22" s="1119"/>
      <c r="U22" s="1119"/>
      <c r="V22" s="1119"/>
      <c r="W22" s="1081"/>
      <c r="AD22" s="1126"/>
    </row>
    <row r="23" spans="2:30" s="1117" customFormat="1" ht="8.25" customHeight="1">
      <c r="B23" s="1118"/>
      <c r="C23" s="1119"/>
      <c r="D23" s="1119"/>
      <c r="E23" s="1145"/>
      <c r="F23" s="1119"/>
      <c r="G23" s="1119"/>
      <c r="H23" s="1119"/>
      <c r="I23" s="1119"/>
      <c r="J23" s="1119"/>
      <c r="K23" s="1119"/>
      <c r="L23" s="1119"/>
      <c r="M23" s="1119"/>
      <c r="N23" s="1119"/>
      <c r="O23" s="1119"/>
      <c r="P23" s="1119"/>
      <c r="Q23" s="1119"/>
      <c r="R23" s="1119"/>
      <c r="S23" s="1119"/>
      <c r="T23" s="1119"/>
      <c r="U23" s="1119"/>
      <c r="V23" s="1119"/>
      <c r="W23" s="1081"/>
      <c r="AD23" s="1126"/>
    </row>
    <row r="24" spans="1:30" ht="16.5" customHeight="1">
      <c r="A24" s="1079"/>
      <c r="B24" s="1093"/>
      <c r="C24" s="1115" t="s">
        <v>97</v>
      </c>
      <c r="D24" s="1146" t="s">
        <v>398</v>
      </c>
      <c r="I24" s="1094"/>
      <c r="J24" s="1117"/>
      <c r="O24" s="1094"/>
      <c r="P24" s="1094"/>
      <c r="Q24" s="1094"/>
      <c r="R24" s="1094"/>
      <c r="S24" s="1094"/>
      <c r="T24" s="1094"/>
      <c r="V24" s="1094"/>
      <c r="X24" s="1094"/>
      <c r="Y24" s="1094"/>
      <c r="Z24" s="1094"/>
      <c r="AA24" s="1094"/>
      <c r="AB24" s="1094"/>
      <c r="AC24" s="1094"/>
      <c r="AD24" s="1097"/>
    </row>
    <row r="25" spans="1:30" ht="10.5" customHeight="1" thickBot="1">
      <c r="A25" s="1079"/>
      <c r="B25" s="1093"/>
      <c r="C25" s="1111"/>
      <c r="D25" s="1146"/>
      <c r="I25" s="1094"/>
      <c r="J25" s="1117"/>
      <c r="O25" s="1094"/>
      <c r="P25" s="1094"/>
      <c r="Q25" s="1094"/>
      <c r="R25" s="1094"/>
      <c r="S25" s="1094"/>
      <c r="T25" s="1094"/>
      <c r="V25" s="1094"/>
      <c r="X25" s="1094"/>
      <c r="Y25" s="1094"/>
      <c r="Z25" s="1094"/>
      <c r="AA25" s="1094"/>
      <c r="AB25" s="1094"/>
      <c r="AC25" s="1094"/>
      <c r="AD25" s="1097"/>
    </row>
    <row r="26" spans="2:30" s="1117" customFormat="1" ht="16.5" customHeight="1" thickBot="1" thickTop="1">
      <c r="B26" s="1118"/>
      <c r="C26" s="1147"/>
      <c r="D26" s="1081"/>
      <c r="E26" s="1081"/>
      <c r="F26" s="1081"/>
      <c r="G26" s="1081"/>
      <c r="H26" s="1081"/>
      <c r="I26" s="1081"/>
      <c r="J26" s="1642" t="s">
        <v>98</v>
      </c>
      <c r="K26" s="1643">
        <f>L19*AC91</f>
        <v>75994.85646079997</v>
      </c>
      <c r="L26" s="1081"/>
      <c r="S26" s="1081"/>
      <c r="T26" s="1081"/>
      <c r="U26" s="1081"/>
      <c r="W26" s="1081"/>
      <c r="AD26" s="1126"/>
    </row>
    <row r="27" spans="2:30" s="1117" customFormat="1" ht="11.25" customHeight="1" thickTop="1">
      <c r="B27" s="1118"/>
      <c r="C27" s="1147"/>
      <c r="D27" s="1119"/>
      <c r="E27" s="1145"/>
      <c r="F27" s="1119"/>
      <c r="G27" s="1119"/>
      <c r="H27" s="1119"/>
      <c r="I27" s="1119"/>
      <c r="J27" s="1119"/>
      <c r="K27" s="1119"/>
      <c r="L27" s="1119"/>
      <c r="M27" s="1119"/>
      <c r="N27" s="1119"/>
      <c r="O27" s="1119"/>
      <c r="P27" s="1119"/>
      <c r="Q27" s="1119"/>
      <c r="R27" s="1119"/>
      <c r="S27" s="1119"/>
      <c r="T27" s="1119"/>
      <c r="U27" s="1081"/>
      <c r="W27" s="1081"/>
      <c r="AD27" s="1126"/>
    </row>
    <row r="28" spans="1:30" ht="16.5" customHeight="1">
      <c r="A28" s="1079"/>
      <c r="B28" s="1093"/>
      <c r="C28" s="1115" t="s">
        <v>99</v>
      </c>
      <c r="D28" s="1146" t="s">
        <v>318</v>
      </c>
      <c r="E28" s="1150"/>
      <c r="F28" s="1094"/>
      <c r="G28" s="1094"/>
      <c r="H28" s="1094"/>
      <c r="I28" s="1094"/>
      <c r="J28" s="1094"/>
      <c r="K28" s="1094"/>
      <c r="L28" s="1094"/>
      <c r="M28" s="1094"/>
      <c r="N28" s="1094"/>
      <c r="O28" s="1094"/>
      <c r="P28" s="1094"/>
      <c r="Q28" s="1094"/>
      <c r="R28" s="1094"/>
      <c r="S28" s="1094"/>
      <c r="T28" s="1094"/>
      <c r="U28" s="1094"/>
      <c r="V28" s="1094"/>
      <c r="AD28" s="1097"/>
    </row>
    <row r="29" spans="1:30" ht="21.75" customHeight="1" thickBot="1">
      <c r="A29" s="1079"/>
      <c r="B29" s="1093"/>
      <c r="C29" s="1094"/>
      <c r="D29" s="1094"/>
      <c r="E29" s="1150"/>
      <c r="F29" s="1094"/>
      <c r="G29" s="1094"/>
      <c r="H29" s="1094"/>
      <c r="I29" s="1094"/>
      <c r="J29" s="1094"/>
      <c r="K29" s="1094"/>
      <c r="L29" s="1094"/>
      <c r="M29" s="1094"/>
      <c r="N29" s="1094"/>
      <c r="O29" s="1094"/>
      <c r="P29" s="1094"/>
      <c r="Q29" s="1094"/>
      <c r="R29" s="1094"/>
      <c r="S29" s="1094"/>
      <c r="T29" s="1094"/>
      <c r="U29" s="1094"/>
      <c r="V29" s="1094"/>
      <c r="AD29" s="1097"/>
    </row>
    <row r="30" spans="2:31" s="1079" customFormat="1" ht="33.75" customHeight="1" thickBot="1" thickTop="1">
      <c r="B30" s="1093"/>
      <c r="C30" s="1250" t="s">
        <v>29</v>
      </c>
      <c r="D30" s="1644" t="s">
        <v>5</v>
      </c>
      <c r="E30" s="1645" t="s">
        <v>32</v>
      </c>
      <c r="F30" s="1646" t="s">
        <v>33</v>
      </c>
      <c r="G30" s="1647" t="s">
        <v>34</v>
      </c>
      <c r="H30" s="1648" t="s">
        <v>35</v>
      </c>
      <c r="I30" s="1256" t="s">
        <v>36</v>
      </c>
      <c r="J30" s="1253" t="s">
        <v>37</v>
      </c>
      <c r="K30" s="1252" t="s">
        <v>38</v>
      </c>
      <c r="L30" s="1166" t="s">
        <v>39</v>
      </c>
      <c r="M30" s="1251" t="s">
        <v>40</v>
      </c>
      <c r="N30" s="1166" t="s">
        <v>100</v>
      </c>
      <c r="O30" s="1166" t="s">
        <v>41</v>
      </c>
      <c r="P30" s="1252" t="s">
        <v>42</v>
      </c>
      <c r="Q30" s="1253" t="s">
        <v>43</v>
      </c>
      <c r="R30" s="1649" t="s">
        <v>44</v>
      </c>
      <c r="S30" s="1650" t="s">
        <v>45</v>
      </c>
      <c r="T30" s="1651" t="s">
        <v>53</v>
      </c>
      <c r="U30" s="1652"/>
      <c r="V30" s="1653"/>
      <c r="W30" s="1654" t="s">
        <v>101</v>
      </c>
      <c r="X30" s="1655"/>
      <c r="Y30" s="1656"/>
      <c r="Z30" s="1657" t="s">
        <v>48</v>
      </c>
      <c r="AA30" s="1658" t="s">
        <v>102</v>
      </c>
      <c r="AB30" s="1659" t="s">
        <v>50</v>
      </c>
      <c r="AC30" s="1164" t="s">
        <v>51</v>
      </c>
      <c r="AD30" s="1660"/>
      <c r="AE30" s="1081"/>
    </row>
    <row r="31" spans="1:30" ht="16.5" customHeight="1" thickTop="1">
      <c r="A31" s="1079"/>
      <c r="B31" s="1093"/>
      <c r="C31" s="1262"/>
      <c r="D31" s="1661"/>
      <c r="E31" s="1662"/>
      <c r="F31" s="1663"/>
      <c r="G31" s="1664"/>
      <c r="H31" s="1665"/>
      <c r="I31" s="1666"/>
      <c r="J31" s="1667"/>
      <c r="K31" s="1668"/>
      <c r="L31" s="1262"/>
      <c r="M31" s="1262"/>
      <c r="N31" s="1669"/>
      <c r="O31" s="1669"/>
      <c r="P31" s="1262"/>
      <c r="Q31" s="1670"/>
      <c r="R31" s="1671"/>
      <c r="S31" s="1672"/>
      <c r="T31" s="1673"/>
      <c r="U31" s="1674"/>
      <c r="V31" s="1675"/>
      <c r="W31" s="1676"/>
      <c r="X31" s="1677"/>
      <c r="Y31" s="1678"/>
      <c r="Z31" s="1679"/>
      <c r="AA31" s="1680"/>
      <c r="AB31" s="1681"/>
      <c r="AC31" s="1682"/>
      <c r="AD31" s="1097"/>
    </row>
    <row r="32" spans="1:30" ht="16.5" customHeight="1">
      <c r="A32" s="1079"/>
      <c r="B32" s="1093"/>
      <c r="C32" s="873" t="s">
        <v>103</v>
      </c>
      <c r="D32" s="1262"/>
      <c r="E32" s="1683"/>
      <c r="F32" s="1684"/>
      <c r="G32" s="1685"/>
      <c r="H32" s="1686">
        <f>IF(G32="A",200,IF(G32="B",60,20))</f>
        <v>20</v>
      </c>
      <c r="I32" s="1687">
        <f>IF(F32&gt;100,F32,100)*$F$19/100</f>
        <v>391.631</v>
      </c>
      <c r="J32" s="1688"/>
      <c r="K32" s="1689"/>
      <c r="L32" s="1690">
        <f>IF(D32="","",(K32-J32)*24)</f>
      </c>
      <c r="M32" s="1272">
        <f>IF(D32="","",ROUND((K32-J32)*24*60,0))</f>
      </c>
      <c r="N32" s="1288"/>
      <c r="O32" s="1691">
        <f>IF(D32="","","--")</f>
      </c>
      <c r="P32" s="1692">
        <f>IF(D32="","","NO")</f>
      </c>
      <c r="Q32" s="1692">
        <f>IF(D32="","",IF(OR(N32="P",N32="RP"),"--","NO"))</f>
      </c>
      <c r="R32" s="1693" t="str">
        <f>IF(N32="P",+I32*H32*ROUND(M32/60,2)/100,"--")</f>
        <v>--</v>
      </c>
      <c r="S32" s="1694" t="str">
        <f>IF(N32="RP",I32*H32*ROUND(M32/60,2)*0.01*O32/100,"--")</f>
        <v>--</v>
      </c>
      <c r="T32" s="1695" t="str">
        <f>IF(AND(N32="F",Q32="NO"),IF(P32="SI",1.2,1)*I32*H32,"--")</f>
        <v>--</v>
      </c>
      <c r="U32" s="1696" t="str">
        <f>IF(AND(M32&gt;10,N32="F"),IF(M32&lt;=300,ROUND(M32/60,2),5)*I32*H32*IF(P32="SI",1.2,1),"--")</f>
        <v>--</v>
      </c>
      <c r="V32" s="1697" t="str">
        <f>IF(AND(N32="F",M32&gt;300),IF(P32="SI",1.2,1)*(ROUND(M32/60,2)-5)*I32*H32*0.1,"--")</f>
        <v>--</v>
      </c>
      <c r="W32" s="1698" t="str">
        <f>IF(AND(N32="R",Q32="NO"),IF(P32="SI",1.2,1)*I32*H32*O32/100,"--")</f>
        <v>--</v>
      </c>
      <c r="X32" s="1699" t="str">
        <f>IF(AND(M32&gt;10,N32="R"),IF(M32&lt;=300,ROUND(M32/60,2),5)*I32*H32*O32/100*IF(P32="SI",1.2,1),"--")</f>
        <v>--</v>
      </c>
      <c r="Y32" s="1700" t="str">
        <f>IF(AND(N32="R",M32&gt;300),IF(P32="SI",1.2,1)*(ROUND(M32/60,2)-5)*I32*H32*O32/100*0.1,"--")</f>
        <v>--</v>
      </c>
      <c r="Z32" s="1701" t="str">
        <f>IF(N32="RF",IF(P32="SI",1.2,1)*ROUND(M32/60,2)*I32*H32*0.1,"--")</f>
        <v>--</v>
      </c>
      <c r="AA32" s="1702" t="str">
        <f>IF(N32="RR",IF(P32="SI",1.2,1)*ROUND(M32/60,2)*I32*H32*O32/100*0.1,"--")</f>
        <v>--</v>
      </c>
      <c r="AB32" s="1703">
        <f>IF(D32="","","SI")</f>
      </c>
      <c r="AC32" s="1704">
        <f>IF(D32="","",SUM(R32:AA32)*IF(AB32="SI",1,2))</f>
      </c>
      <c r="AD32" s="1097"/>
    </row>
    <row r="33" spans="1:30" ht="16.5" customHeight="1">
      <c r="A33" s="1079"/>
      <c r="B33" s="1093"/>
      <c r="C33" s="873" t="s">
        <v>104</v>
      </c>
      <c r="D33" s="1262"/>
      <c r="E33" s="1683"/>
      <c r="F33" s="1684"/>
      <c r="G33" s="1685"/>
      <c r="H33" s="1686">
        <f>IF(G33="A",200,IF(G33="B",60,20))</f>
        <v>20</v>
      </c>
      <c r="I33" s="1687">
        <f>IF(F33&gt;100,F33,100)*$F$19/100</f>
        <v>391.631</v>
      </c>
      <c r="J33" s="1688"/>
      <c r="K33" s="1689"/>
      <c r="L33" s="1690">
        <f>IF(D33="","",(K33-J33)*24)</f>
      </c>
      <c r="M33" s="1272">
        <f>IF(D33="","",ROUND((K33-J33)*24*60,0))</f>
      </c>
      <c r="N33" s="1288"/>
      <c r="O33" s="1691">
        <f>IF(D33="","","--")</f>
      </c>
      <c r="P33" s="1692">
        <f>IF(D33="","","NO")</f>
      </c>
      <c r="Q33" s="1692">
        <f>IF(D33="","",IF(OR(N33="P",N33="RP"),"--","NO"))</f>
      </c>
      <c r="R33" s="1693" t="str">
        <f>IF(N33="P",+I33*H33*ROUND(M33/60,2)/100,"--")</f>
        <v>--</v>
      </c>
      <c r="S33" s="1694" t="str">
        <f>IF(N33="RP",I33*H33*ROUND(M33/60,2)*0.01*O33/100,"--")</f>
        <v>--</v>
      </c>
      <c r="T33" s="1695" t="str">
        <f>IF(AND(N33="F",Q33="NO"),IF(P33="SI",1.2,1)*I33*H33,"--")</f>
        <v>--</v>
      </c>
      <c r="U33" s="1696" t="str">
        <f>IF(AND(M33&gt;10,N33="F"),IF(M33&lt;=300,ROUND(M33/60,2),5)*I33*H33*IF(P33="SI",1.2,1),"--")</f>
        <v>--</v>
      </c>
      <c r="V33" s="1697" t="str">
        <f>IF(AND(N33="F",M33&gt;300),IF(P33="SI",1.2,1)*(ROUND(M33/60,2)-5)*I33*H33*0.1,"--")</f>
        <v>--</v>
      </c>
      <c r="W33" s="1698" t="str">
        <f>IF(AND(N33="R",Q33="NO"),IF(P33="SI",1.2,1)*I33*H33*O33/100,"--")</f>
        <v>--</v>
      </c>
      <c r="X33" s="1699" t="str">
        <f>IF(AND(M33&gt;10,N33="R"),IF(M33&lt;=300,ROUND(M33/60,2),5)*I33*H33*O33/100*IF(P33="SI",1.2,1),"--")</f>
        <v>--</v>
      </c>
      <c r="Y33" s="1700" t="str">
        <f>IF(AND(N33="R",M33&gt;300),IF(P33="SI",1.2,1)*(ROUND(M33/60,2)-5)*I33*H33*O33/100*0.1,"--")</f>
        <v>--</v>
      </c>
      <c r="Z33" s="1701" t="str">
        <f>IF(N33="RF",IF(P33="SI",1.2,1)*ROUND(M33/60,2)*I33*H33*0.1,"--")</f>
        <v>--</v>
      </c>
      <c r="AA33" s="1702" t="str">
        <f>IF(N33="RR",IF(P33="SI",1.2,1)*ROUND(M33/60,2)*I33*H33*O33/100*0.1,"--")</f>
        <v>--</v>
      </c>
      <c r="AB33" s="1703">
        <f>IF(D33="","","SI")</f>
      </c>
      <c r="AC33" s="1704">
        <f>IF(D33="","",SUM(R33:AA33)*IF(AB33="SI",1,2))</f>
      </c>
      <c r="AD33" s="1097"/>
    </row>
    <row r="34" spans="1:30" ht="16.5" customHeight="1">
      <c r="A34" s="1079"/>
      <c r="B34" s="1093"/>
      <c r="C34" s="873" t="s">
        <v>105</v>
      </c>
      <c r="D34" s="1284"/>
      <c r="E34" s="1683"/>
      <c r="F34" s="1684"/>
      <c r="G34" s="1685"/>
      <c r="H34" s="1686">
        <f>IF(G34="A",200,IF(G34="B",60,20))</f>
        <v>20</v>
      </c>
      <c r="I34" s="1687">
        <f>IF(F34&gt;100,F34,100)*$F$19/100</f>
        <v>391.631</v>
      </c>
      <c r="J34" s="1688"/>
      <c r="K34" s="1689"/>
      <c r="L34" s="1690">
        <f>IF(D34="","",(K34-J34)*24)</f>
      </c>
      <c r="M34" s="1272">
        <f>IF(D34="","",ROUND((K34-J34)*24*60,0))</f>
      </c>
      <c r="N34" s="1288"/>
      <c r="O34" s="1691">
        <f>IF(D34="","","--")</f>
      </c>
      <c r="P34" s="1692">
        <f>IF(D34="","","NO")</f>
      </c>
      <c r="Q34" s="1692">
        <f>IF(D34="","",IF(OR(N34="P",N34="RP"),"--","NO"))</f>
      </c>
      <c r="R34" s="1693" t="str">
        <f>IF(N34="P",+I34*H34*ROUND(M34/60,2)/100,"--")</f>
        <v>--</v>
      </c>
      <c r="S34" s="1694" t="str">
        <f>IF(N34="RP",I34*H34*ROUND(M34/60,2)*0.01*O34/100,"--")</f>
        <v>--</v>
      </c>
      <c r="T34" s="1695" t="str">
        <f>IF(AND(N34="F",Q34="NO"),IF(P34="SI",1.2,1)*I34*H34,"--")</f>
        <v>--</v>
      </c>
      <c r="U34" s="1696" t="str">
        <f>IF(AND(M34&gt;10,N34="F"),IF(M34&lt;=300,ROUND(M34/60,2),5)*I34*H34*IF(P34="SI",1.2,1),"--")</f>
        <v>--</v>
      </c>
      <c r="V34" s="1697" t="str">
        <f>IF(AND(N34="F",M34&gt;300),IF(P34="SI",1.2,1)*(ROUND(M34/60,2)-5)*I34*H34*0.1,"--")</f>
        <v>--</v>
      </c>
      <c r="W34" s="1698" t="str">
        <f>IF(AND(N34="R",Q34="NO"),IF(P34="SI",1.2,1)*I34*H34*O34/100,"--")</f>
        <v>--</v>
      </c>
      <c r="X34" s="1699" t="str">
        <f>IF(AND(M34&gt;10,N34="R"),IF(M34&lt;=300,ROUND(M34/60,2),5)*I34*H34*O34/100*IF(P34="SI",1.2,1),"--")</f>
        <v>--</v>
      </c>
      <c r="Y34" s="1700" t="str">
        <f>IF(AND(N34="R",M34&gt;300),IF(P34="SI",1.2,1)*(ROUND(M34/60,2)-5)*I34*H34*O34/100*0.1,"--")</f>
        <v>--</v>
      </c>
      <c r="Z34" s="1701" t="str">
        <f>IF(N34="RF",IF(P34="SI",1.2,1)*ROUND(M34/60,2)*I34*H34*0.1,"--")</f>
        <v>--</v>
      </c>
      <c r="AA34" s="1702" t="str">
        <f>IF(N34="RR",IF(P34="SI",1.2,1)*ROUND(M34/60,2)*I34*H34*O34/100*0.1,"--")</f>
        <v>--</v>
      </c>
      <c r="AB34" s="1703">
        <f>IF(D34="","","SI")</f>
      </c>
      <c r="AC34" s="1704">
        <f>IF(D34="","",SUM(R34:AA34)*IF(AB34="SI",1,2))</f>
      </c>
      <c r="AD34" s="1097"/>
    </row>
    <row r="35" spans="1:30" ht="16.5" customHeight="1">
      <c r="A35" s="1079"/>
      <c r="B35" s="1093"/>
      <c r="C35" s="873" t="s">
        <v>106</v>
      </c>
      <c r="D35" s="1705"/>
      <c r="E35" s="1683"/>
      <c r="F35" s="1684"/>
      <c r="G35" s="1685"/>
      <c r="H35" s="1686">
        <f>IF(G35="A",200,IF(G35="B",60,20))</f>
        <v>20</v>
      </c>
      <c r="I35" s="1687">
        <f>IF(F35&gt;100,F35,100)*$F$19/100</f>
        <v>391.631</v>
      </c>
      <c r="J35" s="1688"/>
      <c r="K35" s="1689"/>
      <c r="L35" s="1690">
        <f>IF(D35="","",(K35-J35)*24)</f>
      </c>
      <c r="M35" s="1272">
        <f>IF(D35="","",ROUND((K35-J35)*24*60,0))</f>
      </c>
      <c r="N35" s="1288"/>
      <c r="O35" s="1691">
        <f>IF(D35="","","--")</f>
      </c>
      <c r="P35" s="1692">
        <f>IF(D35="","","NO")</f>
      </c>
      <c r="Q35" s="1692">
        <f>IF(D35="","",IF(OR(N35="P",N35="RP"),"--","NO"))</f>
      </c>
      <c r="R35" s="1693" t="str">
        <f>IF(N35="P",+I35*H35*ROUND(M35/60,2)/100,"--")</f>
        <v>--</v>
      </c>
      <c r="S35" s="1694" t="str">
        <f>IF(N35="RP",I35*H35*ROUND(M35/60,2)*0.01*O35/100,"--")</f>
        <v>--</v>
      </c>
      <c r="T35" s="1695" t="str">
        <f>IF(AND(N35="F",Q35="NO"),IF(P35="SI",1.2,1)*I35*H35,"--")</f>
        <v>--</v>
      </c>
      <c r="U35" s="1696" t="str">
        <f>IF(AND(M35&gt;10,N35="F"),IF(M35&lt;=300,ROUND(M35/60,2),5)*I35*H35*IF(P35="SI",1.2,1),"--")</f>
        <v>--</v>
      </c>
      <c r="V35" s="1697" t="str">
        <f>IF(AND(N35="F",M35&gt;300),IF(P35="SI",1.2,1)*(ROUND(M35/60,2)-5)*I35*H35*0.1,"--")</f>
        <v>--</v>
      </c>
      <c r="W35" s="1698" t="str">
        <f>IF(AND(N35="R",Q35="NO"),IF(P35="SI",1.2,1)*I35*H35*O35/100,"--")</f>
        <v>--</v>
      </c>
      <c r="X35" s="1699" t="str">
        <f>IF(AND(M35&gt;10,N35="R"),IF(M35&lt;=300,ROUND(M35/60,2),5)*I35*H35*O35/100*IF(P35="SI",1.2,1),"--")</f>
        <v>--</v>
      </c>
      <c r="Y35" s="1700" t="str">
        <f>IF(AND(N35="R",M35&gt;300),IF(P35="SI",1.2,1)*(ROUND(M35/60,2)-5)*I35*H35*O35/100*0.1,"--")</f>
        <v>--</v>
      </c>
      <c r="Z35" s="1701" t="str">
        <f>IF(N35="RF",IF(P35="SI",1.2,1)*ROUND(M35/60,2)*I35*H35*0.1,"--")</f>
        <v>--</v>
      </c>
      <c r="AA35" s="1702" t="str">
        <f>IF(N35="RR",IF(P35="SI",1.2,1)*ROUND(M35/60,2)*I35*H35*O35/100*0.1,"--")</f>
        <v>--</v>
      </c>
      <c r="AB35" s="1703">
        <f>IF(D35="","","SI")</f>
      </c>
      <c r="AC35" s="1704">
        <f>IF(D35="","",SUM(R35:AA35)*IF(AB35="SI",1,2))</f>
      </c>
      <c r="AD35" s="1097"/>
    </row>
    <row r="36" spans="1:30" ht="16.5" customHeight="1">
      <c r="A36" s="1079"/>
      <c r="B36" s="1093"/>
      <c r="C36" s="873" t="s">
        <v>107</v>
      </c>
      <c r="D36" s="1262"/>
      <c r="E36" s="1683"/>
      <c r="F36" s="1684"/>
      <c r="G36" s="1685"/>
      <c r="H36" s="1686"/>
      <c r="I36" s="1687"/>
      <c r="J36" s="1688"/>
      <c r="K36" s="1689"/>
      <c r="L36" s="1690">
        <f>IF(D36="","",(K36-J36)*24)</f>
      </c>
      <c r="M36" s="1272">
        <f>IF(D36="","",ROUND((K36-J36)*24*60,0))</f>
      </c>
      <c r="N36" s="1288"/>
      <c r="O36" s="1691">
        <f>IF(D36="","","--")</f>
      </c>
      <c r="P36" s="1692">
        <f>IF(D36="","","NO")</f>
      </c>
      <c r="Q36" s="1692">
        <f>IF(D36="","",IF(OR(N36="P",N36="RP"),"--","NO"))</f>
      </c>
      <c r="R36" s="1693" t="str">
        <f>IF(N36="P",+I36*H36*ROUND(M36/60,2)/100,"--")</f>
        <v>--</v>
      </c>
      <c r="S36" s="1694" t="str">
        <f>IF(N36="RP",I36*H36*ROUND(M36/60,2)*0.01*O36/100,"--")</f>
        <v>--</v>
      </c>
      <c r="T36" s="1695" t="str">
        <f>IF(AND(N36="F",Q36="NO"),IF(P36="SI",1.2,1)*I36*H36,"--")</f>
        <v>--</v>
      </c>
      <c r="U36" s="1696" t="str">
        <f>IF(AND(M36&gt;10,N36="F"),IF(M36&lt;=300,ROUND(M36/60,2),5)*I36*H36*IF(P36="SI",1.2,1),"--")</f>
        <v>--</v>
      </c>
      <c r="V36" s="1697" t="str">
        <f>IF(AND(N36="F",M36&gt;300),IF(P36="SI",1.2,1)*(ROUND(M36/60,2)-5)*I36*H36*0.1,"--")</f>
        <v>--</v>
      </c>
      <c r="W36" s="1698" t="str">
        <f>IF(AND(N36="R",Q36="NO"),IF(P36="SI",1.2,1)*I36*H36*O36/100,"--")</f>
        <v>--</v>
      </c>
      <c r="X36" s="1699" t="str">
        <f>IF(AND(M36&gt;10,N36="R"),IF(M36&lt;=300,ROUND(M36/60,2),5)*I36*H36*O36/100*IF(P36="SI",1.2,1),"--")</f>
        <v>--</v>
      </c>
      <c r="Y36" s="1700" t="str">
        <f>IF(AND(N36="R",M36&gt;300),IF(P36="SI",1.2,1)*(ROUND(M36/60,2)-5)*I36*H36*O36/100*0.1,"--")</f>
        <v>--</v>
      </c>
      <c r="Z36" s="1701" t="str">
        <f>IF(N36="RF",IF(P36="SI",1.2,1)*ROUND(M36/60,2)*I36*H36*0.1,"--")</f>
        <v>--</v>
      </c>
      <c r="AA36" s="1702" t="str">
        <f>IF(N36="RR",IF(P36="SI",1.2,1)*ROUND(M36/60,2)*I36*H36*O36/100*0.1,"--")</f>
        <v>--</v>
      </c>
      <c r="AB36" s="1703">
        <f>IF(D36="","","SI")</f>
      </c>
      <c r="AC36" s="1704">
        <f>IF(D36="","",SUM(R36:AA36)*IF(AB36="SI",1,2))</f>
      </c>
      <c r="AD36" s="1097"/>
    </row>
    <row r="37" spans="1:30" ht="16.5" customHeight="1" thickBot="1">
      <c r="A37" s="1117"/>
      <c r="B37" s="1093"/>
      <c r="C37" s="1213"/>
      <c r="D37" s="1706"/>
      <c r="E37" s="1707"/>
      <c r="F37" s="1708"/>
      <c r="G37" s="1709"/>
      <c r="H37" s="1710"/>
      <c r="I37" s="1711"/>
      <c r="J37" s="1712"/>
      <c r="K37" s="1712"/>
      <c r="L37" s="1224"/>
      <c r="M37" s="1224"/>
      <c r="N37" s="1224"/>
      <c r="O37" s="1713"/>
      <c r="P37" s="1224"/>
      <c r="Q37" s="1224"/>
      <c r="R37" s="1714"/>
      <c r="S37" s="1715"/>
      <c r="T37" s="1716"/>
      <c r="U37" s="1717"/>
      <c r="V37" s="1718"/>
      <c r="W37" s="1719"/>
      <c r="X37" s="1720"/>
      <c r="Y37" s="1721"/>
      <c r="Z37" s="1722"/>
      <c r="AA37" s="1723"/>
      <c r="AB37" s="1724"/>
      <c r="AC37" s="1725"/>
      <c r="AD37" s="1158"/>
    </row>
    <row r="38" spans="1:30" ht="16.5" customHeight="1" thickBot="1" thickTop="1">
      <c r="A38" s="1117"/>
      <c r="B38" s="1093"/>
      <c r="C38" s="1147"/>
      <c r="D38" s="1147"/>
      <c r="E38" s="1151"/>
      <c r="F38" s="1145"/>
      <c r="G38" s="1152"/>
      <c r="H38" s="1152"/>
      <c r="I38" s="1153"/>
      <c r="J38" s="1153"/>
      <c r="K38" s="1153"/>
      <c r="L38" s="1153"/>
      <c r="M38" s="1153"/>
      <c r="N38" s="1153"/>
      <c r="O38" s="1154"/>
      <c r="P38" s="1153"/>
      <c r="Q38" s="1153"/>
      <c r="R38" s="1726">
        <f aca="true" t="shared" si="0" ref="R38:AA38">SUM(R31:R37)</f>
        <v>0</v>
      </c>
      <c r="S38" s="1727">
        <f t="shared" si="0"/>
        <v>0</v>
      </c>
      <c r="T38" s="1728">
        <f t="shared" si="0"/>
        <v>0</v>
      </c>
      <c r="U38" s="1728">
        <f t="shared" si="0"/>
        <v>0</v>
      </c>
      <c r="V38" s="1728">
        <f t="shared" si="0"/>
        <v>0</v>
      </c>
      <c r="W38" s="1729">
        <f t="shared" si="0"/>
        <v>0</v>
      </c>
      <c r="X38" s="1729">
        <f t="shared" si="0"/>
        <v>0</v>
      </c>
      <c r="Y38" s="1729">
        <f t="shared" si="0"/>
        <v>0</v>
      </c>
      <c r="Z38" s="1730">
        <f t="shared" si="0"/>
        <v>0</v>
      </c>
      <c r="AA38" s="1731">
        <f t="shared" si="0"/>
        <v>0</v>
      </c>
      <c r="AB38" s="1732"/>
      <c r="AC38" s="1733">
        <f>SUM(AC31:AC37)</f>
        <v>0</v>
      </c>
      <c r="AD38" s="1158"/>
    </row>
    <row r="39" spans="1:30" ht="13.5" customHeight="1" thickBot="1" thickTop="1">
      <c r="A39" s="1117"/>
      <c r="B39" s="1093"/>
      <c r="C39" s="1147"/>
      <c r="D39" s="1147"/>
      <c r="E39" s="1151"/>
      <c r="F39" s="1145"/>
      <c r="G39" s="1152"/>
      <c r="H39" s="1152"/>
      <c r="I39" s="1153"/>
      <c r="J39" s="1153"/>
      <c r="K39" s="1153"/>
      <c r="L39" s="1153"/>
      <c r="M39" s="1153"/>
      <c r="N39" s="1153"/>
      <c r="O39" s="1154"/>
      <c r="P39" s="1153"/>
      <c r="Q39" s="1153"/>
      <c r="R39" s="1734"/>
      <c r="S39" s="1735"/>
      <c r="T39" s="1736"/>
      <c r="U39" s="1736"/>
      <c r="V39" s="1736"/>
      <c r="W39" s="1734"/>
      <c r="X39" s="1734"/>
      <c r="Y39" s="1734"/>
      <c r="Z39" s="1734"/>
      <c r="AA39" s="1734"/>
      <c r="AB39" s="1352"/>
      <c r="AC39" s="1351"/>
      <c r="AD39" s="1158"/>
    </row>
    <row r="40" spans="1:33" s="1079" customFormat="1" ht="33.75" customHeight="1" thickBot="1" thickTop="1">
      <c r="A40" s="1078"/>
      <c r="B40" s="1159"/>
      <c r="C40" s="1160" t="s">
        <v>29</v>
      </c>
      <c r="D40" s="1161" t="s">
        <v>60</v>
      </c>
      <c r="E40" s="1162" t="s">
        <v>61</v>
      </c>
      <c r="F40" s="1163" t="s">
        <v>62</v>
      </c>
      <c r="G40" s="1164" t="s">
        <v>32</v>
      </c>
      <c r="H40" s="1165" t="s">
        <v>36</v>
      </c>
      <c r="I40" s="1737"/>
      <c r="J40" s="1162" t="s">
        <v>37</v>
      </c>
      <c r="K40" s="1162" t="s">
        <v>38</v>
      </c>
      <c r="L40" s="1161" t="s">
        <v>63</v>
      </c>
      <c r="M40" s="1161" t="s">
        <v>40</v>
      </c>
      <c r="N40" s="1166" t="s">
        <v>111</v>
      </c>
      <c r="O40" s="1162" t="s">
        <v>43</v>
      </c>
      <c r="P40" s="1167" t="s">
        <v>64</v>
      </c>
      <c r="Q40" s="1738"/>
      <c r="R40" s="1165" t="s">
        <v>113</v>
      </c>
      <c r="S40" s="1168" t="s">
        <v>44</v>
      </c>
      <c r="T40" s="1169" t="s">
        <v>114</v>
      </c>
      <c r="U40" s="1170"/>
      <c r="V40" s="1171" t="s">
        <v>48</v>
      </c>
      <c r="W40" s="1739"/>
      <c r="X40" s="1740"/>
      <c r="Y40" s="1740"/>
      <c r="Z40" s="1740"/>
      <c r="AA40" s="1741"/>
      <c r="AB40" s="1172" t="s">
        <v>50</v>
      </c>
      <c r="AC40" s="1164" t="s">
        <v>51</v>
      </c>
      <c r="AD40" s="1097"/>
      <c r="AF40" s="1081"/>
      <c r="AG40" s="1081"/>
    </row>
    <row r="41" spans="1:30" ht="16.5" customHeight="1" thickTop="1">
      <c r="A41" s="1079"/>
      <c r="B41" s="1093"/>
      <c r="C41" s="1262"/>
      <c r="D41" s="1173"/>
      <c r="E41" s="1173"/>
      <c r="F41" s="1173"/>
      <c r="G41" s="1174"/>
      <c r="H41" s="1175"/>
      <c r="I41" s="1742"/>
      <c r="J41" s="1173"/>
      <c r="K41" s="1173"/>
      <c r="L41" s="1173"/>
      <c r="M41" s="1173"/>
      <c r="N41" s="1173"/>
      <c r="O41" s="1176"/>
      <c r="P41" s="2781"/>
      <c r="Q41" s="2782"/>
      <c r="R41" s="1178"/>
      <c r="S41" s="1179"/>
      <c r="T41" s="1180"/>
      <c r="U41" s="1181"/>
      <c r="V41" s="1182"/>
      <c r="W41" s="1743"/>
      <c r="X41" s="1744"/>
      <c r="Y41" s="1744"/>
      <c r="Z41" s="1744"/>
      <c r="AA41" s="1745"/>
      <c r="AB41" s="1176"/>
      <c r="AC41" s="1183"/>
      <c r="AD41" s="1097"/>
    </row>
    <row r="42" spans="1:30" ht="16.5" customHeight="1">
      <c r="A42" s="1079"/>
      <c r="B42" s="1093"/>
      <c r="C42" s="873" t="s">
        <v>103</v>
      </c>
      <c r="D42" s="1284"/>
      <c r="E42" s="1746"/>
      <c r="F42" s="1747"/>
      <c r="G42" s="1748"/>
      <c r="H42" s="1188">
        <f>F42*$F$20</f>
        <v>0</v>
      </c>
      <c r="I42" s="1749"/>
      <c r="J42" s="1211"/>
      <c r="K42" s="1211"/>
      <c r="L42" s="1190">
        <f>IF(D42="","",(K42-J42)*24)</f>
      </c>
      <c r="M42" s="1191">
        <f>IF(D42="","",(K42-J42)*24*60)</f>
      </c>
      <c r="N42" s="1750"/>
      <c r="O42" s="1193">
        <f>IF(D42="","",IF(OR(N42="P",N42="RP"),"--","NO"))</f>
      </c>
      <c r="P42" s="2785"/>
      <c r="Q42" s="2786"/>
      <c r="R42" s="1195">
        <f>200*IF(P42="SI",1,0.1)*IF(N42="P",0.1,1)</f>
        <v>20</v>
      </c>
      <c r="S42" s="1196" t="str">
        <f>IF(N42="P",H42*R42*ROUND(M42/60,2),"--")</f>
        <v>--</v>
      </c>
      <c r="T42" s="1197" t="str">
        <f>IF(AND(N42="F",O42="NO"),H42*R42,"--")</f>
        <v>--</v>
      </c>
      <c r="U42" s="1198" t="str">
        <f>IF(N42="F",H42*R42*ROUND(M42/60,2),"--")</f>
        <v>--</v>
      </c>
      <c r="V42" s="1199" t="str">
        <f>IF(N42="RF",H42*R42*ROUND(M42/60,2),"--")</f>
        <v>--</v>
      </c>
      <c r="W42" s="1751"/>
      <c r="X42" s="1752"/>
      <c r="Y42" s="1752"/>
      <c r="Z42" s="1752"/>
      <c r="AA42" s="1753"/>
      <c r="AB42" s="1200">
        <f>IF(D42="","","SI")</f>
      </c>
      <c r="AC42" s="1201">
        <f>IF(D42="","",SUM(S42:V42)*IF(AB42="SI",1,2))</f>
      </c>
      <c r="AD42" s="1097"/>
    </row>
    <row r="43" spans="1:30" ht="16.5" customHeight="1">
      <c r="A43" s="1079"/>
      <c r="B43" s="1093"/>
      <c r="C43" s="873" t="s">
        <v>104</v>
      </c>
      <c r="D43" s="1284"/>
      <c r="E43" s="1746"/>
      <c r="F43" s="1747"/>
      <c r="G43" s="1748"/>
      <c r="H43" s="1188">
        <f>F43*$F$20</f>
        <v>0</v>
      </c>
      <c r="I43" s="1749"/>
      <c r="J43" s="1211"/>
      <c r="K43" s="1211"/>
      <c r="L43" s="1190">
        <f>IF(D43="","",(K43-J43)*24)</f>
      </c>
      <c r="M43" s="1191">
        <f>IF(D43="","",(K43-J43)*24*60)</f>
      </c>
      <c r="N43" s="1750"/>
      <c r="O43" s="1193">
        <f>IF(D43="","",IF(OR(N43="P",N43="RP"),"--","NO"))</f>
      </c>
      <c r="P43" s="2785">
        <f>IF(D43="","","NO")</f>
      </c>
      <c r="Q43" s="2786"/>
      <c r="R43" s="1195">
        <f>200*IF(P43="SI",1,0.1)*IF(N43="P",0.1,1)</f>
        <v>20</v>
      </c>
      <c r="S43" s="1196" t="str">
        <f>IF(N43="P",H43*R43*ROUND(M43/60,2),"--")</f>
        <v>--</v>
      </c>
      <c r="T43" s="1197" t="str">
        <f>IF(AND(N43="F",O43="NO"),H43*R43,"--")</f>
        <v>--</v>
      </c>
      <c r="U43" s="1198" t="str">
        <f>IF(N43="F",H43*R43*ROUND(M43/60,2),"--")</f>
        <v>--</v>
      </c>
      <c r="V43" s="1199" t="str">
        <f>IF(N43="RF",H43*R43*ROUND(M43/60,2),"--")</f>
        <v>--</v>
      </c>
      <c r="W43" s="1751"/>
      <c r="X43" s="1752"/>
      <c r="Y43" s="1752"/>
      <c r="Z43" s="1752"/>
      <c r="AA43" s="1753"/>
      <c r="AB43" s="1200">
        <f>IF(D43="","","SI")</f>
      </c>
      <c r="AC43" s="1201">
        <f>IF(D43="","",SUM(S43:V43)*IF(AB43="SI",1,2))</f>
      </c>
      <c r="AD43" s="1097"/>
    </row>
    <row r="44" spans="1:30" ht="16.5" customHeight="1" thickBot="1">
      <c r="A44" s="1117"/>
      <c r="B44" s="1093"/>
      <c r="C44" s="1213"/>
      <c r="D44" s="1214"/>
      <c r="E44" s="1215"/>
      <c r="F44" s="1216"/>
      <c r="G44" s="1217"/>
      <c r="H44" s="1218"/>
      <c r="I44" s="1754"/>
      <c r="J44" s="1219"/>
      <c r="K44" s="1220"/>
      <c r="L44" s="1221"/>
      <c r="M44" s="1222"/>
      <c r="N44" s="1223"/>
      <c r="O44" s="1224"/>
      <c r="P44" s="2789"/>
      <c r="Q44" s="2790"/>
      <c r="R44" s="1226"/>
      <c r="S44" s="1227"/>
      <c r="T44" s="1228"/>
      <c r="U44" s="1229"/>
      <c r="V44" s="1230"/>
      <c r="W44" s="1755"/>
      <c r="X44" s="1756"/>
      <c r="Y44" s="1756"/>
      <c r="Z44" s="1756"/>
      <c r="AA44" s="1757"/>
      <c r="AB44" s="1231"/>
      <c r="AC44" s="1232"/>
      <c r="AD44" s="1158"/>
    </row>
    <row r="45" spans="1:30" ht="16.5" customHeight="1" thickBot="1" thickTop="1">
      <c r="A45" s="1117"/>
      <c r="B45" s="1093"/>
      <c r="C45" s="1233"/>
      <c r="D45" s="1150"/>
      <c r="E45" s="1150"/>
      <c r="F45" s="1234"/>
      <c r="G45" s="1235"/>
      <c r="H45" s="1236"/>
      <c r="I45" s="1237"/>
      <c r="J45" s="1238"/>
      <c r="K45" s="1239"/>
      <c r="L45" s="1240"/>
      <c r="M45" s="1236"/>
      <c r="N45" s="1241"/>
      <c r="O45" s="1242"/>
      <c r="P45" s="1758"/>
      <c r="Q45" s="1759"/>
      <c r="R45" s="1760"/>
      <c r="S45" s="1760"/>
      <c r="T45" s="1760"/>
      <c r="U45" s="1761"/>
      <c r="V45" s="1761"/>
      <c r="W45" s="1761"/>
      <c r="X45" s="1761"/>
      <c r="Y45" s="1761"/>
      <c r="Z45" s="1761"/>
      <c r="AA45" s="1761"/>
      <c r="AB45" s="1761"/>
      <c r="AC45" s="1762">
        <f>SUM(AC41:AC44)</f>
        <v>0</v>
      </c>
      <c r="AD45" s="1158"/>
    </row>
    <row r="46" spans="1:30" ht="13.5" customHeight="1" thickBot="1" thickTop="1">
      <c r="A46" s="1117"/>
      <c r="B46" s="1093"/>
      <c r="C46" s="1147"/>
      <c r="D46" s="1147"/>
      <c r="E46" s="1147"/>
      <c r="F46" s="1147"/>
      <c r="G46" s="1147"/>
      <c r="H46" s="1147"/>
      <c r="I46" s="1147"/>
      <c r="J46" s="1147"/>
      <c r="K46" s="1147"/>
      <c r="L46" s="1147"/>
      <c r="M46" s="1147"/>
      <c r="N46" s="1147"/>
      <c r="O46" s="1147"/>
      <c r="P46" s="1147"/>
      <c r="Q46" s="1147"/>
      <c r="R46" s="1147"/>
      <c r="S46" s="1147"/>
      <c r="T46" s="1147"/>
      <c r="U46" s="1147"/>
      <c r="V46" s="1147"/>
      <c r="W46" s="1147"/>
      <c r="X46" s="1147"/>
      <c r="Y46" s="1147"/>
      <c r="Z46" s="1147"/>
      <c r="AA46" s="1147"/>
      <c r="AB46" s="1147"/>
      <c r="AC46" s="1147"/>
      <c r="AD46" s="1158"/>
    </row>
    <row r="47" spans="1:33" s="1079" customFormat="1" ht="33.75" customHeight="1" thickBot="1" thickTop="1">
      <c r="A47" s="1078"/>
      <c r="B47" s="1159"/>
      <c r="C47" s="1160" t="s">
        <v>29</v>
      </c>
      <c r="D47" s="1161" t="s">
        <v>60</v>
      </c>
      <c r="E47" s="1162" t="s">
        <v>61</v>
      </c>
      <c r="F47" s="2777" t="s">
        <v>32</v>
      </c>
      <c r="G47" s="2778"/>
      <c r="H47" s="1165" t="s">
        <v>36</v>
      </c>
      <c r="I47" s="1737"/>
      <c r="J47" s="1162" t="s">
        <v>37</v>
      </c>
      <c r="K47" s="1162" t="s">
        <v>38</v>
      </c>
      <c r="L47" s="1161" t="s">
        <v>63</v>
      </c>
      <c r="M47" s="1161" t="s">
        <v>40</v>
      </c>
      <c r="N47" s="1166" t="s">
        <v>111</v>
      </c>
      <c r="O47" s="2779" t="s">
        <v>43</v>
      </c>
      <c r="P47" s="2827"/>
      <c r="Q47" s="2780"/>
      <c r="R47" s="1256" t="s">
        <v>35</v>
      </c>
      <c r="S47" s="1257" t="s">
        <v>73</v>
      </c>
      <c r="T47" s="1258" t="s">
        <v>74</v>
      </c>
      <c r="U47" s="1259"/>
      <c r="V47" s="1260" t="s">
        <v>48</v>
      </c>
      <c r="W47" s="1740"/>
      <c r="X47" s="1740"/>
      <c r="Y47" s="1740"/>
      <c r="Z47" s="1740"/>
      <c r="AA47" s="1741"/>
      <c r="AB47" s="1172" t="s">
        <v>50</v>
      </c>
      <c r="AC47" s="1164" t="s">
        <v>51</v>
      </c>
      <c r="AD47" s="1097"/>
      <c r="AF47" s="1081"/>
      <c r="AG47" s="1081"/>
    </row>
    <row r="48" spans="1:30" ht="16.5" customHeight="1" thickTop="1">
      <c r="A48" s="1079"/>
      <c r="B48" s="1093"/>
      <c r="C48" s="1262"/>
      <c r="D48" s="1173"/>
      <c r="E48" s="1173"/>
      <c r="F48" s="2781"/>
      <c r="G48" s="2782"/>
      <c r="H48" s="1175"/>
      <c r="I48" s="1742"/>
      <c r="J48" s="1173"/>
      <c r="K48" s="1173"/>
      <c r="L48" s="1173"/>
      <c r="M48" s="1173"/>
      <c r="N48" s="1173"/>
      <c r="O48" s="2781"/>
      <c r="P48" s="2831"/>
      <c r="Q48" s="2782"/>
      <c r="R48" s="1274"/>
      <c r="S48" s="1763"/>
      <c r="T48" s="1764"/>
      <c r="U48" s="1765"/>
      <c r="V48" s="1766"/>
      <c r="W48" s="1744"/>
      <c r="X48" s="1744"/>
      <c r="Y48" s="1744"/>
      <c r="Z48" s="1744"/>
      <c r="AA48" s="1745"/>
      <c r="AB48" s="1176"/>
      <c r="AC48" s="1183"/>
      <c r="AD48" s="1097"/>
    </row>
    <row r="49" spans="1:30" ht="16.5" customHeight="1">
      <c r="A49" s="1079"/>
      <c r="B49" s="1093"/>
      <c r="C49" s="873" t="s">
        <v>103</v>
      </c>
      <c r="D49" s="1767" t="s">
        <v>422</v>
      </c>
      <c r="E49" s="1767" t="s">
        <v>423</v>
      </c>
      <c r="F49" s="2773">
        <v>132</v>
      </c>
      <c r="G49" s="2774"/>
      <c r="H49" s="1188">
        <f>IF(F49=132,$F$21,0)</f>
        <v>170.878</v>
      </c>
      <c r="I49" s="1768"/>
      <c r="J49" s="1769">
        <v>41808.302777777775</v>
      </c>
      <c r="K49" s="1770">
        <v>41808.32152777778</v>
      </c>
      <c r="L49" s="1190">
        <f>IF(D49="","",(K49-J49)*24)</f>
        <v>0.4500000000698492</v>
      </c>
      <c r="M49" s="1191">
        <f>IF(D49="","",(K49-J49)*24*60)</f>
        <v>27.00000000419095</v>
      </c>
      <c r="N49" s="1771" t="s">
        <v>329</v>
      </c>
      <c r="O49" s="2828" t="str">
        <f>IF(D49="","",IF(N49="P","--","NO"))</f>
        <v>NO</v>
      </c>
      <c r="P49" s="2829"/>
      <c r="Q49" s="2830"/>
      <c r="R49" s="1274">
        <f>IF(F49=500,200,IF(F49=132,40,0))</f>
        <v>40</v>
      </c>
      <c r="S49" s="1772" t="str">
        <f>IF(N49="P",H49*R49*ROUND(M49/60,2)*0.1,"--")</f>
        <v>--</v>
      </c>
      <c r="T49" s="1267">
        <f>IF(AND(N49="F",O49="NO"),H49*R49,"--")</f>
        <v>6835.119999999999</v>
      </c>
      <c r="U49" s="1268">
        <f>IF(N49="F",H49*R49*ROUND(M49/60,2),"--")</f>
        <v>3075.8039999999996</v>
      </c>
      <c r="V49" s="1199" t="str">
        <f>IF(N49="RF",H49*R49*ROUND(M49/60,2),"--")</f>
        <v>--</v>
      </c>
      <c r="W49" s="1752"/>
      <c r="X49" s="1752"/>
      <c r="Y49" s="1752"/>
      <c r="Z49" s="1752"/>
      <c r="AA49" s="1753"/>
      <c r="AB49" s="1200" t="str">
        <f>IF(D49="","","SI")</f>
        <v>SI</v>
      </c>
      <c r="AC49" s="1277">
        <f aca="true" t="shared" si="1" ref="AC49:AC54">IF(D49="","",SUM(S49:V49)*IF(AB49="SI",1,2))</f>
        <v>9910.923999999999</v>
      </c>
      <c r="AD49" s="1097"/>
    </row>
    <row r="50" spans="1:30" ht="16.5" customHeight="1">
      <c r="A50" s="1079"/>
      <c r="B50" s="1093"/>
      <c r="C50" s="873" t="s">
        <v>104</v>
      </c>
      <c r="D50" s="1767"/>
      <c r="E50" s="1767"/>
      <c r="F50" s="2773"/>
      <c r="G50" s="2774"/>
      <c r="H50" s="1188">
        <f>IF(F50=132,$F$21,0)</f>
        <v>0</v>
      </c>
      <c r="I50" s="1768"/>
      <c r="J50" s="1769"/>
      <c r="K50" s="1770"/>
      <c r="L50" s="1190">
        <f>IF(D50="","",(K50-J50)*24)</f>
      </c>
      <c r="M50" s="1191">
        <f>IF(D50="","",(K50-J50)*24*60)</f>
      </c>
      <c r="N50" s="1771"/>
      <c r="O50" s="2828">
        <f>IF(D50="","",IF(N50="P","--","NO"))</f>
      </c>
      <c r="P50" s="2829"/>
      <c r="Q50" s="2830"/>
      <c r="R50" s="1274">
        <f>IF(F50=500,200,IF(F50=132,40,0))</f>
        <v>0</v>
      </c>
      <c r="S50" s="1772" t="str">
        <f>IF(N50="P",H50*R50*ROUND(M50/60,2)*0.1,"--")</f>
        <v>--</v>
      </c>
      <c r="T50" s="1267" t="str">
        <f>IF(AND(N50="F",O50="NO"),H50*R50,"--")</f>
        <v>--</v>
      </c>
      <c r="U50" s="1268" t="str">
        <f>IF(N50="F",H50*R50*ROUND(M50/60,2),"--")</f>
        <v>--</v>
      </c>
      <c r="V50" s="1199" t="str">
        <f>IF(N50="RF",H50*R50*ROUND(M50/60,2),"--")</f>
        <v>--</v>
      </c>
      <c r="W50" s="1752"/>
      <c r="X50" s="1752"/>
      <c r="Y50" s="1752"/>
      <c r="Z50" s="1752"/>
      <c r="AA50" s="1753"/>
      <c r="AB50" s="1200">
        <f>IF(D50="","","SI")</f>
      </c>
      <c r="AC50" s="1277">
        <f t="shared" si="1"/>
      </c>
      <c r="AD50" s="1097"/>
    </row>
    <row r="51" spans="1:30" ht="16.5" customHeight="1">
      <c r="A51" s="1079"/>
      <c r="B51" s="1093"/>
      <c r="C51" s="873" t="s">
        <v>105</v>
      </c>
      <c r="D51" s="1767"/>
      <c r="E51" s="1767"/>
      <c r="F51" s="2773"/>
      <c r="G51" s="2774"/>
      <c r="H51" s="1188">
        <f>IF(F51=132,$F$21,0)</f>
        <v>0</v>
      </c>
      <c r="I51" s="1768"/>
      <c r="J51" s="1769"/>
      <c r="K51" s="1770"/>
      <c r="L51" s="1190">
        <f>IF(D51="","",(K51-J51)*24)</f>
      </c>
      <c r="M51" s="1191">
        <f>IF(D51="","",(K51-J51)*24*60)</f>
      </c>
      <c r="N51" s="1771"/>
      <c r="O51" s="2828">
        <f>IF(D51="","",IF(N51="P","--","NO"))</f>
      </c>
      <c r="P51" s="2829"/>
      <c r="Q51" s="2830"/>
      <c r="R51" s="1274">
        <f>IF(F51=500,200,IF(F51=132,40,0))</f>
        <v>0</v>
      </c>
      <c r="S51" s="1772" t="str">
        <f>IF(N51="P",H51*R51*ROUND(M51/60,2)*0.1,"--")</f>
        <v>--</v>
      </c>
      <c r="T51" s="1267" t="str">
        <f>IF(AND(N51="F",O51="NO"),H51*R51,"--")</f>
        <v>--</v>
      </c>
      <c r="U51" s="1268" t="str">
        <f>IF(N51="F",H51*R51*ROUND(M51/60,2),"--")</f>
        <v>--</v>
      </c>
      <c r="V51" s="1199" t="str">
        <f>IF(N51="RF",H51*R51*ROUND(M51/60,2),"--")</f>
        <v>--</v>
      </c>
      <c r="W51" s="1752"/>
      <c r="X51" s="1752"/>
      <c r="Y51" s="1752"/>
      <c r="Z51" s="1752"/>
      <c r="AA51" s="1753"/>
      <c r="AB51" s="1200">
        <f>IF(D51="","","SI")</f>
      </c>
      <c r="AC51" s="1277">
        <f t="shared" si="1"/>
      </c>
      <c r="AD51" s="1097"/>
    </row>
    <row r="52" spans="1:30" ht="16.5" customHeight="1">
      <c r="A52" s="1079"/>
      <c r="B52" s="1093"/>
      <c r="C52" s="873" t="s">
        <v>106</v>
      </c>
      <c r="D52" s="1767"/>
      <c r="E52" s="1767"/>
      <c r="F52" s="2773"/>
      <c r="G52" s="2774"/>
      <c r="H52" s="1188">
        <f>IF(F52=132,$F$21,0)</f>
        <v>0</v>
      </c>
      <c r="I52" s="1768"/>
      <c r="J52" s="1769"/>
      <c r="K52" s="1770"/>
      <c r="L52" s="1190">
        <f>IF(D52="","",(K52-J52)*24)</f>
      </c>
      <c r="M52" s="1191">
        <f>IF(D52="","",(K52-J52)*24*60)</f>
      </c>
      <c r="N52" s="1771"/>
      <c r="O52" s="2828">
        <f>IF(D52="","",IF(N52="P","--","NO"))</f>
      </c>
      <c r="P52" s="2829"/>
      <c r="Q52" s="2830"/>
      <c r="R52" s="1274">
        <f>IF(F52=500,200,IF(F52=132,40,0))</f>
        <v>0</v>
      </c>
      <c r="S52" s="1772" t="str">
        <f>IF(N52="P",H52*R52*ROUND(M52/60,2)*0.1,"--")</f>
        <v>--</v>
      </c>
      <c r="T52" s="1267" t="str">
        <f>IF(AND(N52="F",O52="NO"),H52*R52,"--")</f>
        <v>--</v>
      </c>
      <c r="U52" s="1268" t="str">
        <f>IF(N52="F",H52*R52*ROUND(M52/60,2),"--")</f>
        <v>--</v>
      </c>
      <c r="V52" s="1199" t="str">
        <f>IF(N52="RF",H52*R52*ROUND(M52/60,2),"--")</f>
        <v>--</v>
      </c>
      <c r="W52" s="1752"/>
      <c r="X52" s="1752"/>
      <c r="Y52" s="1752"/>
      <c r="Z52" s="1752"/>
      <c r="AA52" s="1753"/>
      <c r="AB52" s="1200">
        <f>IF(D52="","","SI")</f>
      </c>
      <c r="AC52" s="1277">
        <f t="shared" si="1"/>
      </c>
      <c r="AD52" s="1097"/>
    </row>
    <row r="53" spans="1:30" ht="16.5" customHeight="1">
      <c r="A53" s="1079"/>
      <c r="B53" s="1093"/>
      <c r="C53" s="873" t="s">
        <v>107</v>
      </c>
      <c r="D53" s="1207"/>
      <c r="E53" s="1208"/>
      <c r="F53" s="2773"/>
      <c r="G53" s="2774"/>
      <c r="H53" s="1188">
        <f>IF(F53=132,$F$21,0)</f>
        <v>0</v>
      </c>
      <c r="I53" s="1768"/>
      <c r="J53" s="1773"/>
      <c r="K53" s="1773"/>
      <c r="L53" s="1774"/>
      <c r="M53" s="1775"/>
      <c r="N53" s="1776"/>
      <c r="O53" s="2828">
        <f>IF(D53="","",IF(N53="P","--","NO"))</f>
      </c>
      <c r="P53" s="2829"/>
      <c r="Q53" s="2830"/>
      <c r="R53" s="1274"/>
      <c r="S53" s="1772"/>
      <c r="T53" s="1267"/>
      <c r="U53" s="1268"/>
      <c r="V53" s="1199"/>
      <c r="W53" s="1752"/>
      <c r="X53" s="1752"/>
      <c r="Y53" s="1752"/>
      <c r="Z53" s="1752"/>
      <c r="AA53" s="1753"/>
      <c r="AB53" s="1777"/>
      <c r="AC53" s="1277"/>
      <c r="AD53" s="1097"/>
    </row>
    <row r="54" spans="1:30" ht="16.5" customHeight="1" thickBot="1">
      <c r="A54" s="1117"/>
      <c r="B54" s="1093"/>
      <c r="C54" s="1778"/>
      <c r="D54" s="1214"/>
      <c r="E54" s="1215"/>
      <c r="F54" s="2787"/>
      <c r="G54" s="2788"/>
      <c r="H54" s="1218"/>
      <c r="I54" s="1754"/>
      <c r="J54" s="1219"/>
      <c r="K54" s="1220"/>
      <c r="L54" s="1221"/>
      <c r="M54" s="1222"/>
      <c r="N54" s="1223"/>
      <c r="O54" s="2789"/>
      <c r="P54" s="2833"/>
      <c r="Q54" s="2790"/>
      <c r="R54" s="1274"/>
      <c r="S54" s="1772"/>
      <c r="T54" s="1267"/>
      <c r="U54" s="1268"/>
      <c r="V54" s="1199"/>
      <c r="W54" s="1756"/>
      <c r="X54" s="1756"/>
      <c r="Y54" s="1756"/>
      <c r="Z54" s="1756"/>
      <c r="AA54" s="1757"/>
      <c r="AB54" s="1231"/>
      <c r="AC54" s="1277">
        <f t="shared" si="1"/>
      </c>
      <c r="AD54" s="1158"/>
    </row>
    <row r="55" spans="1:30" ht="16.5" customHeight="1" thickBot="1" thickTop="1">
      <c r="A55" s="1117"/>
      <c r="B55" s="1093"/>
      <c r="C55" s="1233"/>
      <c r="D55" s="1150"/>
      <c r="E55" s="1150"/>
      <c r="F55" s="1234"/>
      <c r="G55" s="1235"/>
      <c r="H55" s="1236"/>
      <c r="I55" s="1237"/>
      <c r="J55" s="1238"/>
      <c r="K55" s="1239"/>
      <c r="L55" s="1240"/>
      <c r="M55" s="1236"/>
      <c r="N55" s="1241"/>
      <c r="O55" s="1242"/>
      <c r="P55" s="1243"/>
      <c r="Q55" s="1244"/>
      <c r="R55" s="1245"/>
      <c r="S55" s="1245"/>
      <c r="T55" s="1245"/>
      <c r="U55" s="1246"/>
      <c r="V55" s="1246"/>
      <c r="W55" s="1246"/>
      <c r="X55" s="1246"/>
      <c r="Y55" s="1246"/>
      <c r="Z55" s="1246"/>
      <c r="AA55" s="1246"/>
      <c r="AB55" s="1246"/>
      <c r="AC55" s="1762">
        <f>SUM(AC48:AC54)</f>
        <v>9910.923999999999</v>
      </c>
      <c r="AD55" s="1158"/>
    </row>
    <row r="56" spans="1:30" ht="16.5" customHeight="1" thickBot="1" thickTop="1">
      <c r="A56" s="1117"/>
      <c r="B56" s="1093"/>
      <c r="C56" s="1233"/>
      <c r="D56" s="1150"/>
      <c r="E56" s="1150"/>
      <c r="F56" s="1234"/>
      <c r="G56" s="1235"/>
      <c r="H56" s="1236"/>
      <c r="I56" s="1237"/>
      <c r="J56" s="1238"/>
      <c r="K56" s="1239"/>
      <c r="L56" s="1240"/>
      <c r="M56" s="1236"/>
      <c r="N56" s="1241"/>
      <c r="O56" s="1242"/>
      <c r="P56" s="1243"/>
      <c r="Q56" s="1244"/>
      <c r="R56" s="1245"/>
      <c r="S56" s="1245"/>
      <c r="T56" s="1245"/>
      <c r="U56" s="1246"/>
      <c r="V56" s="1246"/>
      <c r="W56" s="1246"/>
      <c r="X56" s="1246"/>
      <c r="Y56" s="1246"/>
      <c r="Z56" s="1246"/>
      <c r="AA56" s="1246"/>
      <c r="AB56" s="1246"/>
      <c r="AC56" s="1779"/>
      <c r="AD56" s="1158"/>
    </row>
    <row r="57" spans="1:30" ht="33.75" customHeight="1" thickBot="1" thickTop="1">
      <c r="A57" s="1117"/>
      <c r="B57" s="1093"/>
      <c r="C57" s="1160" t="s">
        <v>29</v>
      </c>
      <c r="D57" s="1161" t="s">
        <v>60</v>
      </c>
      <c r="E57" s="1162" t="s">
        <v>61</v>
      </c>
      <c r="F57" s="2777" t="s">
        <v>62</v>
      </c>
      <c r="G57" s="2834"/>
      <c r="H57" s="1165" t="s">
        <v>36</v>
      </c>
      <c r="I57" s="1737"/>
      <c r="J57" s="1162" t="s">
        <v>37</v>
      </c>
      <c r="K57" s="1162" t="s">
        <v>38</v>
      </c>
      <c r="L57" s="1161" t="s">
        <v>63</v>
      </c>
      <c r="M57" s="1161" t="s">
        <v>40</v>
      </c>
      <c r="N57" s="1166" t="s">
        <v>111</v>
      </c>
      <c r="O57" s="1162" t="s">
        <v>43</v>
      </c>
      <c r="P57" s="1167" t="s">
        <v>64</v>
      </c>
      <c r="Q57" s="1738"/>
      <c r="R57" s="1165" t="s">
        <v>113</v>
      </c>
      <c r="S57" s="1168" t="s">
        <v>44</v>
      </c>
      <c r="T57" s="1169" t="s">
        <v>114</v>
      </c>
      <c r="U57" s="1170"/>
      <c r="V57" s="1171" t="s">
        <v>48</v>
      </c>
      <c r="W57" s="1739"/>
      <c r="X57" s="1740"/>
      <c r="Y57" s="1740"/>
      <c r="Z57" s="1740"/>
      <c r="AA57" s="1741"/>
      <c r="AB57" s="1172" t="s">
        <v>50</v>
      </c>
      <c r="AC57" s="1164" t="s">
        <v>51</v>
      </c>
      <c r="AD57" s="1158"/>
    </row>
    <row r="58" spans="1:30" ht="16.5" customHeight="1" thickTop="1">
      <c r="A58" s="1117"/>
      <c r="B58" s="1093"/>
      <c r="C58" s="1262"/>
      <c r="D58" s="1173"/>
      <c r="E58" s="1173"/>
      <c r="F58" s="2835"/>
      <c r="G58" s="2836"/>
      <c r="H58" s="1175"/>
      <c r="I58" s="1742"/>
      <c r="J58" s="1173"/>
      <c r="K58" s="1173"/>
      <c r="L58" s="1173"/>
      <c r="M58" s="1173"/>
      <c r="N58" s="1173"/>
      <c r="O58" s="1176"/>
      <c r="P58" s="2781"/>
      <c r="Q58" s="2782"/>
      <c r="R58" s="1178"/>
      <c r="S58" s="1179"/>
      <c r="T58" s="1180"/>
      <c r="U58" s="1181"/>
      <c r="V58" s="1182"/>
      <c r="W58" s="1743"/>
      <c r="X58" s="1744"/>
      <c r="Y58" s="1744"/>
      <c r="Z58" s="1744"/>
      <c r="AA58" s="1745"/>
      <c r="AB58" s="1176"/>
      <c r="AC58" s="1183"/>
      <c r="AD58" s="1158"/>
    </row>
    <row r="59" spans="1:30" ht="16.5" customHeight="1">
      <c r="A59" s="1117"/>
      <c r="B59" s="1093"/>
      <c r="C59" s="873" t="s">
        <v>103</v>
      </c>
      <c r="D59" s="1746"/>
      <c r="E59" s="1780"/>
      <c r="F59" s="2837"/>
      <c r="G59" s="2838"/>
      <c r="H59" s="1188">
        <f>F59*$F$20</f>
        <v>0</v>
      </c>
      <c r="I59" s="1749"/>
      <c r="J59" s="1781"/>
      <c r="K59" s="1782"/>
      <c r="L59" s="1190">
        <f>IF(D59="","",(K59-J59)*24)</f>
      </c>
      <c r="M59" s="1191">
        <f>IF(D59="","",(K59-J59)*24*60)</f>
      </c>
      <c r="N59" s="1783"/>
      <c r="O59" s="1193">
        <f>IF(D59="","",IF(OR(N59="P",N59="RP"),"--","NO"))</f>
      </c>
      <c r="P59" s="2785">
        <f>IF(D59="","","NO")</f>
      </c>
      <c r="Q59" s="2786"/>
      <c r="R59" s="1195">
        <f>200*IF(P59="SI",1,0.1)*IF(N59="P",0.1,1)</f>
        <v>20</v>
      </c>
      <c r="S59" s="1196" t="str">
        <f>IF(N59="P",H59*R59*ROUND(M59/60,2),"--")</f>
        <v>--</v>
      </c>
      <c r="T59" s="1197" t="str">
        <f>IF(AND(N59="F",O59="NO"),H59*R59,"--")</f>
        <v>--</v>
      </c>
      <c r="U59" s="1198" t="str">
        <f>IF(N59="F",H59*R59*ROUND(M59/60,2),"--")</f>
        <v>--</v>
      </c>
      <c r="V59" s="1199" t="str">
        <f>IF(N59="RF",H59*R59*ROUND(M59/60,2),"--")</f>
        <v>--</v>
      </c>
      <c r="W59" s="1751"/>
      <c r="X59" s="1752"/>
      <c r="Y59" s="1752"/>
      <c r="Z59" s="1752"/>
      <c r="AA59" s="1753"/>
      <c r="AB59" s="1200">
        <f>IF(D59="","","SI")</f>
      </c>
      <c r="AC59" s="1201">
        <f>IF(D59="","",SUM(S59:V59)*IF(AB59="SI",1,2))</f>
      </c>
      <c r="AD59" s="1158"/>
    </row>
    <row r="60" spans="1:30" ht="16.5" customHeight="1">
      <c r="A60" s="1117"/>
      <c r="B60" s="1093"/>
      <c r="C60" s="873" t="s">
        <v>104</v>
      </c>
      <c r="D60" s="1784"/>
      <c r="E60" s="1780"/>
      <c r="F60" s="2837"/>
      <c r="G60" s="2838"/>
      <c r="H60" s="1188">
        <f>F60*$F$20</f>
        <v>0</v>
      </c>
      <c r="I60" s="1749"/>
      <c r="J60" s="1785"/>
      <c r="K60" s="1786"/>
      <c r="L60" s="1190">
        <f>IF(D60="","",(K60-J60)*24)</f>
      </c>
      <c r="M60" s="1191">
        <f>IF(D60="","",(K60-J60)*24*60)</f>
      </c>
      <c r="N60" s="1787"/>
      <c r="O60" s="1193">
        <f>IF(D60="","",IF(OR(N60="P",N60="RP"),"--","NO"))</f>
      </c>
      <c r="P60" s="2785">
        <f>IF(D60="","","NO")</f>
      </c>
      <c r="Q60" s="2786"/>
      <c r="R60" s="1195">
        <f>200*IF(P60="SI",1,0.1)*IF(N60="P",0.1,1)</f>
        <v>20</v>
      </c>
      <c r="S60" s="1196" t="str">
        <f>IF(N60="P",H60*R60*ROUND(M60/60,2),"--")</f>
        <v>--</v>
      </c>
      <c r="T60" s="1197" t="str">
        <f>IF(AND(N60="F",O60="NO"),H60*R60,"--")</f>
        <v>--</v>
      </c>
      <c r="U60" s="1198" t="str">
        <f>IF(N60="F",H60*R60*ROUND(M60/60,2),"--")</f>
        <v>--</v>
      </c>
      <c r="V60" s="1199" t="str">
        <f>IF(N60="RF",H60*R60*ROUND(M60/60,2),"--")</f>
        <v>--</v>
      </c>
      <c r="W60" s="1751"/>
      <c r="X60" s="1752"/>
      <c r="Y60" s="1752"/>
      <c r="Z60" s="1752"/>
      <c r="AA60" s="1753"/>
      <c r="AB60" s="1200">
        <f>IF(D60="","","SI")</f>
      </c>
      <c r="AC60" s="1201">
        <f>IF(D60="","",SUM(S60:V60)*IF(AB60="SI",1,2))</f>
      </c>
      <c r="AD60" s="1158"/>
    </row>
    <row r="61" spans="1:30" ht="16.5" customHeight="1">
      <c r="A61" s="1117"/>
      <c r="B61" s="1093"/>
      <c r="C61" s="873" t="s">
        <v>105</v>
      </c>
      <c r="D61" s="1788"/>
      <c r="E61" s="1780"/>
      <c r="F61" s="2783"/>
      <c r="G61" s="2784"/>
      <c r="H61" s="1188">
        <f>F61*$F$20</f>
        <v>0</v>
      </c>
      <c r="I61" s="1749"/>
      <c r="J61" s="1785"/>
      <c r="K61" s="1786"/>
      <c r="L61" s="1190">
        <f>IF(D61="","",(K61-J61)*24)</f>
      </c>
      <c r="M61" s="1191">
        <f>IF(D61="","",(K61-J61)*24*60)</f>
      </c>
      <c r="N61" s="1787"/>
      <c r="O61" s="1193">
        <f>IF(D61="","",IF(OR(N61="P",N61="RP"),"--","NO"))</f>
      </c>
      <c r="P61" s="2785">
        <f>IF(D61="","","NO")</f>
      </c>
      <c r="Q61" s="2786"/>
      <c r="R61" s="1195">
        <f>200*IF(P61="SI",1,0.1)*IF(N61="P",0.1,1)</f>
        <v>20</v>
      </c>
      <c r="S61" s="1196" t="str">
        <f>IF(N61="P",H61*R61*ROUND(M61/60,2),"--")</f>
        <v>--</v>
      </c>
      <c r="T61" s="1197" t="str">
        <f>IF(AND(N61="F",O61="NO"),H61*R61,"--")</f>
        <v>--</v>
      </c>
      <c r="U61" s="1198" t="str">
        <f>IF(N61="F",H61*R61*ROUND(M61/60,2),"--")</f>
        <v>--</v>
      </c>
      <c r="V61" s="1199" t="str">
        <f>IF(N61="RF",H61*R61*ROUND(M61/60,2),"--")</f>
        <v>--</v>
      </c>
      <c r="W61" s="1751"/>
      <c r="X61" s="1752"/>
      <c r="Y61" s="1752"/>
      <c r="Z61" s="1752"/>
      <c r="AA61" s="1753"/>
      <c r="AB61" s="1200">
        <f>IF(D61="","","SI")</f>
      </c>
      <c r="AC61" s="1201">
        <f>IF(D61="","",SUM(S61:V61)*IF(AB61="SI",1,2))</f>
      </c>
      <c r="AD61" s="1158"/>
    </row>
    <row r="62" spans="1:30" ht="16.5" customHeight="1" thickBot="1">
      <c r="A62" s="1117"/>
      <c r="B62" s="1093"/>
      <c r="C62" s="1213"/>
      <c r="D62" s="1214"/>
      <c r="E62" s="1215"/>
      <c r="F62" s="2787"/>
      <c r="G62" s="2832"/>
      <c r="H62" s="1218"/>
      <c r="I62" s="1754"/>
      <c r="J62" s="1219"/>
      <c r="K62" s="1220"/>
      <c r="L62" s="1221"/>
      <c r="M62" s="1222"/>
      <c r="N62" s="1223"/>
      <c r="O62" s="1224"/>
      <c r="P62" s="2789"/>
      <c r="Q62" s="2790"/>
      <c r="R62" s="1226"/>
      <c r="S62" s="1227"/>
      <c r="T62" s="1228"/>
      <c r="U62" s="1229"/>
      <c r="V62" s="1230"/>
      <c r="W62" s="1755"/>
      <c r="X62" s="1756"/>
      <c r="Y62" s="1756"/>
      <c r="Z62" s="1756"/>
      <c r="AA62" s="1757"/>
      <c r="AB62" s="1231"/>
      <c r="AC62" s="1232"/>
      <c r="AD62" s="1158"/>
    </row>
    <row r="63" spans="1:30" ht="16.5" customHeight="1" thickBot="1" thickTop="1">
      <c r="A63" s="1117"/>
      <c r="B63" s="1093"/>
      <c r="C63" s="1233"/>
      <c r="D63" s="1150"/>
      <c r="E63" s="1150"/>
      <c r="F63" s="1234"/>
      <c r="G63" s="1235"/>
      <c r="H63" s="1236"/>
      <c r="I63" s="1237"/>
      <c r="J63" s="1238"/>
      <c r="K63" s="1239"/>
      <c r="L63" s="1240"/>
      <c r="M63" s="1236"/>
      <c r="N63" s="1241"/>
      <c r="O63" s="1242"/>
      <c r="P63" s="1758"/>
      <c r="Q63" s="1759"/>
      <c r="R63" s="1760"/>
      <c r="S63" s="1760"/>
      <c r="T63" s="1760"/>
      <c r="U63" s="1761"/>
      <c r="V63" s="1761"/>
      <c r="W63" s="1761"/>
      <c r="X63" s="1761"/>
      <c r="Y63" s="1761"/>
      <c r="Z63" s="1761"/>
      <c r="AA63" s="1761"/>
      <c r="AB63" s="1761"/>
      <c r="AC63" s="1762">
        <f>SUM(AC58:AC62)</f>
        <v>0</v>
      </c>
      <c r="AD63" s="1158"/>
    </row>
    <row r="64" spans="1:30" ht="16.5" customHeight="1" thickBot="1" thickTop="1">
      <c r="A64" s="1117"/>
      <c r="B64" s="1118"/>
      <c r="C64" s="1233"/>
      <c r="D64" s="1150"/>
      <c r="E64" s="1246"/>
      <c r="F64" s="1246"/>
      <c r="G64" s="1246"/>
      <c r="H64" s="1246"/>
      <c r="I64" s="1246"/>
      <c r="J64" s="1246"/>
      <c r="K64" s="1246"/>
      <c r="L64" s="1246"/>
      <c r="M64" s="1246"/>
      <c r="N64" s="1246"/>
      <c r="O64" s="1246"/>
      <c r="P64" s="1246"/>
      <c r="Q64" s="1246"/>
      <c r="R64" s="1246"/>
      <c r="S64" s="1246"/>
      <c r="T64" s="1246"/>
      <c r="U64" s="1246"/>
      <c r="V64" s="1246"/>
      <c r="W64" s="1246"/>
      <c r="X64" s="1246"/>
      <c r="Y64" s="1246"/>
      <c r="Z64" s="1246"/>
      <c r="AA64" s="1246"/>
      <c r="AB64" s="1246"/>
      <c r="AC64" s="1789"/>
      <c r="AD64" s="1323"/>
    </row>
    <row r="65" spans="1:30" ht="16.5" customHeight="1" thickBot="1" thickTop="1">
      <c r="A65" s="1117"/>
      <c r="B65" s="1093"/>
      <c r="C65" s="1233"/>
      <c r="D65" s="1150"/>
      <c r="E65" s="1150"/>
      <c r="F65" s="1234"/>
      <c r="G65" s="1235"/>
      <c r="H65" s="1236"/>
      <c r="I65" s="1237"/>
      <c r="J65" s="1642" t="s">
        <v>116</v>
      </c>
      <c r="K65" s="1643">
        <f>+AC45+AC38+AC55+AC63</f>
        <v>9910.923999999999</v>
      </c>
      <c r="L65" s="1240"/>
      <c r="M65" s="1236"/>
      <c r="N65" s="1248"/>
      <c r="O65" s="1249"/>
      <c r="P65" s="1243"/>
      <c r="Q65" s="1244"/>
      <c r="R65" s="1245"/>
      <c r="S65" s="1245"/>
      <c r="T65" s="1245"/>
      <c r="U65" s="1246"/>
      <c r="V65" s="1246"/>
      <c r="W65" s="1246"/>
      <c r="X65" s="1246"/>
      <c r="Y65" s="1246"/>
      <c r="Z65" s="1246"/>
      <c r="AA65" s="1246"/>
      <c r="AB65" s="1246"/>
      <c r="AC65" s="1790"/>
      <c r="AD65" s="1158"/>
    </row>
    <row r="66" spans="1:30" ht="13.5" customHeight="1" thickTop="1">
      <c r="A66" s="1117"/>
      <c r="B66" s="1118"/>
      <c r="C66" s="1147"/>
      <c r="D66" s="1314"/>
      <c r="E66" s="1315"/>
      <c r="F66" s="1316"/>
      <c r="G66" s="1317"/>
      <c r="H66" s="1317"/>
      <c r="I66" s="1315"/>
      <c r="J66" s="1318"/>
      <c r="K66" s="1318"/>
      <c r="L66" s="1315"/>
      <c r="M66" s="1315"/>
      <c r="N66" s="1315"/>
      <c r="O66" s="1319"/>
      <c r="P66" s="1315"/>
      <c r="Q66" s="1315"/>
      <c r="R66" s="1320"/>
      <c r="S66" s="1321"/>
      <c r="T66" s="1321"/>
      <c r="U66" s="1322"/>
      <c r="AC66" s="1322"/>
      <c r="AD66" s="1323"/>
    </row>
    <row r="67" spans="1:30" ht="16.5" customHeight="1">
      <c r="A67" s="1117"/>
      <c r="B67" s="1118"/>
      <c r="C67" s="1324" t="s">
        <v>117</v>
      </c>
      <c r="D67" s="1325" t="s">
        <v>319</v>
      </c>
      <c r="E67" s="1315"/>
      <c r="F67" s="1316"/>
      <c r="G67" s="1317"/>
      <c r="H67" s="1317"/>
      <c r="I67" s="1315"/>
      <c r="J67" s="1318"/>
      <c r="K67" s="1318"/>
      <c r="L67" s="1315"/>
      <c r="M67" s="1315"/>
      <c r="N67" s="1315"/>
      <c r="O67" s="1319"/>
      <c r="P67" s="1315"/>
      <c r="Q67" s="1315"/>
      <c r="R67" s="1320"/>
      <c r="S67" s="1321"/>
      <c r="T67" s="1321"/>
      <c r="U67" s="1322"/>
      <c r="AC67" s="1322"/>
      <c r="AD67" s="1323"/>
    </row>
    <row r="68" spans="1:30" ht="16.5" customHeight="1">
      <c r="A68" s="1117"/>
      <c r="B68" s="1118"/>
      <c r="C68" s="1324"/>
      <c r="D68" s="1314"/>
      <c r="E68" s="1315"/>
      <c r="F68" s="1316"/>
      <c r="G68" s="1317"/>
      <c r="H68" s="1317"/>
      <c r="I68" s="1315"/>
      <c r="J68" s="1318"/>
      <c r="K68" s="1318"/>
      <c r="L68" s="1315"/>
      <c r="M68" s="1315"/>
      <c r="N68" s="1315"/>
      <c r="O68" s="1319"/>
      <c r="P68" s="1315"/>
      <c r="Q68" s="1315"/>
      <c r="R68" s="1315"/>
      <c r="S68" s="1320"/>
      <c r="T68" s="1321"/>
      <c r="AD68" s="1323"/>
    </row>
    <row r="69" spans="2:30" s="1117" customFormat="1" ht="16.5" customHeight="1">
      <c r="B69" s="1118"/>
      <c r="C69" s="1147"/>
      <c r="D69" s="1326" t="s">
        <v>5</v>
      </c>
      <c r="E69" s="1153" t="s">
        <v>118</v>
      </c>
      <c r="F69" s="1153" t="s">
        <v>119</v>
      </c>
      <c r="G69" s="1327" t="s">
        <v>320</v>
      </c>
      <c r="H69" s="1154"/>
      <c r="I69" s="1153"/>
      <c r="J69" s="1081"/>
      <c r="K69" s="1081"/>
      <c r="L69" s="1340" t="s">
        <v>321</v>
      </c>
      <c r="M69" s="1081"/>
      <c r="N69" s="1081"/>
      <c r="O69" s="1081"/>
      <c r="P69" s="1081"/>
      <c r="Q69" s="1330"/>
      <c r="R69" s="1330"/>
      <c r="S69" s="1119"/>
      <c r="T69" s="1081"/>
      <c r="U69" s="1081"/>
      <c r="V69" s="1081"/>
      <c r="W69" s="1081"/>
      <c r="X69" s="1119"/>
      <c r="Y69" s="1119"/>
      <c r="Z69" s="1119"/>
      <c r="AA69" s="1119"/>
      <c r="AB69" s="1119"/>
      <c r="AC69" s="1791" t="s">
        <v>323</v>
      </c>
      <c r="AD69" s="1323"/>
    </row>
    <row r="70" spans="2:30" s="1117" customFormat="1" ht="16.5" customHeight="1">
      <c r="B70" s="1118"/>
      <c r="C70" s="1147"/>
      <c r="D70" s="1153" t="s">
        <v>426</v>
      </c>
      <c r="E70" s="1343">
        <v>160</v>
      </c>
      <c r="F70" s="1343">
        <v>500</v>
      </c>
      <c r="G70" s="1122">
        <f>E70*$F$19*$L$20/100</f>
        <v>451158.91199999995</v>
      </c>
      <c r="H70" s="1122"/>
      <c r="I70" s="1122"/>
      <c r="J70" s="1108"/>
      <c r="K70" s="1081"/>
      <c r="L70" s="1344">
        <v>9642</v>
      </c>
      <c r="M70" s="1108"/>
      <c r="N70" s="1792" t="s">
        <v>477</v>
      </c>
      <c r="O70" s="1081"/>
      <c r="P70" s="1081"/>
      <c r="Q70" s="1330"/>
      <c r="R70" s="1330"/>
      <c r="S70" s="1119"/>
      <c r="T70" s="1081"/>
      <c r="U70" s="1081"/>
      <c r="V70" s="1081"/>
      <c r="W70" s="1081"/>
      <c r="X70" s="1119"/>
      <c r="Y70" s="1119"/>
      <c r="Z70" s="1119"/>
      <c r="AA70" s="1119"/>
      <c r="AB70" s="1793"/>
      <c r="AC70" s="1794">
        <f>L70+G70</f>
        <v>460800.91199999995</v>
      </c>
      <c r="AD70" s="1323"/>
    </row>
    <row r="71" spans="2:30" s="1117" customFormat="1" ht="16.5" customHeight="1">
      <c r="B71" s="1118"/>
      <c r="C71" s="1147"/>
      <c r="D71" s="1153" t="s">
        <v>427</v>
      </c>
      <c r="E71" s="1343">
        <v>147</v>
      </c>
      <c r="F71" s="1343">
        <v>500</v>
      </c>
      <c r="G71" s="1122">
        <f>E71*$F$19*$L$20/100</f>
        <v>414502.2504</v>
      </c>
      <c r="H71" s="1122"/>
      <c r="I71" s="1122"/>
      <c r="J71" s="1108"/>
      <c r="K71" s="1081"/>
      <c r="L71" s="1344">
        <v>7115</v>
      </c>
      <c r="M71" s="1108"/>
      <c r="N71" s="1792" t="s">
        <v>477</v>
      </c>
      <c r="O71" s="1081"/>
      <c r="P71" s="1081"/>
      <c r="Q71" s="1330"/>
      <c r="R71" s="1330"/>
      <c r="S71" s="1119"/>
      <c r="T71" s="1081"/>
      <c r="U71" s="1081"/>
      <c r="V71" s="1081"/>
      <c r="W71" s="1081"/>
      <c r="X71" s="1119"/>
      <c r="Y71" s="1119"/>
      <c r="Z71" s="1119"/>
      <c r="AA71" s="1119"/>
      <c r="AB71" s="1793"/>
      <c r="AC71" s="1794">
        <f>L71+G71</f>
        <v>421617.2504</v>
      </c>
      <c r="AD71" s="1323"/>
    </row>
    <row r="72" spans="2:30" s="1117" customFormat="1" ht="16.5" customHeight="1">
      <c r="B72" s="1118"/>
      <c r="C72" s="1147"/>
      <c r="D72" s="1153" t="s">
        <v>428</v>
      </c>
      <c r="E72" s="1343">
        <v>262.8</v>
      </c>
      <c r="F72" s="1343">
        <v>500</v>
      </c>
      <c r="G72" s="1122">
        <f>E72*$F$19*$L$20/100</f>
        <v>741028.5129600001</v>
      </c>
      <c r="H72" s="1122"/>
      <c r="I72" s="1122"/>
      <c r="J72" s="1108"/>
      <c r="K72" s="1081"/>
      <c r="L72" s="1344">
        <v>22242</v>
      </c>
      <c r="M72" s="1108"/>
      <c r="N72" s="1792" t="s">
        <v>477</v>
      </c>
      <c r="O72" s="1081"/>
      <c r="P72" s="1081"/>
      <c r="Q72" s="1330"/>
      <c r="R72" s="1330"/>
      <c r="S72" s="1119"/>
      <c r="T72" s="1081"/>
      <c r="U72" s="1081"/>
      <c r="V72" s="1081"/>
      <c r="W72" s="1081"/>
      <c r="X72" s="1119"/>
      <c r="Y72" s="1119"/>
      <c r="Z72" s="1119"/>
      <c r="AA72" s="1119"/>
      <c r="AB72" s="1793"/>
      <c r="AC72" s="1794">
        <f>L72+G72</f>
        <v>763270.5129600001</v>
      </c>
      <c r="AD72" s="1323"/>
    </row>
    <row r="73" spans="2:30" s="1117" customFormat="1" ht="16.5" customHeight="1">
      <c r="B73" s="1118"/>
      <c r="C73" s="1147"/>
      <c r="E73" s="1345"/>
      <c r="F73" s="1153"/>
      <c r="G73" s="1154"/>
      <c r="H73" s="1081"/>
      <c r="I73" s="1153"/>
      <c r="J73" s="1153"/>
      <c r="K73" s="1081"/>
      <c r="L73" s="1794"/>
      <c r="M73" s="1341"/>
      <c r="N73" s="1341"/>
      <c r="O73" s="1330"/>
      <c r="P73" s="1330"/>
      <c r="Q73" s="1330"/>
      <c r="R73" s="1330"/>
      <c r="S73" s="1119"/>
      <c r="T73" s="1081"/>
      <c r="U73" s="1081"/>
      <c r="V73" s="1081"/>
      <c r="W73" s="1081"/>
      <c r="X73" s="1119"/>
      <c r="Y73" s="1119"/>
      <c r="Z73" s="1119"/>
      <c r="AA73" s="1119"/>
      <c r="AB73" s="1119"/>
      <c r="AC73" s="1794"/>
      <c r="AD73" s="1323"/>
    </row>
    <row r="74" spans="1:30" ht="16.5" customHeight="1">
      <c r="A74" s="1117"/>
      <c r="B74" s="1118"/>
      <c r="C74" s="1147"/>
      <c r="D74" s="1326" t="s">
        <v>127</v>
      </c>
      <c r="E74" s="1153" t="s">
        <v>128</v>
      </c>
      <c r="F74" s="1153" t="s">
        <v>119</v>
      </c>
      <c r="G74" s="1327" t="s">
        <v>324</v>
      </c>
      <c r="I74" s="1339"/>
      <c r="J74" s="1153"/>
      <c r="L74" s="1340" t="s">
        <v>322</v>
      </c>
      <c r="M74" s="1339"/>
      <c r="N74" s="1341"/>
      <c r="O74" s="1330"/>
      <c r="P74" s="1330"/>
      <c r="Q74" s="1330"/>
      <c r="R74" s="1330"/>
      <c r="S74" s="1330"/>
      <c r="AC74" s="1794"/>
      <c r="AD74" s="1323"/>
    </row>
    <row r="75" spans="1:30" ht="16.5" customHeight="1">
      <c r="A75" s="1117"/>
      <c r="B75" s="1118"/>
      <c r="C75" s="1147"/>
      <c r="D75" s="1153" t="s">
        <v>429</v>
      </c>
      <c r="E75" s="1343">
        <v>300</v>
      </c>
      <c r="F75" s="1343" t="s">
        <v>430</v>
      </c>
      <c r="G75" s="1122">
        <f>E75*F20*L20</f>
        <v>232631.99999999997</v>
      </c>
      <c r="H75" s="1108"/>
      <c r="I75" s="1108"/>
      <c r="J75" s="1344"/>
      <c r="L75" s="1344"/>
      <c r="M75" s="1108"/>
      <c r="N75" s="1792" t="s">
        <v>477</v>
      </c>
      <c r="O75" s="1337"/>
      <c r="P75" s="1337"/>
      <c r="Q75" s="1337"/>
      <c r="R75" s="1337"/>
      <c r="S75" s="1337"/>
      <c r="AC75" s="1795">
        <f>G75+L75</f>
        <v>232631.99999999997</v>
      </c>
      <c r="AD75" s="1323"/>
    </row>
    <row r="76" spans="1:30" ht="16.5" customHeight="1">
      <c r="A76" s="1117"/>
      <c r="B76" s="1118"/>
      <c r="C76" s="1147"/>
      <c r="D76" s="1153" t="s">
        <v>431</v>
      </c>
      <c r="E76" s="1343">
        <v>300</v>
      </c>
      <c r="F76" s="1343" t="s">
        <v>430</v>
      </c>
      <c r="G76" s="1122">
        <f>E76*F20*L20</f>
        <v>232631.99999999997</v>
      </c>
      <c r="H76" s="1108"/>
      <c r="I76" s="1108"/>
      <c r="J76" s="1344"/>
      <c r="L76" s="1344"/>
      <c r="M76" s="1108"/>
      <c r="N76" s="1792" t="s">
        <v>477</v>
      </c>
      <c r="O76" s="1337"/>
      <c r="P76" s="1337"/>
      <c r="Q76" s="1337"/>
      <c r="R76" s="1337"/>
      <c r="S76" s="1337"/>
      <c r="AC76" s="1795">
        <f>G76+L76</f>
        <v>232631.99999999997</v>
      </c>
      <c r="AD76" s="1323"/>
    </row>
    <row r="77" spans="1:30" ht="16.5" customHeight="1">
      <c r="A77" s="1117"/>
      <c r="B77" s="1118"/>
      <c r="C77" s="1147"/>
      <c r="D77" s="1153" t="s">
        <v>432</v>
      </c>
      <c r="E77" s="1343">
        <v>150</v>
      </c>
      <c r="F77" s="1343" t="s">
        <v>430</v>
      </c>
      <c r="G77" s="1122">
        <f>E77*F20*L20</f>
        <v>116315.99999999999</v>
      </c>
      <c r="H77" s="1108"/>
      <c r="I77" s="1108"/>
      <c r="J77" s="1344"/>
      <c r="L77" s="1344"/>
      <c r="M77" s="1108"/>
      <c r="N77" s="1792" t="s">
        <v>477</v>
      </c>
      <c r="O77" s="1337"/>
      <c r="P77" s="1337"/>
      <c r="Q77" s="1337"/>
      <c r="R77" s="1337"/>
      <c r="S77" s="1337"/>
      <c r="AC77" s="1795">
        <f>G77+L77</f>
        <v>116315.99999999999</v>
      </c>
      <c r="AD77" s="1323"/>
    </row>
    <row r="78" spans="1:30" ht="16.5" customHeight="1">
      <c r="A78" s="1117"/>
      <c r="B78" s="1118"/>
      <c r="C78" s="1147"/>
      <c r="D78" s="1153"/>
      <c r="E78" s="1343"/>
      <c r="F78" s="1343"/>
      <c r="G78" s="1122"/>
      <c r="H78" s="1108"/>
      <c r="I78" s="1108"/>
      <c r="J78" s="1344"/>
      <c r="L78" s="1344"/>
      <c r="M78" s="1108"/>
      <c r="N78" s="1123"/>
      <c r="O78" s="1337"/>
      <c r="P78" s="1337"/>
      <c r="Q78" s="1337"/>
      <c r="R78" s="1337"/>
      <c r="S78" s="1337"/>
      <c r="AC78" s="1795"/>
      <c r="AD78" s="1323"/>
    </row>
    <row r="79" spans="1:30" ht="16.5" customHeight="1">
      <c r="A79" s="1117"/>
      <c r="B79" s="1118"/>
      <c r="C79" s="1147"/>
      <c r="D79" s="1326" t="s">
        <v>129</v>
      </c>
      <c r="E79" s="1153" t="s">
        <v>401</v>
      </c>
      <c r="F79" s="1338"/>
      <c r="G79" s="1153" t="s">
        <v>119</v>
      </c>
      <c r="I79" s="1339"/>
      <c r="J79" s="1327" t="s">
        <v>402</v>
      </c>
      <c r="L79" s="1340"/>
      <c r="M79" s="1339"/>
      <c r="N79" s="1341"/>
      <c r="O79" s="1330"/>
      <c r="P79" s="1330"/>
      <c r="Q79" s="1330"/>
      <c r="R79" s="1330"/>
      <c r="S79" s="1330"/>
      <c r="AC79" s="1794"/>
      <c r="AD79" s="1323"/>
    </row>
    <row r="80" spans="1:30" ht="16.5" customHeight="1">
      <c r="A80" s="1117"/>
      <c r="B80" s="1118"/>
      <c r="C80" s="1147"/>
      <c r="D80" s="1153" t="s">
        <v>433</v>
      </c>
      <c r="E80" s="1343" t="s">
        <v>434</v>
      </c>
      <c r="F80" s="1342"/>
      <c r="G80" s="1343">
        <v>132</v>
      </c>
      <c r="H80" s="1108"/>
      <c r="I80" s="1108"/>
      <c r="J80" s="1122">
        <f aca="true" t="shared" si="2" ref="J80:J87">$F$21*$L$20</f>
        <v>123032.15999999999</v>
      </c>
      <c r="L80" s="1344"/>
      <c r="M80" s="1108"/>
      <c r="N80" s="1123"/>
      <c r="O80" s="1337"/>
      <c r="P80" s="1337"/>
      <c r="Q80" s="1337"/>
      <c r="R80" s="1337"/>
      <c r="S80" s="1337"/>
      <c r="AC80" s="1795">
        <f aca="true" t="shared" si="3" ref="AC80:AC87">J80</f>
        <v>123032.15999999999</v>
      </c>
      <c r="AD80" s="1323"/>
    </row>
    <row r="81" spans="1:30" ht="16.5" customHeight="1">
      <c r="A81" s="1117"/>
      <c r="B81" s="1118"/>
      <c r="C81" s="1147"/>
      <c r="D81" s="1153" t="s">
        <v>433</v>
      </c>
      <c r="E81" s="1343" t="s">
        <v>435</v>
      </c>
      <c r="F81" s="1342"/>
      <c r="G81" s="1343">
        <v>132</v>
      </c>
      <c r="H81" s="1108"/>
      <c r="I81" s="1108"/>
      <c r="J81" s="1122">
        <f t="shared" si="2"/>
        <v>123032.15999999999</v>
      </c>
      <c r="L81" s="1344"/>
      <c r="M81" s="1108"/>
      <c r="N81" s="1123"/>
      <c r="O81" s="1337"/>
      <c r="P81" s="1337"/>
      <c r="Q81" s="1337"/>
      <c r="R81" s="1337"/>
      <c r="S81" s="1337"/>
      <c r="AC81" s="1795">
        <f t="shared" si="3"/>
        <v>123032.15999999999</v>
      </c>
      <c r="AD81" s="1323"/>
    </row>
    <row r="82" spans="1:30" ht="16.5" customHeight="1">
      <c r="A82" s="1117"/>
      <c r="B82" s="1118"/>
      <c r="C82" s="1147"/>
      <c r="D82" s="1153" t="s">
        <v>433</v>
      </c>
      <c r="E82" s="1343" t="s">
        <v>436</v>
      </c>
      <c r="F82" s="1342"/>
      <c r="G82" s="1343">
        <v>132</v>
      </c>
      <c r="H82" s="1108"/>
      <c r="I82" s="1108"/>
      <c r="J82" s="1122">
        <f t="shared" si="2"/>
        <v>123032.15999999999</v>
      </c>
      <c r="L82" s="1344"/>
      <c r="M82" s="1108"/>
      <c r="N82" s="1123"/>
      <c r="O82" s="1337"/>
      <c r="P82" s="1337"/>
      <c r="Q82" s="1337"/>
      <c r="R82" s="1337"/>
      <c r="S82" s="1337"/>
      <c r="AC82" s="1795">
        <f t="shared" si="3"/>
        <v>123032.15999999999</v>
      </c>
      <c r="AD82" s="1323"/>
    </row>
    <row r="83" spans="1:30" ht="16.5" customHeight="1">
      <c r="A83" s="1117"/>
      <c r="B83" s="1118"/>
      <c r="C83" s="1147"/>
      <c r="D83" s="1153" t="s">
        <v>433</v>
      </c>
      <c r="E83" s="1343" t="s">
        <v>437</v>
      </c>
      <c r="F83" s="1342"/>
      <c r="G83" s="1343">
        <v>132</v>
      </c>
      <c r="H83" s="1108"/>
      <c r="I83" s="1108"/>
      <c r="J83" s="1122">
        <f t="shared" si="2"/>
        <v>123032.15999999999</v>
      </c>
      <c r="L83" s="1344"/>
      <c r="M83" s="1108"/>
      <c r="N83" s="1123"/>
      <c r="O83" s="1337"/>
      <c r="P83" s="1337"/>
      <c r="Q83" s="1337"/>
      <c r="R83" s="1337"/>
      <c r="S83" s="1337"/>
      <c r="AC83" s="1795">
        <f t="shared" si="3"/>
        <v>123032.15999999999</v>
      </c>
      <c r="AD83" s="1323"/>
    </row>
    <row r="84" spans="1:30" ht="16.5" customHeight="1">
      <c r="A84" s="1117"/>
      <c r="B84" s="1118"/>
      <c r="C84" s="1147"/>
      <c r="D84" s="1153" t="s">
        <v>433</v>
      </c>
      <c r="E84" s="1343" t="s">
        <v>438</v>
      </c>
      <c r="F84" s="1342"/>
      <c r="G84" s="1343">
        <v>132</v>
      </c>
      <c r="H84" s="1108"/>
      <c r="I84" s="1108"/>
      <c r="J84" s="1122">
        <f t="shared" si="2"/>
        <v>123032.15999999999</v>
      </c>
      <c r="L84" s="1344"/>
      <c r="M84" s="1108"/>
      <c r="N84" s="1123"/>
      <c r="O84" s="1337"/>
      <c r="P84" s="1337"/>
      <c r="Q84" s="1337"/>
      <c r="R84" s="1337"/>
      <c r="S84" s="1337"/>
      <c r="AC84" s="1795">
        <f t="shared" si="3"/>
        <v>123032.15999999999</v>
      </c>
      <c r="AD84" s="1323"/>
    </row>
    <row r="85" spans="1:30" ht="16.5" customHeight="1">
      <c r="A85" s="1117"/>
      <c r="B85" s="1118"/>
      <c r="C85" s="1147"/>
      <c r="D85" s="1153" t="s">
        <v>439</v>
      </c>
      <c r="E85" s="1343" t="s">
        <v>440</v>
      </c>
      <c r="F85" s="1342"/>
      <c r="G85" s="1343">
        <v>132</v>
      </c>
      <c r="H85" s="1108"/>
      <c r="I85" s="1108"/>
      <c r="J85" s="1122">
        <f t="shared" si="2"/>
        <v>123032.15999999999</v>
      </c>
      <c r="L85" s="1344"/>
      <c r="M85" s="1108"/>
      <c r="N85" s="1123"/>
      <c r="O85" s="1337"/>
      <c r="P85" s="1337"/>
      <c r="Q85" s="1337"/>
      <c r="R85" s="1337"/>
      <c r="S85" s="1337"/>
      <c r="AC85" s="1795">
        <f t="shared" si="3"/>
        <v>123032.15999999999</v>
      </c>
      <c r="AD85" s="1323"/>
    </row>
    <row r="86" spans="1:30" ht="16.5" customHeight="1">
      <c r="A86" s="1117"/>
      <c r="B86" s="1118"/>
      <c r="C86" s="1147"/>
      <c r="D86" s="1153" t="s">
        <v>439</v>
      </c>
      <c r="E86" s="1343" t="s">
        <v>441</v>
      </c>
      <c r="F86" s="1342"/>
      <c r="G86" s="1343">
        <v>132</v>
      </c>
      <c r="H86" s="1108"/>
      <c r="I86" s="1108"/>
      <c r="J86" s="1122">
        <f t="shared" si="2"/>
        <v>123032.15999999999</v>
      </c>
      <c r="L86" s="1344"/>
      <c r="M86" s="1108"/>
      <c r="N86" s="1123"/>
      <c r="O86" s="1337"/>
      <c r="P86" s="1337"/>
      <c r="Q86" s="1337"/>
      <c r="R86" s="1337"/>
      <c r="S86" s="1337"/>
      <c r="AC86" s="1795">
        <f t="shared" si="3"/>
        <v>123032.15999999999</v>
      </c>
      <c r="AD86" s="1323"/>
    </row>
    <row r="87" spans="1:30" ht="16.5" customHeight="1">
      <c r="A87" s="1117"/>
      <c r="B87" s="1118"/>
      <c r="C87" s="1147"/>
      <c r="D87" s="1153" t="s">
        <v>442</v>
      </c>
      <c r="E87" s="1343" t="s">
        <v>443</v>
      </c>
      <c r="F87" s="1342"/>
      <c r="G87" s="1343">
        <v>132</v>
      </c>
      <c r="H87" s="1108"/>
      <c r="I87" s="1108"/>
      <c r="J87" s="1122">
        <f t="shared" si="2"/>
        <v>123032.15999999999</v>
      </c>
      <c r="L87" s="1344"/>
      <c r="M87" s="1108"/>
      <c r="N87" s="1123"/>
      <c r="O87" s="1337"/>
      <c r="P87" s="1337"/>
      <c r="Q87" s="1337"/>
      <c r="R87" s="1337"/>
      <c r="S87" s="1337"/>
      <c r="AC87" s="1795">
        <f t="shared" si="3"/>
        <v>123032.15999999999</v>
      </c>
      <c r="AD87" s="1323"/>
    </row>
    <row r="88" spans="1:30" ht="16.5" customHeight="1" thickBot="1">
      <c r="A88" s="1117"/>
      <c r="B88" s="1118"/>
      <c r="C88" s="1147"/>
      <c r="D88" s="1153"/>
      <c r="E88" s="1343"/>
      <c r="F88" s="1343"/>
      <c r="G88" s="1122"/>
      <c r="H88" s="1108"/>
      <c r="I88" s="1108"/>
      <c r="J88" s="1122"/>
      <c r="L88" s="1344"/>
      <c r="M88" s="1108"/>
      <c r="N88" s="1123"/>
      <c r="O88" s="1337"/>
      <c r="P88" s="1337"/>
      <c r="Q88" s="1337"/>
      <c r="R88" s="1337"/>
      <c r="S88" s="1337"/>
      <c r="AC88" s="1795"/>
      <c r="AD88" s="1323"/>
    </row>
    <row r="89" spans="1:30" ht="16.5" customHeight="1" thickBot="1" thickTop="1">
      <c r="A89" s="1117"/>
      <c r="B89" s="1118"/>
      <c r="C89" s="1147"/>
      <c r="D89" s="1318"/>
      <c r="E89" s="1345"/>
      <c r="F89" s="1153"/>
      <c r="G89" s="1153"/>
      <c r="H89" s="1154"/>
      <c r="J89" s="1153"/>
      <c r="L89" s="1346"/>
      <c r="M89" s="1341"/>
      <c r="N89" s="1341"/>
      <c r="O89" s="1330"/>
      <c r="P89" s="1330"/>
      <c r="Q89" s="1330"/>
      <c r="R89" s="1330"/>
      <c r="S89" s="1330"/>
      <c r="AB89" s="1796" t="s">
        <v>444</v>
      </c>
      <c r="AC89" s="1797">
        <f>SUM(AC70:AC87)</f>
        <v>3211525.9553600014</v>
      </c>
      <c r="AD89" s="1323"/>
    </row>
    <row r="90" spans="2:30" ht="16.5" customHeight="1" thickBot="1" thickTop="1">
      <c r="B90" s="1118"/>
      <c r="C90" s="1324" t="s">
        <v>122</v>
      </c>
      <c r="D90" s="1347" t="s">
        <v>123</v>
      </c>
      <c r="E90" s="1153"/>
      <c r="F90" s="1348"/>
      <c r="G90" s="1152"/>
      <c r="H90" s="1318"/>
      <c r="I90" s="1318"/>
      <c r="J90" s="1318"/>
      <c r="K90" s="1153"/>
      <c r="L90" s="1153"/>
      <c r="M90" s="1318"/>
      <c r="N90" s="1153"/>
      <c r="O90" s="1318"/>
      <c r="P90" s="1318"/>
      <c r="Q90" s="1318"/>
      <c r="R90" s="1318"/>
      <c r="S90" s="1318"/>
      <c r="T90" s="1318"/>
      <c r="U90" s="1318"/>
      <c r="AC90" s="1318"/>
      <c r="AD90" s="1323"/>
    </row>
    <row r="91" spans="2:30" s="1117" customFormat="1" ht="16.5" customHeight="1" thickBot="1" thickTop="1">
      <c r="B91" s="1118"/>
      <c r="C91" s="1147"/>
      <c r="D91" s="1326" t="s">
        <v>124</v>
      </c>
      <c r="E91" s="1349">
        <f>10*K65*K26/AC89</f>
        <v>2345.2379250332683</v>
      </c>
      <c r="G91" s="1152"/>
      <c r="L91" s="1153"/>
      <c r="N91" s="1153"/>
      <c r="O91" s="1154"/>
      <c r="V91" s="1081"/>
      <c r="W91" s="1081"/>
      <c r="AB91" s="1796" t="s">
        <v>445</v>
      </c>
      <c r="AC91" s="1797">
        <v>1899871.4115199994</v>
      </c>
      <c r="AD91" s="1323"/>
    </row>
    <row r="92" spans="2:30" s="1117" customFormat="1" ht="16.5" customHeight="1" thickTop="1">
      <c r="B92" s="1118"/>
      <c r="C92" s="1147"/>
      <c r="E92" s="1350"/>
      <c r="F92" s="1145"/>
      <c r="G92" s="1152"/>
      <c r="J92" s="1152"/>
      <c r="K92" s="1351"/>
      <c r="L92" s="1153"/>
      <c r="M92" s="1153"/>
      <c r="N92" s="1153"/>
      <c r="O92" s="1154"/>
      <c r="P92" s="1153"/>
      <c r="Q92" s="1153"/>
      <c r="R92" s="1352"/>
      <c r="S92" s="1352"/>
      <c r="T92" s="1352"/>
      <c r="U92" s="1353"/>
      <c r="V92" s="1081"/>
      <c r="W92" s="1081"/>
      <c r="AC92" s="1353"/>
      <c r="AD92" s="1323"/>
    </row>
    <row r="93" spans="2:30" ht="16.5" customHeight="1">
      <c r="B93" s="1118"/>
      <c r="C93" s="1147"/>
      <c r="D93" s="1354"/>
      <c r="E93" s="1355"/>
      <c r="F93" s="1145"/>
      <c r="G93" s="1152"/>
      <c r="H93" s="1318"/>
      <c r="I93" s="1318"/>
      <c r="N93" s="1153"/>
      <c r="O93" s="1154"/>
      <c r="P93" s="1153"/>
      <c r="Q93" s="1153"/>
      <c r="R93" s="1339"/>
      <c r="S93" s="1339"/>
      <c r="T93" s="1339"/>
      <c r="U93" s="1341"/>
      <c r="AC93" s="1341"/>
      <c r="AD93" s="1323"/>
    </row>
    <row r="94" spans="2:30" ht="16.5" customHeight="1" thickBot="1">
      <c r="B94" s="1118"/>
      <c r="C94" s="1147"/>
      <c r="D94" s="1354"/>
      <c r="E94" s="1355"/>
      <c r="F94" s="1145"/>
      <c r="G94" s="1152"/>
      <c r="H94" s="1318"/>
      <c r="I94" s="1318"/>
      <c r="N94" s="1153"/>
      <c r="O94" s="1154"/>
      <c r="P94" s="1153"/>
      <c r="Q94" s="1153"/>
      <c r="R94" s="1339"/>
      <c r="S94" s="1339"/>
      <c r="T94" s="1339"/>
      <c r="U94" s="1341"/>
      <c r="AC94" s="1341"/>
      <c r="AD94" s="1323"/>
    </row>
    <row r="95" spans="2:30" s="1356" customFormat="1" ht="21" thickBot="1" thickTop="1">
      <c r="B95" s="1357"/>
      <c r="C95" s="1358"/>
      <c r="D95" s="1359"/>
      <c r="E95" s="1360"/>
      <c r="F95" s="1361"/>
      <c r="G95" s="1362"/>
      <c r="I95" s="1081"/>
      <c r="J95" s="1363" t="s">
        <v>126</v>
      </c>
      <c r="K95" s="1364">
        <f>IF(E91&gt;3*K26,K26*3,E91)</f>
        <v>2345.2379250332683</v>
      </c>
      <c r="M95" s="1367"/>
      <c r="N95" s="1365" t="s">
        <v>446</v>
      </c>
      <c r="O95" s="1366"/>
      <c r="P95" s="1367"/>
      <c r="Q95" s="1367"/>
      <c r="R95" s="1368"/>
      <c r="S95" s="1368"/>
      <c r="T95" s="1368"/>
      <c r="U95" s="1369"/>
      <c r="V95" s="1081"/>
      <c r="W95" s="1081"/>
      <c r="AC95" s="1369"/>
      <c r="AD95" s="1370"/>
    </row>
    <row r="96" spans="2:30" ht="16.5" customHeight="1" thickBot="1" thickTop="1">
      <c r="B96" s="1371"/>
      <c r="C96" s="1372"/>
      <c r="D96" s="1372"/>
      <c r="E96" s="1372"/>
      <c r="F96" s="1372"/>
      <c r="G96" s="1372"/>
      <c r="H96" s="1372"/>
      <c r="I96" s="1372"/>
      <c r="J96" s="1372"/>
      <c r="K96" s="1372"/>
      <c r="L96" s="1372"/>
      <c r="M96" s="1372"/>
      <c r="N96" s="1372"/>
      <c r="O96" s="1372"/>
      <c r="P96" s="1372"/>
      <c r="Q96" s="1372"/>
      <c r="R96" s="1372"/>
      <c r="S96" s="1372"/>
      <c r="T96" s="1372"/>
      <c r="U96" s="1372"/>
      <c r="V96" s="1373"/>
      <c r="W96" s="1373"/>
      <c r="X96" s="1373"/>
      <c r="Y96" s="1373"/>
      <c r="Z96" s="1373"/>
      <c r="AA96" s="1373"/>
      <c r="AB96" s="1373"/>
      <c r="AC96" s="1372"/>
      <c r="AD96" s="1374"/>
    </row>
    <row r="97" spans="2:23" ht="16.5" customHeight="1" thickTop="1">
      <c r="B97" s="1114"/>
      <c r="C97" s="1375"/>
      <c r="W97" s="1114"/>
    </row>
  </sheetData>
  <sheetProtection password="CC12"/>
  <mergeCells count="31">
    <mergeCell ref="P59:Q59"/>
    <mergeCell ref="F60:G60"/>
    <mergeCell ref="P60:Q60"/>
    <mergeCell ref="F61:G61"/>
    <mergeCell ref="P61:Q61"/>
    <mergeCell ref="F52:G52"/>
    <mergeCell ref="O52:Q52"/>
    <mergeCell ref="F62:G62"/>
    <mergeCell ref="P62:Q62"/>
    <mergeCell ref="F54:G54"/>
    <mergeCell ref="O54:Q54"/>
    <mergeCell ref="F57:G57"/>
    <mergeCell ref="F58:G58"/>
    <mergeCell ref="P58:Q58"/>
    <mergeCell ref="F59:G59"/>
    <mergeCell ref="F53:G53"/>
    <mergeCell ref="O53:Q53"/>
    <mergeCell ref="F48:G48"/>
    <mergeCell ref="O48:Q48"/>
    <mergeCell ref="F49:G49"/>
    <mergeCell ref="O49:Q49"/>
    <mergeCell ref="F50:G50"/>
    <mergeCell ref="O50:Q50"/>
    <mergeCell ref="F51:G51"/>
    <mergeCell ref="O51:Q51"/>
    <mergeCell ref="F47:G47"/>
    <mergeCell ref="O47:Q47"/>
    <mergeCell ref="P41:Q41"/>
    <mergeCell ref="P42:Q42"/>
    <mergeCell ref="P43:Q43"/>
    <mergeCell ref="P44:Q44"/>
  </mergeCells>
  <printOptions/>
  <pageMargins left="1.38" right="0.1968503937007874" top="0.4724409448818898" bottom="0.34" header="0" footer="0"/>
  <pageSetup fitToHeight="1" fitToWidth="1" horizontalDpi="600" verticalDpi="600" orientation="landscape" paperSize="9" scale="31" r:id="rId4"/>
  <headerFooter alignWithMargins="0">
    <oddFooter>&amp;L&amp;F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>
    <pageSetUpPr fitToPage="1"/>
  </sheetPr>
  <dimension ref="A1:AF45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2" width="4.140625" style="9" customWidth="1"/>
    <col min="3" max="3" width="5.57421875" style="9" customWidth="1"/>
    <col min="4" max="5" width="13.574218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6.71093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+'TOT-0614'!B2</f>
        <v>ANEXO I al Memorándum D.T.E.E. N°         347   / 2015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12.75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24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2.75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18" customFormat="1" ht="20.25">
      <c r="B10" s="95"/>
      <c r="C10" s="23"/>
      <c r="D10" s="23"/>
      <c r="E10" s="23"/>
      <c r="F10" s="97" t="s">
        <v>25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98"/>
    </row>
    <row r="11" spans="2:32" s="8" customFormat="1" ht="12.75">
      <c r="B11" s="5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99"/>
    </row>
    <row r="12" spans="2:32" s="18" customFormat="1" ht="20.25">
      <c r="B12" s="95"/>
      <c r="C12" s="23"/>
      <c r="D12" s="23"/>
      <c r="E12" s="23"/>
      <c r="F12" s="97" t="s">
        <v>26</v>
      </c>
      <c r="G12" s="23"/>
      <c r="H12" s="23"/>
      <c r="I12" s="23"/>
      <c r="K12" s="23"/>
      <c r="L12" s="23"/>
      <c r="M12" s="23"/>
      <c r="N12" s="23"/>
      <c r="O12" s="23"/>
      <c r="P12" s="23"/>
      <c r="Q12" s="23"/>
      <c r="R12" s="97"/>
      <c r="S12" s="97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98"/>
    </row>
    <row r="13" spans="2:32" s="8" customFormat="1" ht="12.75">
      <c r="B13" s="55"/>
      <c r="C13" s="11"/>
      <c r="D13" s="11"/>
      <c r="E13" s="11"/>
      <c r="F13" s="11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34" customFormat="1" ht="19.5">
      <c r="B14" s="35" t="str">
        <f>'TOT-0614'!B14</f>
        <v>Desde el 01 al 30 de junio de 2014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101"/>
      <c r="Q14" s="101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102"/>
    </row>
    <row r="15" spans="2:32" s="8" customFormat="1" ht="16.5" customHeight="1" thickBot="1">
      <c r="B15" s="55"/>
      <c r="C15" s="11"/>
      <c r="D15" s="11"/>
      <c r="E15" s="11"/>
      <c r="F15" s="11"/>
      <c r="G15" s="85"/>
      <c r="H15" s="85"/>
      <c r="I15" s="11"/>
      <c r="J15" s="11"/>
      <c r="K15" s="11"/>
      <c r="L15" s="103"/>
      <c r="M15" s="11"/>
      <c r="N15" s="11"/>
      <c r="O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99"/>
    </row>
    <row r="16" spans="2:32" s="8" customFormat="1" ht="16.5" customHeight="1" thickBot="1" thickTop="1">
      <c r="B16" s="55"/>
      <c r="C16" s="11"/>
      <c r="D16" s="11"/>
      <c r="E16" s="11"/>
      <c r="F16" s="104" t="s">
        <v>27</v>
      </c>
      <c r="G16" s="105">
        <v>391.631</v>
      </c>
      <c r="H16" s="106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99"/>
    </row>
    <row r="17" spans="2:32" s="8" customFormat="1" ht="16.5" customHeight="1" thickBot="1" thickTop="1">
      <c r="B17" s="55"/>
      <c r="C17" s="11"/>
      <c r="D17" s="11"/>
      <c r="E17" s="11"/>
      <c r="F17" s="104" t="s">
        <v>28</v>
      </c>
      <c r="G17" s="105">
        <v>326.365</v>
      </c>
      <c r="H17" s="106"/>
      <c r="I17" s="11"/>
      <c r="J17" s="11"/>
      <c r="K17" s="11"/>
      <c r="L17" s="107"/>
      <c r="M17" s="108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09"/>
      <c r="Y17" s="109"/>
      <c r="Z17" s="109"/>
      <c r="AA17" s="109"/>
      <c r="AB17" s="109"/>
      <c r="AC17" s="109"/>
      <c r="AD17" s="109"/>
      <c r="AF17" s="99"/>
    </row>
    <row r="18" spans="2:32" s="8" customFormat="1" ht="16.5" customHeight="1" thickBot="1" thickTop="1">
      <c r="B18" s="55"/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0">
        <v>13</v>
      </c>
      <c r="N18" s="110">
        <v>14</v>
      </c>
      <c r="O18" s="110">
        <v>15</v>
      </c>
      <c r="P18" s="110">
        <v>16</v>
      </c>
      <c r="Q18" s="110">
        <v>17</v>
      </c>
      <c r="R18" s="110">
        <v>18</v>
      </c>
      <c r="S18" s="110">
        <v>19</v>
      </c>
      <c r="T18" s="110">
        <v>20</v>
      </c>
      <c r="U18" s="110">
        <v>21</v>
      </c>
      <c r="V18" s="110">
        <v>22</v>
      </c>
      <c r="W18" s="110">
        <v>23</v>
      </c>
      <c r="X18" s="110">
        <v>24</v>
      </c>
      <c r="Y18" s="110">
        <v>25</v>
      </c>
      <c r="Z18" s="110">
        <v>26</v>
      </c>
      <c r="AA18" s="110">
        <v>27</v>
      </c>
      <c r="AB18" s="110">
        <v>28</v>
      </c>
      <c r="AC18" s="110">
        <v>29</v>
      </c>
      <c r="AD18" s="110">
        <v>30</v>
      </c>
      <c r="AE18" s="110">
        <v>31</v>
      </c>
      <c r="AF18" s="99"/>
    </row>
    <row r="19" spans="2:32" s="8" customFormat="1" ht="33.75" customHeight="1" thickBot="1" thickTop="1">
      <c r="B19" s="55"/>
      <c r="C19" s="111" t="s">
        <v>29</v>
      </c>
      <c r="D19" s="111" t="s">
        <v>30</v>
      </c>
      <c r="E19" s="111" t="s">
        <v>31</v>
      </c>
      <c r="F19" s="112" t="s">
        <v>5</v>
      </c>
      <c r="G19" s="113" t="s">
        <v>32</v>
      </c>
      <c r="H19" s="114" t="s">
        <v>33</v>
      </c>
      <c r="I19" s="115" t="s">
        <v>34</v>
      </c>
      <c r="J19" s="116" t="s">
        <v>35</v>
      </c>
      <c r="K19" s="117" t="s">
        <v>36</v>
      </c>
      <c r="L19" s="112" t="s">
        <v>37</v>
      </c>
      <c r="M19" s="118" t="s">
        <v>38</v>
      </c>
      <c r="N19" s="119" t="s">
        <v>39</v>
      </c>
      <c r="O19" s="114" t="s">
        <v>40</v>
      </c>
      <c r="P19" s="119" t="s">
        <v>316</v>
      </c>
      <c r="Q19" s="114" t="s">
        <v>41</v>
      </c>
      <c r="R19" s="118" t="s">
        <v>42</v>
      </c>
      <c r="S19" s="112" t="s">
        <v>43</v>
      </c>
      <c r="T19" s="120" t="s">
        <v>44</v>
      </c>
      <c r="U19" s="121" t="s">
        <v>45</v>
      </c>
      <c r="V19" s="122" t="s">
        <v>46</v>
      </c>
      <c r="W19" s="123"/>
      <c r="X19" s="124"/>
      <c r="Y19" s="125" t="s">
        <v>47</v>
      </c>
      <c r="Z19" s="126"/>
      <c r="AA19" s="127"/>
      <c r="AB19" s="128" t="s">
        <v>48</v>
      </c>
      <c r="AC19" s="129" t="s">
        <v>49</v>
      </c>
      <c r="AD19" s="130" t="s">
        <v>50</v>
      </c>
      <c r="AE19" s="130" t="s">
        <v>51</v>
      </c>
      <c r="AF19" s="131"/>
    </row>
    <row r="20" spans="2:32" s="8" customFormat="1" ht="16.5" customHeight="1" thickTop="1">
      <c r="B20" s="55"/>
      <c r="C20" s="132"/>
      <c r="D20" s="132"/>
      <c r="E20" s="132"/>
      <c r="F20" s="133"/>
      <c r="G20" s="133"/>
      <c r="H20" s="134"/>
      <c r="I20" s="135"/>
      <c r="J20" s="136"/>
      <c r="K20" s="137"/>
      <c r="L20" s="138"/>
      <c r="M20" s="138"/>
      <c r="N20" s="135"/>
      <c r="O20" s="135"/>
      <c r="P20" s="135"/>
      <c r="Q20" s="135"/>
      <c r="R20" s="135"/>
      <c r="S20" s="135"/>
      <c r="T20" s="139"/>
      <c r="U20" s="140"/>
      <c r="V20" s="141"/>
      <c r="W20" s="142"/>
      <c r="X20" s="143"/>
      <c r="Y20" s="144"/>
      <c r="Z20" s="145"/>
      <c r="AA20" s="146"/>
      <c r="AB20" s="147"/>
      <c r="AC20" s="148"/>
      <c r="AD20" s="135"/>
      <c r="AE20" s="149"/>
      <c r="AF20" s="99"/>
    </row>
    <row r="21" spans="2:32" s="8" customFormat="1" ht="16.5" customHeight="1">
      <c r="B21" s="55"/>
      <c r="C21" s="150"/>
      <c r="D21" s="150"/>
      <c r="E21" s="150"/>
      <c r="F21" s="151"/>
      <c r="G21" s="152"/>
      <c r="H21" s="153"/>
      <c r="I21" s="151"/>
      <c r="J21" s="154"/>
      <c r="K21" s="155"/>
      <c r="L21" s="156"/>
      <c r="M21" s="109"/>
      <c r="N21" s="151"/>
      <c r="O21" s="151"/>
      <c r="P21" s="157"/>
      <c r="Q21" s="151"/>
      <c r="R21" s="151"/>
      <c r="S21" s="151"/>
      <c r="T21" s="158"/>
      <c r="U21" s="159"/>
      <c r="V21" s="160"/>
      <c r="W21" s="161"/>
      <c r="X21" s="162"/>
      <c r="Y21" s="163"/>
      <c r="Z21" s="164"/>
      <c r="AA21" s="165"/>
      <c r="AB21" s="166"/>
      <c r="AC21" s="167"/>
      <c r="AD21" s="151"/>
      <c r="AE21" s="168"/>
      <c r="AF21" s="99"/>
    </row>
    <row r="22" spans="2:32" s="8" customFormat="1" ht="16.5" customHeight="1">
      <c r="B22" s="55"/>
      <c r="C22" s="169"/>
      <c r="D22" s="169"/>
      <c r="E22" s="169"/>
      <c r="F22" s="169"/>
      <c r="G22" s="170"/>
      <c r="H22" s="171"/>
      <c r="I22" s="170"/>
      <c r="J22" s="172"/>
      <c r="K22" s="173"/>
      <c r="L22" s="174"/>
      <c r="M22" s="175"/>
      <c r="N22" s="176"/>
      <c r="O22" s="177"/>
      <c r="P22" s="178"/>
      <c r="Q22" s="179"/>
      <c r="R22" s="180"/>
      <c r="S22" s="180"/>
      <c r="T22" s="181"/>
      <c r="U22" s="182"/>
      <c r="V22" s="183"/>
      <c r="W22" s="184"/>
      <c r="X22" s="185"/>
      <c r="Y22" s="186"/>
      <c r="Z22" s="187"/>
      <c r="AA22" s="188"/>
      <c r="AB22" s="189"/>
      <c r="AC22" s="190"/>
      <c r="AD22" s="191"/>
      <c r="AE22" s="192"/>
      <c r="AF22" s="193"/>
    </row>
    <row r="23" spans="2:32" s="8" customFormat="1" ht="16.5" customHeight="1">
      <c r="B23" s="55"/>
      <c r="C23" s="150">
        <v>2</v>
      </c>
      <c r="D23" s="150">
        <v>275621</v>
      </c>
      <c r="E23" s="150">
        <v>8</v>
      </c>
      <c r="F23" s="169" t="s">
        <v>330</v>
      </c>
      <c r="G23" s="170">
        <v>500</v>
      </c>
      <c r="H23" s="171">
        <v>5.599999904632568</v>
      </c>
      <c r="I23" s="170" t="s">
        <v>331</v>
      </c>
      <c r="J23" s="172">
        <f aca="true" t="shared" si="0" ref="J23:J41">IF(I23="A",200,IF(I23="B",60,20))</f>
        <v>20</v>
      </c>
      <c r="K23" s="173">
        <f aca="true" t="shared" si="1" ref="K23:K41">IF(G23=500,IF(H23&lt;100,100*$G$16/100,H23*$G$16/100),IF(H23&lt;100,100*$G$17/100,H23*$G$17/100))</f>
        <v>391.631</v>
      </c>
      <c r="L23" s="174">
        <v>41792.37847222222</v>
      </c>
      <c r="M23" s="175">
        <v>41792.72361111111</v>
      </c>
      <c r="N23" s="176">
        <f aca="true" t="shared" si="2" ref="N23:N41">IF(F23="","",(M23-L23)*24)</f>
        <v>8.283333333441988</v>
      </c>
      <c r="O23" s="177">
        <f aca="true" t="shared" si="3" ref="O23:O41">IF(F23="","",ROUND((M23-L23)*24*60,0))</f>
        <v>497</v>
      </c>
      <c r="P23" s="178" t="s">
        <v>332</v>
      </c>
      <c r="Q23" s="179" t="str">
        <f aca="true" t="shared" si="4" ref="Q23:Q41">IF(F23="","","--")</f>
        <v>--</v>
      </c>
      <c r="R23" s="180" t="str">
        <f aca="true" t="shared" si="5" ref="R23:R41">IF(F23="","","NO")</f>
        <v>NO</v>
      </c>
      <c r="S23" s="180" t="str">
        <f aca="true" t="shared" si="6" ref="S23:S41">IF(F23="","",IF(OR(P23="P",P23="RP"),"--","NO"))</f>
        <v>--</v>
      </c>
      <c r="T23" s="181">
        <f aca="true" t="shared" si="7" ref="T23:T41">IF(P23="P",K23*J23*ROUND(O23/60,2)*0.01,"--")</f>
        <v>648.5409359999999</v>
      </c>
      <c r="U23" s="182" t="str">
        <f aca="true" t="shared" si="8" ref="U23:U41">IF(P23="RP",K23*J23*ROUND(O23/60,2)*0.01*Q23/100,"--")</f>
        <v>--</v>
      </c>
      <c r="V23" s="183" t="str">
        <f aca="true" t="shared" si="9" ref="V23:V41">IF(AND(P23="F",S23="NO"),K23*J23*IF(R23="SI",1.2,1),"--")</f>
        <v>--</v>
      </c>
      <c r="W23" s="184" t="str">
        <f aca="true" t="shared" si="10" ref="W23:W41">IF(AND(P23="F",O23&gt;=10),K23*J23*IF(R23="SI",1.2,1)*IF(O23&lt;=300,ROUND(O23/60,2),5),"--")</f>
        <v>--</v>
      </c>
      <c r="X23" s="185" t="str">
        <f aca="true" t="shared" si="11" ref="X23:X41">IF(AND(P23="F",O23&gt;300),(ROUND(O23/60,2)-5)*K23*J23*0.1*IF(R23="SI",1.2,1),"--")</f>
        <v>--</v>
      </c>
      <c r="Y23" s="186" t="str">
        <f aca="true" t="shared" si="12" ref="Y23:Y41">IF(AND(P23="R",S23="NO"),K23*J23*Q23/100*IF(R23="SI",1.2,1),"--")</f>
        <v>--</v>
      </c>
      <c r="Z23" s="187" t="str">
        <f aca="true" t="shared" si="13" ref="Z23:Z41">IF(AND(P23="R",O23&gt;=10),K23*J23*Q23/100*IF(R23="SI",1.2,1)*IF(O23&lt;=300,ROUND(O23/60,2),5),"--")</f>
        <v>--</v>
      </c>
      <c r="AA23" s="188" t="str">
        <f aca="true" t="shared" si="14" ref="AA23:AA41">IF(AND(P23="R",O23&gt;300),(ROUND(O23/60,2)-5)*K23*J23*0.1*Q23/100*IF(R23="SI",1.2,1),"--")</f>
        <v>--</v>
      </c>
      <c r="AB23" s="189" t="str">
        <f aca="true" t="shared" si="15" ref="AB23:AB41">IF(P23="RF",ROUND(O23/60,2)*K23*J23*0.1*IF(R23="SI",1.2,1),"--")</f>
        <v>--</v>
      </c>
      <c r="AC23" s="190" t="str">
        <f aca="true" t="shared" si="16" ref="AC23:AC41">IF(P23="RR",ROUND(O23/60,2)*K23*J23*0.1*Q23/100*IF(R23="SI",1.2,1),"--")</f>
        <v>--</v>
      </c>
      <c r="AD23" s="191" t="s">
        <v>84</v>
      </c>
      <c r="AE23" s="192">
        <v>0</v>
      </c>
      <c r="AF23" s="193"/>
    </row>
    <row r="24" spans="2:32" s="8" customFormat="1" ht="16.5" customHeight="1">
      <c r="B24" s="55"/>
      <c r="C24" s="169">
        <v>3</v>
      </c>
      <c r="D24" s="169">
        <v>275624</v>
      </c>
      <c r="E24" s="169">
        <v>50</v>
      </c>
      <c r="F24" s="194" t="s">
        <v>333</v>
      </c>
      <c r="G24" s="195">
        <v>220</v>
      </c>
      <c r="H24" s="196">
        <v>114</v>
      </c>
      <c r="I24" s="195" t="s">
        <v>331</v>
      </c>
      <c r="J24" s="172">
        <f t="shared" si="0"/>
        <v>20</v>
      </c>
      <c r="K24" s="173">
        <f t="shared" si="1"/>
        <v>372.0561</v>
      </c>
      <c r="L24" s="197">
        <v>41794.36944444444</v>
      </c>
      <c r="M24" s="198">
        <v>41794.73888888889</v>
      </c>
      <c r="N24" s="176">
        <f t="shared" si="2"/>
        <v>8.866666666755918</v>
      </c>
      <c r="O24" s="177">
        <f t="shared" si="3"/>
        <v>532</v>
      </c>
      <c r="P24" s="178" t="s">
        <v>332</v>
      </c>
      <c r="Q24" s="179" t="str">
        <f t="shared" si="4"/>
        <v>--</v>
      </c>
      <c r="R24" s="180" t="str">
        <f t="shared" si="5"/>
        <v>NO</v>
      </c>
      <c r="S24" s="180" t="str">
        <f t="shared" si="6"/>
        <v>--</v>
      </c>
      <c r="T24" s="181">
        <f t="shared" si="7"/>
        <v>660.0275214</v>
      </c>
      <c r="U24" s="182" t="str">
        <f t="shared" si="8"/>
        <v>--</v>
      </c>
      <c r="V24" s="183" t="str">
        <f t="shared" si="9"/>
        <v>--</v>
      </c>
      <c r="W24" s="184" t="str">
        <f t="shared" si="10"/>
        <v>--</v>
      </c>
      <c r="X24" s="185" t="str">
        <f t="shared" si="11"/>
        <v>--</v>
      </c>
      <c r="Y24" s="186" t="str">
        <f t="shared" si="12"/>
        <v>--</v>
      </c>
      <c r="Z24" s="187" t="str">
        <f t="shared" si="13"/>
        <v>--</v>
      </c>
      <c r="AA24" s="188" t="str">
        <f t="shared" si="14"/>
        <v>--</v>
      </c>
      <c r="AB24" s="189" t="str">
        <f t="shared" si="15"/>
        <v>--</v>
      </c>
      <c r="AC24" s="190" t="str">
        <f t="shared" si="16"/>
        <v>--</v>
      </c>
      <c r="AD24" s="191" t="s">
        <v>84</v>
      </c>
      <c r="AE24" s="192">
        <f aca="true" t="shared" si="17" ref="AE24:AE41">IF(F24="","",SUM(T24:AC24)*IF(AD24="SI",1,2))</f>
        <v>660.0275214</v>
      </c>
      <c r="AF24" s="193"/>
    </row>
    <row r="25" spans="2:32" s="8" customFormat="1" ht="16.5" customHeight="1">
      <c r="B25" s="55"/>
      <c r="C25" s="150">
        <v>4</v>
      </c>
      <c r="D25" s="150">
        <v>275625</v>
      </c>
      <c r="E25" s="150">
        <v>50</v>
      </c>
      <c r="F25" s="194" t="s">
        <v>333</v>
      </c>
      <c r="G25" s="195">
        <v>220</v>
      </c>
      <c r="H25" s="196">
        <v>114</v>
      </c>
      <c r="I25" s="195" t="s">
        <v>331</v>
      </c>
      <c r="J25" s="172">
        <f t="shared" si="0"/>
        <v>20</v>
      </c>
      <c r="K25" s="173">
        <f t="shared" si="1"/>
        <v>372.0561</v>
      </c>
      <c r="L25" s="197">
        <v>41795.361805555556</v>
      </c>
      <c r="M25" s="198">
        <v>41795.73263888889</v>
      </c>
      <c r="N25" s="176">
        <f t="shared" si="2"/>
        <v>8.900000000023283</v>
      </c>
      <c r="O25" s="177">
        <f t="shared" si="3"/>
        <v>534</v>
      </c>
      <c r="P25" s="178" t="s">
        <v>332</v>
      </c>
      <c r="Q25" s="179" t="str">
        <f t="shared" si="4"/>
        <v>--</v>
      </c>
      <c r="R25" s="180" t="str">
        <f t="shared" si="5"/>
        <v>NO</v>
      </c>
      <c r="S25" s="180" t="str">
        <f t="shared" si="6"/>
        <v>--</v>
      </c>
      <c r="T25" s="181">
        <f t="shared" si="7"/>
        <v>662.2598580000001</v>
      </c>
      <c r="U25" s="182" t="str">
        <f t="shared" si="8"/>
        <v>--</v>
      </c>
      <c r="V25" s="183" t="str">
        <f t="shared" si="9"/>
        <v>--</v>
      </c>
      <c r="W25" s="184" t="str">
        <f t="shared" si="10"/>
        <v>--</v>
      </c>
      <c r="X25" s="185" t="str">
        <f t="shared" si="11"/>
        <v>--</v>
      </c>
      <c r="Y25" s="186" t="str">
        <f t="shared" si="12"/>
        <v>--</v>
      </c>
      <c r="Z25" s="187" t="str">
        <f t="shared" si="13"/>
        <v>--</v>
      </c>
      <c r="AA25" s="188" t="str">
        <f t="shared" si="14"/>
        <v>--</v>
      </c>
      <c r="AB25" s="189" t="str">
        <f t="shared" si="15"/>
        <v>--</v>
      </c>
      <c r="AC25" s="190" t="str">
        <f t="shared" si="16"/>
        <v>--</v>
      </c>
      <c r="AD25" s="191" t="s">
        <v>84</v>
      </c>
      <c r="AE25" s="192">
        <f t="shared" si="17"/>
        <v>662.2598580000001</v>
      </c>
      <c r="AF25" s="193"/>
    </row>
    <row r="26" spans="2:32" s="8" customFormat="1" ht="16.5" customHeight="1">
      <c r="B26" s="55"/>
      <c r="C26" s="169">
        <v>5</v>
      </c>
      <c r="D26" s="169">
        <v>275629</v>
      </c>
      <c r="E26" s="169">
        <v>50</v>
      </c>
      <c r="F26" s="169" t="s">
        <v>333</v>
      </c>
      <c r="G26" s="170">
        <v>220</v>
      </c>
      <c r="H26" s="171">
        <v>114</v>
      </c>
      <c r="I26" s="170" t="s">
        <v>331</v>
      </c>
      <c r="J26" s="172">
        <f t="shared" si="0"/>
        <v>20</v>
      </c>
      <c r="K26" s="173">
        <f t="shared" si="1"/>
        <v>372.0561</v>
      </c>
      <c r="L26" s="174">
        <v>41797.404861111114</v>
      </c>
      <c r="M26" s="175">
        <v>41797.69305555556</v>
      </c>
      <c r="N26" s="176">
        <f t="shared" si="2"/>
        <v>6.916666666686069</v>
      </c>
      <c r="O26" s="177">
        <f t="shared" si="3"/>
        <v>415</v>
      </c>
      <c r="P26" s="178" t="s">
        <v>332</v>
      </c>
      <c r="Q26" s="179" t="str">
        <f t="shared" si="4"/>
        <v>--</v>
      </c>
      <c r="R26" s="180" t="str">
        <f t="shared" si="5"/>
        <v>NO</v>
      </c>
      <c r="S26" s="180" t="str">
        <f t="shared" si="6"/>
        <v>--</v>
      </c>
      <c r="T26" s="181">
        <f t="shared" si="7"/>
        <v>514.9256424</v>
      </c>
      <c r="U26" s="182" t="str">
        <f t="shared" si="8"/>
        <v>--</v>
      </c>
      <c r="V26" s="183" t="str">
        <f t="shared" si="9"/>
        <v>--</v>
      </c>
      <c r="W26" s="184" t="str">
        <f t="shared" si="10"/>
        <v>--</v>
      </c>
      <c r="X26" s="185" t="str">
        <f t="shared" si="11"/>
        <v>--</v>
      </c>
      <c r="Y26" s="186" t="str">
        <f t="shared" si="12"/>
        <v>--</v>
      </c>
      <c r="Z26" s="187" t="str">
        <f t="shared" si="13"/>
        <v>--</v>
      </c>
      <c r="AA26" s="188" t="str">
        <f t="shared" si="14"/>
        <v>--</v>
      </c>
      <c r="AB26" s="189" t="str">
        <f t="shared" si="15"/>
        <v>--</v>
      </c>
      <c r="AC26" s="190" t="str">
        <f t="shared" si="16"/>
        <v>--</v>
      </c>
      <c r="AD26" s="191" t="s">
        <v>84</v>
      </c>
      <c r="AE26" s="192">
        <f t="shared" si="17"/>
        <v>514.9256424</v>
      </c>
      <c r="AF26" s="193"/>
    </row>
    <row r="27" spans="2:32" s="8" customFormat="1" ht="16.5" customHeight="1">
      <c r="B27" s="55"/>
      <c r="C27" s="150">
        <v>6</v>
      </c>
      <c r="D27" s="150">
        <v>275631</v>
      </c>
      <c r="E27" s="150">
        <v>4820</v>
      </c>
      <c r="F27" s="169" t="s">
        <v>468</v>
      </c>
      <c r="G27" s="170">
        <v>500</v>
      </c>
      <c r="H27" s="171">
        <v>64.99</v>
      </c>
      <c r="I27" s="170" t="s">
        <v>469</v>
      </c>
      <c r="J27" s="172">
        <f t="shared" si="0"/>
        <v>60</v>
      </c>
      <c r="K27" s="173">
        <f t="shared" si="1"/>
        <v>391.631</v>
      </c>
      <c r="L27" s="174">
        <v>41798.29513888889</v>
      </c>
      <c r="M27" s="175">
        <v>41798.748611111114</v>
      </c>
      <c r="N27" s="176">
        <f t="shared" si="2"/>
        <v>10.883333333360497</v>
      </c>
      <c r="O27" s="177">
        <f t="shared" si="3"/>
        <v>653</v>
      </c>
      <c r="P27" s="178" t="s">
        <v>332</v>
      </c>
      <c r="Q27" s="179" t="str">
        <f t="shared" si="4"/>
        <v>--</v>
      </c>
      <c r="R27" s="180" t="str">
        <f t="shared" si="5"/>
        <v>NO</v>
      </c>
      <c r="S27" s="180" t="str">
        <f t="shared" si="6"/>
        <v>--</v>
      </c>
      <c r="T27" s="181">
        <f t="shared" si="7"/>
        <v>2556.567168</v>
      </c>
      <c r="U27" s="182" t="str">
        <f t="shared" si="8"/>
        <v>--</v>
      </c>
      <c r="V27" s="183" t="str">
        <f t="shared" si="9"/>
        <v>--</v>
      </c>
      <c r="W27" s="184" t="str">
        <f t="shared" si="10"/>
        <v>--</v>
      </c>
      <c r="X27" s="185" t="str">
        <f t="shared" si="11"/>
        <v>--</v>
      </c>
      <c r="Y27" s="186" t="str">
        <f t="shared" si="12"/>
        <v>--</v>
      </c>
      <c r="Z27" s="187" t="str">
        <f t="shared" si="13"/>
        <v>--</v>
      </c>
      <c r="AA27" s="188" t="str">
        <f t="shared" si="14"/>
        <v>--</v>
      </c>
      <c r="AB27" s="189" t="str">
        <f t="shared" si="15"/>
        <v>--</v>
      </c>
      <c r="AC27" s="190" t="str">
        <f t="shared" si="16"/>
        <v>--</v>
      </c>
      <c r="AD27" s="191" t="s">
        <v>84</v>
      </c>
      <c r="AE27" s="192">
        <f t="shared" si="17"/>
        <v>2556.567168</v>
      </c>
      <c r="AF27" s="193"/>
    </row>
    <row r="28" spans="2:32" s="8" customFormat="1" ht="16.5" customHeight="1">
      <c r="B28" s="55"/>
      <c r="C28" s="169">
        <v>7</v>
      </c>
      <c r="D28" s="169">
        <v>276050</v>
      </c>
      <c r="E28" s="169">
        <v>3065</v>
      </c>
      <c r="F28" s="199" t="s">
        <v>335</v>
      </c>
      <c r="G28" s="200">
        <v>500</v>
      </c>
      <c r="H28" s="201">
        <v>150</v>
      </c>
      <c r="I28" s="200" t="s">
        <v>328</v>
      </c>
      <c r="J28" s="172">
        <f t="shared" si="0"/>
        <v>200</v>
      </c>
      <c r="K28" s="173">
        <f t="shared" si="1"/>
        <v>587.4464999999999</v>
      </c>
      <c r="L28" s="202">
        <v>41810.25277777778</v>
      </c>
      <c r="M28" s="203">
        <v>41810.33611111111</v>
      </c>
      <c r="N28" s="176">
        <f t="shared" si="2"/>
        <v>1.9999999998835847</v>
      </c>
      <c r="O28" s="177">
        <f t="shared" si="3"/>
        <v>120</v>
      </c>
      <c r="P28" s="178" t="s">
        <v>329</v>
      </c>
      <c r="Q28" s="179" t="str">
        <f t="shared" si="4"/>
        <v>--</v>
      </c>
      <c r="R28" s="180" t="str">
        <f t="shared" si="5"/>
        <v>NO</v>
      </c>
      <c r="S28" s="180" t="str">
        <f t="shared" si="6"/>
        <v>NO</v>
      </c>
      <c r="T28" s="181" t="str">
        <f t="shared" si="7"/>
        <v>--</v>
      </c>
      <c r="U28" s="182" t="str">
        <f t="shared" si="8"/>
        <v>--</v>
      </c>
      <c r="V28" s="183">
        <f t="shared" si="9"/>
        <v>117489.29999999997</v>
      </c>
      <c r="W28" s="184">
        <f t="shared" si="10"/>
        <v>234978.59999999995</v>
      </c>
      <c r="X28" s="185" t="str">
        <f t="shared" si="11"/>
        <v>--</v>
      </c>
      <c r="Y28" s="186" t="str">
        <f t="shared" si="12"/>
        <v>--</v>
      </c>
      <c r="Z28" s="187" t="str">
        <f t="shared" si="13"/>
        <v>--</v>
      </c>
      <c r="AA28" s="188" t="str">
        <f t="shared" si="14"/>
        <v>--</v>
      </c>
      <c r="AB28" s="189" t="str">
        <f t="shared" si="15"/>
        <v>--</v>
      </c>
      <c r="AC28" s="190" t="str">
        <f t="shared" si="16"/>
        <v>--</v>
      </c>
      <c r="AD28" s="191" t="s">
        <v>84</v>
      </c>
      <c r="AE28" s="192">
        <f t="shared" si="17"/>
        <v>352467.8999999999</v>
      </c>
      <c r="AF28" s="193"/>
    </row>
    <row r="29" spans="2:32" s="8" customFormat="1" ht="16.5" customHeight="1">
      <c r="B29" s="55"/>
      <c r="C29" s="150">
        <v>8</v>
      </c>
      <c r="D29" s="150">
        <v>276051</v>
      </c>
      <c r="E29" s="150">
        <v>3066</v>
      </c>
      <c r="F29" s="199" t="s">
        <v>336</v>
      </c>
      <c r="G29" s="200">
        <v>500</v>
      </c>
      <c r="H29" s="201">
        <v>257</v>
      </c>
      <c r="I29" s="200" t="s">
        <v>328</v>
      </c>
      <c r="J29" s="172">
        <f t="shared" si="0"/>
        <v>200</v>
      </c>
      <c r="K29" s="173">
        <f t="shared" si="1"/>
        <v>1006.4916699999999</v>
      </c>
      <c r="L29" s="202">
        <v>41810.25277777778</v>
      </c>
      <c r="M29" s="203">
        <v>41810.745833333334</v>
      </c>
      <c r="N29" s="176">
        <f t="shared" si="2"/>
        <v>11.83333333331393</v>
      </c>
      <c r="O29" s="177">
        <f t="shared" si="3"/>
        <v>710</v>
      </c>
      <c r="P29" s="178" t="s">
        <v>329</v>
      </c>
      <c r="Q29" s="179" t="str">
        <f t="shared" si="4"/>
        <v>--</v>
      </c>
      <c r="R29" s="180" t="str">
        <f t="shared" si="5"/>
        <v>NO</v>
      </c>
      <c r="S29" s="180" t="str">
        <f t="shared" si="6"/>
        <v>NO</v>
      </c>
      <c r="T29" s="181" t="str">
        <f t="shared" si="7"/>
        <v>--</v>
      </c>
      <c r="U29" s="182" t="str">
        <f t="shared" si="8"/>
        <v>--</v>
      </c>
      <c r="V29" s="183">
        <f t="shared" si="9"/>
        <v>201298.33399999997</v>
      </c>
      <c r="W29" s="184">
        <f t="shared" si="10"/>
        <v>1006491.6699999999</v>
      </c>
      <c r="X29" s="185">
        <f t="shared" si="11"/>
        <v>137486.762122</v>
      </c>
      <c r="Y29" s="186" t="str">
        <f t="shared" si="12"/>
        <v>--</v>
      </c>
      <c r="Z29" s="187" t="str">
        <f t="shared" si="13"/>
        <v>--</v>
      </c>
      <c r="AA29" s="188" t="str">
        <f t="shared" si="14"/>
        <v>--</v>
      </c>
      <c r="AB29" s="189" t="str">
        <f t="shared" si="15"/>
        <v>--</v>
      </c>
      <c r="AC29" s="190" t="str">
        <f t="shared" si="16"/>
        <v>--</v>
      </c>
      <c r="AD29" s="191" t="s">
        <v>84</v>
      </c>
      <c r="AE29" s="192">
        <f t="shared" si="17"/>
        <v>1345276.7661219998</v>
      </c>
      <c r="AF29" s="193"/>
    </row>
    <row r="30" spans="2:32" s="8" customFormat="1" ht="16.5" customHeight="1">
      <c r="B30" s="55"/>
      <c r="C30" s="169">
        <v>9</v>
      </c>
      <c r="D30" s="169">
        <v>276239</v>
      </c>
      <c r="E30" s="169">
        <v>4733</v>
      </c>
      <c r="F30" s="199" t="s">
        <v>337</v>
      </c>
      <c r="G30" s="200">
        <v>220</v>
      </c>
      <c r="H30" s="201">
        <v>77</v>
      </c>
      <c r="I30" s="200" t="s">
        <v>331</v>
      </c>
      <c r="J30" s="172">
        <f t="shared" si="0"/>
        <v>20</v>
      </c>
      <c r="K30" s="173">
        <f t="shared" si="1"/>
        <v>326.365</v>
      </c>
      <c r="L30" s="202">
        <v>41817.19236111111</v>
      </c>
      <c r="M30" s="203">
        <v>41817.20277777778</v>
      </c>
      <c r="N30" s="176">
        <f t="shared" si="2"/>
        <v>0.24999999994179234</v>
      </c>
      <c r="O30" s="177">
        <f t="shared" si="3"/>
        <v>15</v>
      </c>
      <c r="P30" s="178" t="s">
        <v>329</v>
      </c>
      <c r="Q30" s="179" t="str">
        <f t="shared" si="4"/>
        <v>--</v>
      </c>
      <c r="R30" s="180" t="str">
        <f t="shared" si="5"/>
        <v>NO</v>
      </c>
      <c r="S30" s="180" t="str">
        <f t="shared" si="6"/>
        <v>NO</v>
      </c>
      <c r="T30" s="181" t="str">
        <f t="shared" si="7"/>
        <v>--</v>
      </c>
      <c r="U30" s="182" t="str">
        <f t="shared" si="8"/>
        <v>--</v>
      </c>
      <c r="V30" s="183">
        <f t="shared" si="9"/>
        <v>6527.3</v>
      </c>
      <c r="W30" s="184">
        <f t="shared" si="10"/>
        <v>1631.825</v>
      </c>
      <c r="X30" s="185" t="str">
        <f t="shared" si="11"/>
        <v>--</v>
      </c>
      <c r="Y30" s="186" t="str">
        <f t="shared" si="12"/>
        <v>--</v>
      </c>
      <c r="Z30" s="187" t="str">
        <f t="shared" si="13"/>
        <v>--</v>
      </c>
      <c r="AA30" s="188" t="str">
        <f t="shared" si="14"/>
        <v>--</v>
      </c>
      <c r="AB30" s="189" t="str">
        <f t="shared" si="15"/>
        <v>--</v>
      </c>
      <c r="AC30" s="190" t="str">
        <f t="shared" si="16"/>
        <v>--</v>
      </c>
      <c r="AD30" s="191" t="s">
        <v>84</v>
      </c>
      <c r="AE30" s="192">
        <f t="shared" si="17"/>
        <v>8159.125</v>
      </c>
      <c r="AF30" s="193"/>
    </row>
    <row r="31" spans="2:32" s="8" customFormat="1" ht="16.5" customHeight="1">
      <c r="B31" s="55"/>
      <c r="C31" s="150">
        <v>10</v>
      </c>
      <c r="D31" s="150">
        <v>276240</v>
      </c>
      <c r="E31" s="150">
        <v>49</v>
      </c>
      <c r="F31" s="199" t="s">
        <v>338</v>
      </c>
      <c r="G31" s="200">
        <v>220</v>
      </c>
      <c r="H31" s="201">
        <v>114</v>
      </c>
      <c r="I31" s="200" t="s">
        <v>331</v>
      </c>
      <c r="J31" s="172">
        <f t="shared" si="0"/>
        <v>20</v>
      </c>
      <c r="K31" s="173">
        <f t="shared" si="1"/>
        <v>372.0561</v>
      </c>
      <c r="L31" s="202">
        <v>41817.305555555555</v>
      </c>
      <c r="M31" s="203">
        <v>41817.308333333334</v>
      </c>
      <c r="N31" s="176">
        <f t="shared" si="2"/>
        <v>0.06666666670935228</v>
      </c>
      <c r="O31" s="177">
        <f t="shared" si="3"/>
        <v>4</v>
      </c>
      <c r="P31" s="178" t="s">
        <v>329</v>
      </c>
      <c r="Q31" s="179" t="str">
        <f t="shared" si="4"/>
        <v>--</v>
      </c>
      <c r="R31" s="180" t="str">
        <f t="shared" si="5"/>
        <v>NO</v>
      </c>
      <c r="S31" s="180" t="str">
        <f t="shared" si="6"/>
        <v>NO</v>
      </c>
      <c r="T31" s="181" t="str">
        <f t="shared" si="7"/>
        <v>--</v>
      </c>
      <c r="U31" s="182" t="str">
        <f t="shared" si="8"/>
        <v>--</v>
      </c>
      <c r="V31" s="183">
        <f t="shared" si="9"/>
        <v>7441.122</v>
      </c>
      <c r="W31" s="184" t="str">
        <f t="shared" si="10"/>
        <v>--</v>
      </c>
      <c r="X31" s="185" t="str">
        <f t="shared" si="11"/>
        <v>--</v>
      </c>
      <c r="Y31" s="186" t="str">
        <f t="shared" si="12"/>
        <v>--</v>
      </c>
      <c r="Z31" s="187" t="str">
        <f t="shared" si="13"/>
        <v>--</v>
      </c>
      <c r="AA31" s="188" t="str">
        <f t="shared" si="14"/>
        <v>--</v>
      </c>
      <c r="AB31" s="189" t="str">
        <f t="shared" si="15"/>
        <v>--</v>
      </c>
      <c r="AC31" s="190" t="str">
        <f t="shared" si="16"/>
        <v>--</v>
      </c>
      <c r="AD31" s="191" t="s">
        <v>84</v>
      </c>
      <c r="AE31" s="192">
        <f t="shared" si="17"/>
        <v>7441.122</v>
      </c>
      <c r="AF31" s="193"/>
    </row>
    <row r="32" spans="2:32" s="8" customFormat="1" ht="16.5" customHeight="1">
      <c r="B32" s="55"/>
      <c r="C32" s="169">
        <v>11</v>
      </c>
      <c r="D32" s="169">
        <v>276246</v>
      </c>
      <c r="E32" s="169">
        <v>3065</v>
      </c>
      <c r="F32" s="199" t="s">
        <v>335</v>
      </c>
      <c r="G32" s="200">
        <v>500</v>
      </c>
      <c r="H32" s="201">
        <v>150</v>
      </c>
      <c r="I32" s="200" t="s">
        <v>328</v>
      </c>
      <c r="J32" s="172">
        <f t="shared" si="0"/>
        <v>200</v>
      </c>
      <c r="K32" s="173">
        <f t="shared" si="1"/>
        <v>587.4464999999999</v>
      </c>
      <c r="L32" s="202">
        <v>41819.34166666667</v>
      </c>
      <c r="M32" s="203">
        <v>41819.7125</v>
      </c>
      <c r="N32" s="176">
        <f t="shared" si="2"/>
        <v>8.900000000023283</v>
      </c>
      <c r="O32" s="177">
        <f t="shared" si="3"/>
        <v>534</v>
      </c>
      <c r="P32" s="178" t="s">
        <v>332</v>
      </c>
      <c r="Q32" s="179" t="str">
        <f t="shared" si="4"/>
        <v>--</v>
      </c>
      <c r="R32" s="180" t="str">
        <f t="shared" si="5"/>
        <v>NO</v>
      </c>
      <c r="S32" s="180" t="str">
        <f t="shared" si="6"/>
        <v>--</v>
      </c>
      <c r="T32" s="181">
        <f t="shared" si="7"/>
        <v>10456.547699999997</v>
      </c>
      <c r="U32" s="182" t="str">
        <f t="shared" si="8"/>
        <v>--</v>
      </c>
      <c r="V32" s="183" t="str">
        <f t="shared" si="9"/>
        <v>--</v>
      </c>
      <c r="W32" s="184" t="str">
        <f t="shared" si="10"/>
        <v>--</v>
      </c>
      <c r="X32" s="185" t="str">
        <f t="shared" si="11"/>
        <v>--</v>
      </c>
      <c r="Y32" s="186" t="str">
        <f t="shared" si="12"/>
        <v>--</v>
      </c>
      <c r="Z32" s="187" t="str">
        <f t="shared" si="13"/>
        <v>--</v>
      </c>
      <c r="AA32" s="188" t="str">
        <f t="shared" si="14"/>
        <v>--</v>
      </c>
      <c r="AB32" s="189" t="str">
        <f t="shared" si="15"/>
        <v>--</v>
      </c>
      <c r="AC32" s="190" t="str">
        <f t="shared" si="16"/>
        <v>--</v>
      </c>
      <c r="AD32" s="191" t="s">
        <v>84</v>
      </c>
      <c r="AE32" s="192">
        <f t="shared" si="17"/>
        <v>10456.547699999997</v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>
        <f t="shared" si="1"/>
        <v>326.365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181" t="str">
        <f t="shared" si="7"/>
        <v>--</v>
      </c>
      <c r="U33" s="182" t="str">
        <f t="shared" si="8"/>
        <v>--</v>
      </c>
      <c r="V33" s="183" t="str">
        <f t="shared" si="9"/>
        <v>--</v>
      </c>
      <c r="W33" s="184" t="str">
        <f t="shared" si="10"/>
        <v>--</v>
      </c>
      <c r="X33" s="185" t="str">
        <f t="shared" si="11"/>
        <v>--</v>
      </c>
      <c r="Y33" s="186" t="str">
        <f t="shared" si="12"/>
        <v>--</v>
      </c>
      <c r="Z33" s="187" t="str">
        <f t="shared" si="13"/>
        <v>--</v>
      </c>
      <c r="AA33" s="188" t="str">
        <f t="shared" si="14"/>
        <v>--</v>
      </c>
      <c r="AB33" s="189" t="str">
        <f t="shared" si="15"/>
        <v>--</v>
      </c>
      <c r="AC33" s="190" t="str">
        <f t="shared" si="16"/>
        <v>--</v>
      </c>
      <c r="AD33" s="191">
        <f aca="true" t="shared" si="18" ref="AD33:AD41">IF(F33="","","SI")</f>
      </c>
      <c r="AE33" s="192">
        <f t="shared" si="17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>
        <f t="shared" si="1"/>
        <v>326.365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181" t="str">
        <f t="shared" si="7"/>
        <v>--</v>
      </c>
      <c r="U34" s="182" t="str">
        <f t="shared" si="8"/>
        <v>--</v>
      </c>
      <c r="V34" s="183" t="str">
        <f t="shared" si="9"/>
        <v>--</v>
      </c>
      <c r="W34" s="184" t="str">
        <f t="shared" si="10"/>
        <v>--</v>
      </c>
      <c r="X34" s="185" t="str">
        <f t="shared" si="11"/>
        <v>--</v>
      </c>
      <c r="Y34" s="186" t="str">
        <f t="shared" si="12"/>
        <v>--</v>
      </c>
      <c r="Z34" s="187" t="str">
        <f t="shared" si="13"/>
        <v>--</v>
      </c>
      <c r="AA34" s="188" t="str">
        <f t="shared" si="14"/>
        <v>--</v>
      </c>
      <c r="AB34" s="189" t="str">
        <f t="shared" si="15"/>
        <v>--</v>
      </c>
      <c r="AC34" s="190" t="str">
        <f t="shared" si="16"/>
        <v>--</v>
      </c>
      <c r="AD34" s="191">
        <f t="shared" si="18"/>
      </c>
      <c r="AE34" s="192">
        <f t="shared" si="17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>
        <f t="shared" si="1"/>
        <v>326.365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181" t="str">
        <f t="shared" si="7"/>
        <v>--</v>
      </c>
      <c r="U35" s="182" t="str">
        <f t="shared" si="8"/>
        <v>--</v>
      </c>
      <c r="V35" s="183" t="str">
        <f t="shared" si="9"/>
        <v>--</v>
      </c>
      <c r="W35" s="184" t="str">
        <f t="shared" si="10"/>
        <v>--</v>
      </c>
      <c r="X35" s="185" t="str">
        <f t="shared" si="11"/>
        <v>--</v>
      </c>
      <c r="Y35" s="186" t="str">
        <f t="shared" si="12"/>
        <v>--</v>
      </c>
      <c r="Z35" s="187" t="str">
        <f t="shared" si="13"/>
        <v>--</v>
      </c>
      <c r="AA35" s="188" t="str">
        <f t="shared" si="14"/>
        <v>--</v>
      </c>
      <c r="AB35" s="189" t="str">
        <f t="shared" si="15"/>
        <v>--</v>
      </c>
      <c r="AC35" s="190" t="str">
        <f t="shared" si="16"/>
        <v>--</v>
      </c>
      <c r="AD35" s="191">
        <f t="shared" si="18"/>
      </c>
      <c r="AE35" s="192">
        <f t="shared" si="17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>
        <f t="shared" si="1"/>
        <v>326.365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181" t="str">
        <f t="shared" si="7"/>
        <v>--</v>
      </c>
      <c r="U36" s="182" t="str">
        <f t="shared" si="8"/>
        <v>--</v>
      </c>
      <c r="V36" s="183" t="str">
        <f t="shared" si="9"/>
        <v>--</v>
      </c>
      <c r="W36" s="184" t="str">
        <f t="shared" si="10"/>
        <v>--</v>
      </c>
      <c r="X36" s="185" t="str">
        <f t="shared" si="11"/>
        <v>--</v>
      </c>
      <c r="Y36" s="186" t="str">
        <f t="shared" si="12"/>
        <v>--</v>
      </c>
      <c r="Z36" s="187" t="str">
        <f t="shared" si="13"/>
        <v>--</v>
      </c>
      <c r="AA36" s="188" t="str">
        <f t="shared" si="14"/>
        <v>--</v>
      </c>
      <c r="AB36" s="189" t="str">
        <f t="shared" si="15"/>
        <v>--</v>
      </c>
      <c r="AC36" s="190" t="str">
        <f t="shared" si="16"/>
        <v>--</v>
      </c>
      <c r="AD36" s="191">
        <f t="shared" si="18"/>
      </c>
      <c r="AE36" s="192">
        <f t="shared" si="17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>
        <f t="shared" si="1"/>
        <v>326.365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181" t="str">
        <f t="shared" si="7"/>
        <v>--</v>
      </c>
      <c r="U37" s="182" t="str">
        <f t="shared" si="8"/>
        <v>--</v>
      </c>
      <c r="V37" s="183" t="str">
        <f t="shared" si="9"/>
        <v>--</v>
      </c>
      <c r="W37" s="184" t="str">
        <f t="shared" si="10"/>
        <v>--</v>
      </c>
      <c r="X37" s="185" t="str">
        <f t="shared" si="11"/>
        <v>--</v>
      </c>
      <c r="Y37" s="186" t="str">
        <f t="shared" si="12"/>
        <v>--</v>
      </c>
      <c r="Z37" s="187" t="str">
        <f t="shared" si="13"/>
        <v>--</v>
      </c>
      <c r="AA37" s="188" t="str">
        <f t="shared" si="14"/>
        <v>--</v>
      </c>
      <c r="AB37" s="189" t="str">
        <f t="shared" si="15"/>
        <v>--</v>
      </c>
      <c r="AC37" s="190" t="str">
        <f t="shared" si="16"/>
        <v>--</v>
      </c>
      <c r="AD37" s="191">
        <f t="shared" si="18"/>
      </c>
      <c r="AE37" s="192">
        <f t="shared" si="17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>
        <f t="shared" si="1"/>
        <v>326.365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181" t="str">
        <f t="shared" si="7"/>
        <v>--</v>
      </c>
      <c r="U38" s="182" t="str">
        <f t="shared" si="8"/>
        <v>--</v>
      </c>
      <c r="V38" s="183" t="str">
        <f t="shared" si="9"/>
        <v>--</v>
      </c>
      <c r="W38" s="184" t="str">
        <f t="shared" si="10"/>
        <v>--</v>
      </c>
      <c r="X38" s="185" t="str">
        <f t="shared" si="11"/>
        <v>--</v>
      </c>
      <c r="Y38" s="186" t="str">
        <f t="shared" si="12"/>
        <v>--</v>
      </c>
      <c r="Z38" s="187" t="str">
        <f t="shared" si="13"/>
        <v>--</v>
      </c>
      <c r="AA38" s="188" t="str">
        <f t="shared" si="14"/>
        <v>--</v>
      </c>
      <c r="AB38" s="189" t="str">
        <f t="shared" si="15"/>
        <v>--</v>
      </c>
      <c r="AC38" s="190" t="str">
        <f t="shared" si="16"/>
        <v>--</v>
      </c>
      <c r="AD38" s="191">
        <f t="shared" si="18"/>
      </c>
      <c r="AE38" s="192">
        <f t="shared" si="17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>
        <f t="shared" si="1"/>
        <v>326.365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181" t="str">
        <f t="shared" si="7"/>
        <v>--</v>
      </c>
      <c r="U39" s="182" t="str">
        <f t="shared" si="8"/>
        <v>--</v>
      </c>
      <c r="V39" s="183" t="str">
        <f t="shared" si="9"/>
        <v>--</v>
      </c>
      <c r="W39" s="184" t="str">
        <f t="shared" si="10"/>
        <v>--</v>
      </c>
      <c r="X39" s="185" t="str">
        <f t="shared" si="11"/>
        <v>--</v>
      </c>
      <c r="Y39" s="186" t="str">
        <f t="shared" si="12"/>
        <v>--</v>
      </c>
      <c r="Z39" s="187" t="str">
        <f t="shared" si="13"/>
        <v>--</v>
      </c>
      <c r="AA39" s="188" t="str">
        <f t="shared" si="14"/>
        <v>--</v>
      </c>
      <c r="AB39" s="189" t="str">
        <f t="shared" si="15"/>
        <v>--</v>
      </c>
      <c r="AC39" s="190" t="str">
        <f t="shared" si="16"/>
        <v>--</v>
      </c>
      <c r="AD39" s="191">
        <f t="shared" si="18"/>
      </c>
      <c r="AE39" s="192">
        <f t="shared" si="17"/>
      </c>
      <c r="AF39" s="193"/>
    </row>
    <row r="40" spans="2:32" s="8" customFormat="1" ht="16.5" customHeight="1">
      <c r="B40" s="55"/>
      <c r="C40" s="169"/>
      <c r="D40" s="169"/>
      <c r="E40" s="169"/>
      <c r="F40" s="199"/>
      <c r="G40" s="200"/>
      <c r="H40" s="201"/>
      <c r="I40" s="200"/>
      <c r="J40" s="172">
        <f t="shared" si="0"/>
        <v>20</v>
      </c>
      <c r="K40" s="173">
        <f t="shared" si="1"/>
        <v>326.365</v>
      </c>
      <c r="L40" s="202"/>
      <c r="M40" s="204"/>
      <c r="N40" s="176">
        <f t="shared" si="2"/>
      </c>
      <c r="O40" s="177">
        <f t="shared" si="3"/>
      </c>
      <c r="P40" s="178"/>
      <c r="Q40" s="179">
        <f t="shared" si="4"/>
      </c>
      <c r="R40" s="180">
        <f t="shared" si="5"/>
      </c>
      <c r="S40" s="180">
        <f t="shared" si="6"/>
      </c>
      <c r="T40" s="181" t="str">
        <f t="shared" si="7"/>
        <v>--</v>
      </c>
      <c r="U40" s="182" t="str">
        <f t="shared" si="8"/>
        <v>--</v>
      </c>
      <c r="V40" s="183" t="str">
        <f t="shared" si="9"/>
        <v>--</v>
      </c>
      <c r="W40" s="184" t="str">
        <f t="shared" si="10"/>
        <v>--</v>
      </c>
      <c r="X40" s="185" t="str">
        <f t="shared" si="11"/>
        <v>--</v>
      </c>
      <c r="Y40" s="186" t="str">
        <f t="shared" si="12"/>
        <v>--</v>
      </c>
      <c r="Z40" s="187" t="str">
        <f t="shared" si="13"/>
        <v>--</v>
      </c>
      <c r="AA40" s="188" t="str">
        <f t="shared" si="14"/>
        <v>--</v>
      </c>
      <c r="AB40" s="189" t="str">
        <f t="shared" si="15"/>
        <v>--</v>
      </c>
      <c r="AC40" s="190" t="str">
        <f t="shared" si="16"/>
        <v>--</v>
      </c>
      <c r="AD40" s="191">
        <f t="shared" si="18"/>
      </c>
      <c r="AE40" s="192">
        <f t="shared" si="17"/>
      </c>
      <c r="AF40" s="193"/>
    </row>
    <row r="41" spans="2:32" s="8" customFormat="1" ht="16.5" customHeight="1">
      <c r="B41" s="55"/>
      <c r="C41" s="150"/>
      <c r="D41" s="150"/>
      <c r="E41" s="150"/>
      <c r="F41" s="199"/>
      <c r="G41" s="200"/>
      <c r="H41" s="201"/>
      <c r="I41" s="200"/>
      <c r="J41" s="172">
        <f t="shared" si="0"/>
        <v>20</v>
      </c>
      <c r="K41" s="173">
        <f t="shared" si="1"/>
        <v>326.365</v>
      </c>
      <c r="L41" s="202"/>
      <c r="M41" s="204"/>
      <c r="N41" s="176">
        <f t="shared" si="2"/>
      </c>
      <c r="O41" s="177">
        <f t="shared" si="3"/>
      </c>
      <c r="P41" s="178"/>
      <c r="Q41" s="179">
        <f t="shared" si="4"/>
      </c>
      <c r="R41" s="180">
        <f t="shared" si="5"/>
      </c>
      <c r="S41" s="180">
        <f t="shared" si="6"/>
      </c>
      <c r="T41" s="181" t="str">
        <f t="shared" si="7"/>
        <v>--</v>
      </c>
      <c r="U41" s="182" t="str">
        <f t="shared" si="8"/>
        <v>--</v>
      </c>
      <c r="V41" s="183" t="str">
        <f t="shared" si="9"/>
        <v>--</v>
      </c>
      <c r="W41" s="184" t="str">
        <f t="shared" si="10"/>
        <v>--</v>
      </c>
      <c r="X41" s="185" t="str">
        <f t="shared" si="11"/>
        <v>--</v>
      </c>
      <c r="Y41" s="186" t="str">
        <f t="shared" si="12"/>
        <v>--</v>
      </c>
      <c r="Z41" s="187" t="str">
        <f t="shared" si="13"/>
        <v>--</v>
      </c>
      <c r="AA41" s="188" t="str">
        <f t="shared" si="14"/>
        <v>--</v>
      </c>
      <c r="AB41" s="189" t="str">
        <f t="shared" si="15"/>
        <v>--</v>
      </c>
      <c r="AC41" s="190" t="str">
        <f t="shared" si="16"/>
        <v>--</v>
      </c>
      <c r="AD41" s="191">
        <f t="shared" si="18"/>
      </c>
      <c r="AE41" s="192">
        <f t="shared" si="17"/>
      </c>
      <c r="AF41" s="193"/>
    </row>
    <row r="42" spans="2:32" s="8" customFormat="1" ht="16.5" customHeight="1" thickBot="1">
      <c r="B42" s="55"/>
      <c r="C42" s="205"/>
      <c r="D42" s="206"/>
      <c r="E42" s="169"/>
      <c r="F42" s="207"/>
      <c r="G42" s="208"/>
      <c r="H42" s="209"/>
      <c r="I42" s="210"/>
      <c r="J42" s="211"/>
      <c r="K42" s="212"/>
      <c r="L42" s="213"/>
      <c r="M42" s="213"/>
      <c r="N42" s="214"/>
      <c r="O42" s="214"/>
      <c r="P42" s="215"/>
      <c r="Q42" s="216"/>
      <c r="R42" s="215"/>
      <c r="S42" s="215"/>
      <c r="T42" s="217"/>
      <c r="U42" s="218"/>
      <c r="V42" s="219"/>
      <c r="W42" s="220"/>
      <c r="X42" s="221"/>
      <c r="Y42" s="222"/>
      <c r="Z42" s="223"/>
      <c r="AA42" s="224"/>
      <c r="AB42" s="225"/>
      <c r="AC42" s="226"/>
      <c r="AD42" s="227"/>
      <c r="AE42" s="228"/>
      <c r="AF42" s="193"/>
    </row>
    <row r="43" spans="2:32" s="8" customFormat="1" ht="16.5" customHeight="1" thickBot="1" thickTop="1">
      <c r="B43" s="55"/>
      <c r="C43" s="229" t="s">
        <v>317</v>
      </c>
      <c r="D43" s="2435" t="s">
        <v>470</v>
      </c>
      <c r="E43" s="229"/>
      <c r="F43" s="230"/>
      <c r="G43" s="231"/>
      <c r="H43" s="232"/>
      <c r="I43" s="233"/>
      <c r="J43" s="232"/>
      <c r="K43" s="234"/>
      <c r="L43" s="234"/>
      <c r="M43" s="234"/>
      <c r="N43" s="234"/>
      <c r="O43" s="234"/>
      <c r="P43" s="234"/>
      <c r="Q43" s="235"/>
      <c r="R43" s="234"/>
      <c r="S43" s="234"/>
      <c r="T43" s="236">
        <f aca="true" t="shared" si="19" ref="T43:AC43">SUM(T20:T42)</f>
        <v>15498.868825799997</v>
      </c>
      <c r="U43" s="237">
        <f t="shared" si="19"/>
        <v>0</v>
      </c>
      <c r="V43" s="238">
        <f t="shared" si="19"/>
        <v>332756.0559999999</v>
      </c>
      <c r="W43" s="238">
        <f t="shared" si="19"/>
        <v>1243102.0949999997</v>
      </c>
      <c r="X43" s="238">
        <f t="shared" si="19"/>
        <v>137486.762122</v>
      </c>
      <c r="Y43" s="239">
        <f t="shared" si="19"/>
        <v>0</v>
      </c>
      <c r="Z43" s="239">
        <f t="shared" si="19"/>
        <v>0</v>
      </c>
      <c r="AA43" s="239">
        <f t="shared" si="19"/>
        <v>0</v>
      </c>
      <c r="AB43" s="240">
        <f t="shared" si="19"/>
        <v>0</v>
      </c>
      <c r="AC43" s="241">
        <f t="shared" si="19"/>
        <v>0</v>
      </c>
      <c r="AD43" s="242"/>
      <c r="AE43" s="243">
        <f>ROUND(SUM(AE20:AE42),2)</f>
        <v>1728195.24</v>
      </c>
      <c r="AF43" s="193"/>
    </row>
    <row r="44" spans="2:32" s="8" customFormat="1" ht="16.5" customHeight="1" thickBot="1" thickTop="1"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6"/>
    </row>
    <row r="45" spans="2:32" ht="16.5" customHeight="1" thickTop="1">
      <c r="B45" s="247"/>
      <c r="C45" s="247"/>
      <c r="D45" s="247"/>
      <c r="AF45" s="247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2"/>
  <sheetViews>
    <sheetView zoomScale="60" zoomScaleNormal="60" zoomScalePageLayoutView="0" workbookViewId="0" topLeftCell="D22">
      <selection activeCell="A6" sqref="A6"/>
    </sheetView>
  </sheetViews>
  <sheetFormatPr defaultColWidth="11.421875" defaultRowHeight="12.75"/>
  <cols>
    <col min="1" max="1" width="23.00390625" style="1081" customWidth="1"/>
    <col min="2" max="2" width="11.8515625" style="1081" customWidth="1"/>
    <col min="3" max="3" width="6.57421875" style="1081" bestFit="1" customWidth="1"/>
    <col min="4" max="4" width="27.140625" style="1081" customWidth="1"/>
    <col min="5" max="5" width="16.8515625" style="1081" customWidth="1"/>
    <col min="6" max="6" width="16.57421875" style="1081" customWidth="1"/>
    <col min="7" max="7" width="14.421875" style="1081" customWidth="1"/>
    <col min="8" max="8" width="9.8515625" style="1081" hidden="1" customWidth="1"/>
    <col min="9" max="9" width="22.00390625" style="1081" customWidth="1"/>
    <col min="10" max="10" width="21.57421875" style="1081" bestFit="1" customWidth="1"/>
    <col min="11" max="11" width="18.7109375" style="1081" customWidth="1"/>
    <col min="12" max="13" width="10.7109375" style="1081" customWidth="1"/>
    <col min="14" max="14" width="9.7109375" style="1081" customWidth="1"/>
    <col min="15" max="15" width="10.28125" style="1081" customWidth="1"/>
    <col min="16" max="16" width="11.57421875" style="1081" hidden="1" customWidth="1"/>
    <col min="17" max="17" width="14.8515625" style="1081" hidden="1" customWidth="1"/>
    <col min="18" max="19" width="4.00390625" style="1081" hidden="1" customWidth="1"/>
    <col min="20" max="20" width="13.7109375" style="1081" hidden="1" customWidth="1"/>
    <col min="21" max="21" width="14.8515625" style="1081" customWidth="1"/>
    <col min="22" max="22" width="20.7109375" style="1081" customWidth="1"/>
    <col min="23" max="23" width="12.140625" style="1081" customWidth="1"/>
    <col min="24" max="24" width="17.7109375" style="1081" customWidth="1"/>
    <col min="25" max="25" width="12.8515625" style="1081" customWidth="1"/>
    <col min="26" max="26" width="14.28125" style="1081" customWidth="1"/>
    <col min="27" max="27" width="24.28125" style="1081" customWidth="1"/>
    <col min="28" max="28" width="9.7109375" style="1081" customWidth="1"/>
    <col min="29" max="29" width="17.28125" style="1081" customWidth="1"/>
    <col min="30" max="30" width="25.7109375" style="1081" customWidth="1"/>
    <col min="31" max="31" width="4.140625" style="1081" customWidth="1"/>
    <col min="32" max="32" width="7.140625" style="1081" customWidth="1"/>
    <col min="33" max="33" width="5.28125" style="1081" customWidth="1"/>
    <col min="34" max="34" width="5.421875" style="1081" customWidth="1"/>
    <col min="35" max="35" width="4.7109375" style="1081" customWidth="1"/>
    <col min="36" max="36" width="5.28125" style="1081" customWidth="1"/>
    <col min="37" max="38" width="13.28125" style="1081" customWidth="1"/>
    <col min="39" max="39" width="6.57421875" style="1081" customWidth="1"/>
    <col min="40" max="40" width="6.421875" style="1081" customWidth="1"/>
    <col min="41" max="44" width="11.421875" style="1081" customWidth="1"/>
    <col min="45" max="45" width="12.7109375" style="1081" customWidth="1"/>
    <col min="46" max="48" width="11.421875" style="1081" customWidth="1"/>
    <col min="49" max="49" width="21.00390625" style="1081" customWidth="1"/>
    <col min="50" max="16384" width="11.421875" style="1081" customWidth="1"/>
  </cols>
  <sheetData>
    <row r="1" spans="1:30" ht="13.5">
      <c r="A1" s="1078"/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  <c r="U1" s="1079"/>
      <c r="V1" s="1079"/>
      <c r="W1" s="1080"/>
      <c r="AD1" s="1080"/>
    </row>
    <row r="2" spans="1:23" ht="27" customHeight="1">
      <c r="A2" s="1078"/>
      <c r="B2" s="1079"/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  <c r="P2" s="1079"/>
      <c r="Q2" s="1079"/>
      <c r="R2" s="1079"/>
      <c r="S2" s="1079"/>
      <c r="T2" s="1079"/>
      <c r="U2" s="1079"/>
      <c r="V2" s="1079"/>
      <c r="W2" s="1079"/>
    </row>
    <row r="3" spans="1:30" s="1085" customFormat="1" ht="30.75">
      <c r="A3" s="1082"/>
      <c r="B3" s="1083" t="str">
        <f>'TOT-0614'!B2</f>
        <v>ANEXO I al Memorándum D.T.E.E. N°         347   / 2015</v>
      </c>
      <c r="C3" s="1084"/>
      <c r="D3" s="1084"/>
      <c r="E3" s="1084"/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1084"/>
      <c r="R3" s="1084"/>
      <c r="S3" s="1084"/>
      <c r="T3" s="1084"/>
      <c r="U3" s="1084"/>
      <c r="V3" s="1084"/>
      <c r="W3" s="1084"/>
      <c r="AB3" s="1084"/>
      <c r="AC3" s="1084"/>
      <c r="AD3" s="1084"/>
    </row>
    <row r="4" spans="1:2" s="1088" customFormat="1" ht="11.25">
      <c r="A4" s="1086" t="s">
        <v>2</v>
      </c>
      <c r="B4" s="1087"/>
    </row>
    <row r="5" spans="1:2" s="1088" customFormat="1" ht="12" thickBot="1">
      <c r="A5" s="1086" t="s">
        <v>3</v>
      </c>
      <c r="B5" s="1086"/>
    </row>
    <row r="6" spans="1:23" ht="16.5" customHeight="1" thickTop="1">
      <c r="A6" s="1079"/>
      <c r="B6" s="1089"/>
      <c r="C6" s="1090"/>
      <c r="D6" s="1090"/>
      <c r="E6" s="1091"/>
      <c r="F6" s="1090"/>
      <c r="G6" s="1090"/>
      <c r="H6" s="1090"/>
      <c r="I6" s="1090"/>
      <c r="J6" s="1090"/>
      <c r="K6" s="1090"/>
      <c r="L6" s="1090"/>
      <c r="M6" s="1090"/>
      <c r="N6" s="1090"/>
      <c r="O6" s="1090"/>
      <c r="P6" s="1090"/>
      <c r="Q6" s="1090"/>
      <c r="R6" s="1090"/>
      <c r="S6" s="1090"/>
      <c r="T6" s="1090"/>
      <c r="U6" s="1090"/>
      <c r="V6" s="1090"/>
      <c r="W6" s="1092"/>
    </row>
    <row r="7" spans="1:23" ht="20.25">
      <c r="A7" s="1079"/>
      <c r="B7" s="1093"/>
      <c r="C7" s="1094"/>
      <c r="D7" s="1095" t="s">
        <v>85</v>
      </c>
      <c r="E7" s="1094"/>
      <c r="F7" s="1094"/>
      <c r="G7" s="1094"/>
      <c r="H7" s="1094"/>
      <c r="I7" s="1094"/>
      <c r="J7" s="1094"/>
      <c r="K7" s="1094"/>
      <c r="L7" s="1094"/>
      <c r="M7" s="1094"/>
      <c r="N7" s="1094"/>
      <c r="O7" s="1094"/>
      <c r="P7" s="1096"/>
      <c r="Q7" s="1096"/>
      <c r="R7" s="1094"/>
      <c r="S7" s="1094"/>
      <c r="T7" s="1094"/>
      <c r="U7" s="1094"/>
      <c r="V7" s="1094"/>
      <c r="W7" s="1097"/>
    </row>
    <row r="8" spans="1:23" ht="16.5" customHeight="1">
      <c r="A8" s="1079"/>
      <c r="B8" s="1093"/>
      <c r="C8" s="1094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4"/>
      <c r="U8" s="1094"/>
      <c r="V8" s="1094"/>
      <c r="W8" s="1097"/>
    </row>
    <row r="9" spans="2:23" s="1098" customFormat="1" ht="20.25">
      <c r="B9" s="1099"/>
      <c r="C9" s="1100"/>
      <c r="D9" s="1095" t="s">
        <v>86</v>
      </c>
      <c r="E9" s="1100"/>
      <c r="F9" s="1100"/>
      <c r="G9" s="1100"/>
      <c r="H9" s="1100"/>
      <c r="N9" s="1100"/>
      <c r="O9" s="1100"/>
      <c r="P9" s="1101"/>
      <c r="Q9" s="1101"/>
      <c r="R9" s="1100"/>
      <c r="S9" s="1100"/>
      <c r="T9" s="1100"/>
      <c r="U9" s="1100"/>
      <c r="V9" s="1100"/>
      <c r="W9" s="1102"/>
    </row>
    <row r="10" spans="1:23" ht="16.5" customHeight="1">
      <c r="A10" s="1079"/>
      <c r="B10" s="1093"/>
      <c r="C10" s="1094"/>
      <c r="D10" s="1094"/>
      <c r="E10" s="1094"/>
      <c r="F10" s="1094"/>
      <c r="G10" s="1094"/>
      <c r="H10" s="1094"/>
      <c r="I10" s="1094"/>
      <c r="J10" s="1094"/>
      <c r="K10" s="1094"/>
      <c r="L10" s="1094"/>
      <c r="M10" s="1094"/>
      <c r="N10" s="1094"/>
      <c r="O10" s="1094"/>
      <c r="P10" s="1094"/>
      <c r="Q10" s="1094"/>
      <c r="R10" s="1094"/>
      <c r="S10" s="1094"/>
      <c r="T10" s="1094"/>
      <c r="U10" s="1094"/>
      <c r="V10" s="1094"/>
      <c r="W10" s="1097"/>
    </row>
    <row r="11" spans="2:23" s="1098" customFormat="1" ht="20.25">
      <c r="B11" s="1099"/>
      <c r="C11" s="1100"/>
      <c r="D11" s="1095" t="s">
        <v>479</v>
      </c>
      <c r="E11" s="1100"/>
      <c r="F11" s="1100"/>
      <c r="G11" s="1100"/>
      <c r="H11" s="1100"/>
      <c r="N11" s="1100"/>
      <c r="O11" s="1100"/>
      <c r="P11" s="1101"/>
      <c r="Q11" s="1101"/>
      <c r="R11" s="1100"/>
      <c r="S11" s="1100"/>
      <c r="T11" s="1100"/>
      <c r="U11" s="1100"/>
      <c r="V11" s="1100"/>
      <c r="W11" s="1102"/>
    </row>
    <row r="12" spans="1:23" ht="16.5" customHeight="1">
      <c r="A12" s="1079"/>
      <c r="B12" s="1093"/>
      <c r="C12" s="1094"/>
      <c r="D12" s="1094"/>
      <c r="E12" s="1079"/>
      <c r="F12" s="1079"/>
      <c r="G12" s="1079"/>
      <c r="H12" s="1079"/>
      <c r="I12" s="1103"/>
      <c r="J12" s="1103"/>
      <c r="K12" s="1103"/>
      <c r="L12" s="1103"/>
      <c r="M12" s="1103"/>
      <c r="N12" s="1103"/>
      <c r="O12" s="1103"/>
      <c r="P12" s="1103"/>
      <c r="Q12" s="1103"/>
      <c r="R12" s="1094"/>
      <c r="S12" s="1094"/>
      <c r="T12" s="1094"/>
      <c r="U12" s="1094"/>
      <c r="V12" s="1094"/>
      <c r="W12" s="1097"/>
    </row>
    <row r="13" spans="2:23" s="1098" customFormat="1" ht="19.5">
      <c r="B13" s="1104" t="str">
        <f>'TOT-0614'!B14</f>
        <v>Desde el 01 al 30 de junio de 2014</v>
      </c>
      <c r="C13" s="1105"/>
      <c r="D13" s="1106"/>
      <c r="E13" s="1106"/>
      <c r="F13" s="1106"/>
      <c r="G13" s="1106"/>
      <c r="H13" s="1106"/>
      <c r="I13" s="1107"/>
      <c r="J13" s="1108"/>
      <c r="K13" s="1107"/>
      <c r="L13" s="1107"/>
      <c r="M13" s="1107"/>
      <c r="N13" s="1107"/>
      <c r="O13" s="1107"/>
      <c r="P13" s="1107"/>
      <c r="Q13" s="1107"/>
      <c r="R13" s="1107"/>
      <c r="S13" s="1107"/>
      <c r="T13" s="1107"/>
      <c r="U13" s="1109"/>
      <c r="V13" s="1109"/>
      <c r="W13" s="1110"/>
    </row>
    <row r="14" spans="1:23" ht="16.5" customHeight="1">
      <c r="A14" s="1079"/>
      <c r="B14" s="1093"/>
      <c r="C14" s="1094"/>
      <c r="D14" s="1094"/>
      <c r="E14" s="1111"/>
      <c r="F14" s="1111"/>
      <c r="G14" s="1094"/>
      <c r="H14" s="1094"/>
      <c r="I14" s="1094"/>
      <c r="J14" s="1112"/>
      <c r="K14" s="1094"/>
      <c r="L14" s="1094"/>
      <c r="M14" s="1094"/>
      <c r="N14" s="1079"/>
      <c r="O14" s="1079"/>
      <c r="P14" s="1094"/>
      <c r="Q14" s="1094"/>
      <c r="R14" s="1094"/>
      <c r="S14" s="1094"/>
      <c r="T14" s="1094"/>
      <c r="U14" s="1094"/>
      <c r="V14" s="1094"/>
      <c r="W14" s="1097"/>
    </row>
    <row r="15" spans="1:23" ht="16.5" customHeight="1">
      <c r="A15" s="1079"/>
      <c r="B15" s="1093"/>
      <c r="C15" s="1094"/>
      <c r="D15" s="1094"/>
      <c r="E15" s="1111"/>
      <c r="F15" s="1111"/>
      <c r="G15" s="1094"/>
      <c r="H15" s="1094"/>
      <c r="I15" s="1113"/>
      <c r="J15" s="1094"/>
      <c r="K15" s="1114"/>
      <c r="M15" s="1094"/>
      <c r="N15" s="1079"/>
      <c r="O15" s="1079"/>
      <c r="P15" s="1094"/>
      <c r="Q15" s="1094"/>
      <c r="R15" s="1094"/>
      <c r="S15" s="1094"/>
      <c r="T15" s="1094"/>
      <c r="U15" s="1094"/>
      <c r="V15" s="1094"/>
      <c r="W15" s="1097"/>
    </row>
    <row r="16" spans="1:23" ht="16.5" customHeight="1">
      <c r="A16" s="1079"/>
      <c r="B16" s="1093"/>
      <c r="C16" s="1094"/>
      <c r="D16" s="1094"/>
      <c r="E16" s="1111"/>
      <c r="F16" s="1111"/>
      <c r="G16" s="1094"/>
      <c r="H16" s="1094"/>
      <c r="I16" s="1113"/>
      <c r="J16" s="1094"/>
      <c r="K16" s="1114"/>
      <c r="M16" s="1094"/>
      <c r="N16" s="1079"/>
      <c r="O16" s="1079"/>
      <c r="P16" s="1094"/>
      <c r="Q16" s="1094"/>
      <c r="R16" s="1094"/>
      <c r="S16" s="1094"/>
      <c r="T16" s="1094"/>
      <c r="U16" s="1094"/>
      <c r="V16" s="1094"/>
      <c r="W16" s="1097"/>
    </row>
    <row r="17" spans="1:23" ht="16.5" customHeight="1" thickBot="1">
      <c r="A17" s="1079"/>
      <c r="B17" s="1093"/>
      <c r="C17" s="1115" t="s">
        <v>88</v>
      </c>
      <c r="D17" s="1116" t="s">
        <v>89</v>
      </c>
      <c r="E17" s="1111"/>
      <c r="F17" s="1111"/>
      <c r="G17" s="1094"/>
      <c r="H17" s="1094"/>
      <c r="I17" s="1094"/>
      <c r="J17" s="1112"/>
      <c r="K17" s="1094"/>
      <c r="L17" s="1094"/>
      <c r="M17" s="1094"/>
      <c r="N17" s="1079"/>
      <c r="O17" s="1079"/>
      <c r="P17" s="1094"/>
      <c r="Q17" s="1094"/>
      <c r="R17" s="1094"/>
      <c r="S17" s="1094"/>
      <c r="T17" s="1094"/>
      <c r="U17" s="1094"/>
      <c r="V17" s="1094"/>
      <c r="W17" s="1097"/>
    </row>
    <row r="18" spans="2:23" s="1117" customFormat="1" ht="16.5" customHeight="1" thickBot="1">
      <c r="B18" s="1118"/>
      <c r="C18" s="1119"/>
      <c r="D18" s="1120"/>
      <c r="E18" s="1121"/>
      <c r="F18" s="1122"/>
      <c r="G18" s="1123"/>
      <c r="H18" s="1119"/>
      <c r="I18" s="1119"/>
      <c r="J18" s="1124"/>
      <c r="K18" s="1119"/>
      <c r="L18" s="1119"/>
      <c r="M18" s="1119"/>
      <c r="N18" s="1125" t="s">
        <v>35</v>
      </c>
      <c r="P18" s="1119"/>
      <c r="Q18" s="1119"/>
      <c r="R18" s="1119"/>
      <c r="S18" s="1119"/>
      <c r="T18" s="1119"/>
      <c r="U18" s="1119"/>
      <c r="V18" s="1119"/>
      <c r="W18" s="1126"/>
    </row>
    <row r="19" spans="2:23" s="1117" customFormat="1" ht="16.5" customHeight="1">
      <c r="B19" s="1118"/>
      <c r="C19" s="1119"/>
      <c r="D19" s="1127"/>
      <c r="E19" s="1121" t="s">
        <v>92</v>
      </c>
      <c r="F19" s="1128">
        <v>0.025</v>
      </c>
      <c r="G19" s="1129"/>
      <c r="H19" s="1119"/>
      <c r="I19" s="1130"/>
      <c r="J19" s="1131"/>
      <c r="K19" s="1132" t="s">
        <v>130</v>
      </c>
      <c r="L19" s="1133"/>
      <c r="M19" s="1134">
        <v>213.592</v>
      </c>
      <c r="N19" s="1135">
        <v>200</v>
      </c>
      <c r="R19" s="1119"/>
      <c r="S19" s="1119"/>
      <c r="T19" s="1119"/>
      <c r="U19" s="1119"/>
      <c r="V19" s="1119"/>
      <c r="W19" s="1126"/>
    </row>
    <row r="20" spans="2:23" s="1117" customFormat="1" ht="16.5" customHeight="1">
      <c r="B20" s="1118"/>
      <c r="C20" s="1119"/>
      <c r="D20" s="1127"/>
      <c r="E20" s="1120" t="s">
        <v>95</v>
      </c>
      <c r="F20" s="1119">
        <f>MID(B13,16,2)*24</f>
        <v>720</v>
      </c>
      <c r="G20" s="1119" t="s">
        <v>96</v>
      </c>
      <c r="H20" s="1119"/>
      <c r="I20" s="1119"/>
      <c r="J20" s="1119"/>
      <c r="K20" s="1136" t="s">
        <v>71</v>
      </c>
      <c r="L20" s="1137"/>
      <c r="M20" s="1138" t="s">
        <v>408</v>
      </c>
      <c r="N20" s="1139">
        <v>100</v>
      </c>
      <c r="O20" s="1119"/>
      <c r="P20" s="1140"/>
      <c r="Q20" s="1119"/>
      <c r="R20" s="1119"/>
      <c r="S20" s="1119"/>
      <c r="T20" s="1119"/>
      <c r="U20" s="1119"/>
      <c r="V20" s="1119"/>
      <c r="W20" s="1126"/>
    </row>
    <row r="21" spans="2:23" s="1117" customFormat="1" ht="16.5" customHeight="1" thickBot="1">
      <c r="B21" s="1118"/>
      <c r="C21" s="1119"/>
      <c r="D21" s="1127"/>
      <c r="E21" s="1120" t="s">
        <v>131</v>
      </c>
      <c r="F21" s="1119">
        <v>1.077</v>
      </c>
      <c r="G21" s="1117" t="s">
        <v>94</v>
      </c>
      <c r="H21" s="1119"/>
      <c r="I21" s="1119"/>
      <c r="J21" s="1119"/>
      <c r="K21" s="1141" t="s">
        <v>132</v>
      </c>
      <c r="L21" s="1142"/>
      <c r="M21" s="1143">
        <v>170.878</v>
      </c>
      <c r="N21" s="1144">
        <v>40</v>
      </c>
      <c r="O21" s="1119"/>
      <c r="P21" s="1140"/>
      <c r="Q21" s="1119"/>
      <c r="R21" s="1119"/>
      <c r="S21" s="1119"/>
      <c r="T21" s="1119"/>
      <c r="U21" s="1119"/>
      <c r="V21" s="1119"/>
      <c r="W21" s="1126"/>
    </row>
    <row r="22" spans="2:23" s="1117" customFormat="1" ht="16.5" customHeight="1">
      <c r="B22" s="1118"/>
      <c r="C22" s="1119"/>
      <c r="D22" s="1119"/>
      <c r="E22" s="1145"/>
      <c r="F22" s="1119"/>
      <c r="G22" s="1119"/>
      <c r="H22" s="1119"/>
      <c r="I22" s="1119"/>
      <c r="J22" s="1119"/>
      <c r="K22" s="1119"/>
      <c r="L22" s="1119"/>
      <c r="M22" s="1119"/>
      <c r="N22" s="1119"/>
      <c r="O22" s="1119"/>
      <c r="P22" s="1119"/>
      <c r="Q22" s="1119"/>
      <c r="R22" s="1119"/>
      <c r="S22" s="1119"/>
      <c r="T22" s="1119"/>
      <c r="U22" s="1119"/>
      <c r="V22" s="1119"/>
      <c r="W22" s="1126"/>
    </row>
    <row r="23" spans="1:23" ht="16.5" customHeight="1">
      <c r="A23" s="1079"/>
      <c r="B23" s="1093"/>
      <c r="C23" s="1115" t="s">
        <v>97</v>
      </c>
      <c r="D23" s="1146" t="s">
        <v>398</v>
      </c>
      <c r="I23" s="1094"/>
      <c r="J23" s="1117"/>
      <c r="O23" s="1094"/>
      <c r="P23" s="1094"/>
      <c r="Q23" s="1094"/>
      <c r="R23" s="1094"/>
      <c r="S23" s="1094"/>
      <c r="T23" s="1094"/>
      <c r="V23" s="1094"/>
      <c r="W23" s="1097"/>
    </row>
    <row r="24" spans="1:23" ht="10.5" customHeight="1" thickBot="1">
      <c r="A24" s="1079"/>
      <c r="B24" s="1093"/>
      <c r="C24" s="1111"/>
      <c r="D24" s="1146"/>
      <c r="I24" s="1094"/>
      <c r="J24" s="1117"/>
      <c r="O24" s="1094"/>
      <c r="P24" s="1094"/>
      <c r="Q24" s="1094"/>
      <c r="R24" s="1094"/>
      <c r="S24" s="1094"/>
      <c r="T24" s="1094"/>
      <c r="V24" s="1094"/>
      <c r="W24" s="1097"/>
    </row>
    <row r="25" spans="2:23" s="1117" customFormat="1" ht="21" customHeight="1" thickBot="1" thickTop="1">
      <c r="B25" s="1118"/>
      <c r="C25" s="1147"/>
      <c r="D25" s="1081"/>
      <c r="E25" s="1081"/>
      <c r="F25" s="1081"/>
      <c r="G25" s="1081"/>
      <c r="H25" s="1081"/>
      <c r="I25" s="1148" t="s">
        <v>98</v>
      </c>
      <c r="J25" s="1149">
        <f>+V73*F19</f>
        <v>38534.407</v>
      </c>
      <c r="L25" s="1081"/>
      <c r="S25" s="1081"/>
      <c r="T25" s="1081"/>
      <c r="U25" s="1081"/>
      <c r="W25" s="1126"/>
    </row>
    <row r="26" spans="2:23" s="1117" customFormat="1" ht="11.25" customHeight="1" thickTop="1">
      <c r="B26" s="1118"/>
      <c r="C26" s="1147"/>
      <c r="D26" s="1119"/>
      <c r="E26" s="1145"/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  <c r="P26" s="1119"/>
      <c r="Q26" s="1119"/>
      <c r="R26" s="1119"/>
      <c r="S26" s="1119"/>
      <c r="T26" s="1119"/>
      <c r="U26" s="1081"/>
      <c r="W26" s="1126"/>
    </row>
    <row r="27" spans="1:23" ht="16.5" customHeight="1">
      <c r="A27" s="1079"/>
      <c r="B27" s="1093"/>
      <c r="C27" s="1115" t="s">
        <v>99</v>
      </c>
      <c r="D27" s="1146" t="s">
        <v>318</v>
      </c>
      <c r="E27" s="1150"/>
      <c r="F27" s="1094"/>
      <c r="G27" s="1094"/>
      <c r="H27" s="1094"/>
      <c r="I27" s="1094"/>
      <c r="J27" s="1094"/>
      <c r="K27" s="1094"/>
      <c r="L27" s="1094"/>
      <c r="M27" s="1094"/>
      <c r="N27" s="1094"/>
      <c r="O27" s="1094"/>
      <c r="P27" s="1094"/>
      <c r="Q27" s="1094"/>
      <c r="R27" s="1094"/>
      <c r="S27" s="1094"/>
      <c r="T27" s="1094"/>
      <c r="U27" s="1094"/>
      <c r="V27" s="1094"/>
      <c r="W27" s="1097"/>
    </row>
    <row r="28" spans="1:23" ht="13.5" customHeight="1" thickBot="1">
      <c r="A28" s="1117"/>
      <c r="B28" s="1093"/>
      <c r="C28" s="1147"/>
      <c r="D28" s="1147"/>
      <c r="E28" s="1151"/>
      <c r="F28" s="1145"/>
      <c r="G28" s="1152"/>
      <c r="H28" s="1152"/>
      <c r="I28" s="1153"/>
      <c r="J28" s="1153"/>
      <c r="K28" s="1153"/>
      <c r="L28" s="1153"/>
      <c r="M28" s="1153"/>
      <c r="N28" s="1153"/>
      <c r="O28" s="1154"/>
      <c r="P28" s="1153"/>
      <c r="Q28" s="1153"/>
      <c r="R28" s="1155"/>
      <c r="S28" s="1156"/>
      <c r="T28" s="1157"/>
      <c r="U28" s="1157"/>
      <c r="V28" s="1157"/>
      <c r="W28" s="1158"/>
    </row>
    <row r="29" spans="1:26" s="1079" customFormat="1" ht="33.75" customHeight="1" thickBot="1" thickTop="1">
      <c r="A29" s="1078"/>
      <c r="B29" s="1159"/>
      <c r="C29" s="1160" t="s">
        <v>29</v>
      </c>
      <c r="D29" s="1161" t="s">
        <v>60</v>
      </c>
      <c r="E29" s="1162" t="s">
        <v>61</v>
      </c>
      <c r="F29" s="1163" t="s">
        <v>62</v>
      </c>
      <c r="G29" s="1164" t="s">
        <v>32</v>
      </c>
      <c r="H29" s="1165" t="s">
        <v>36</v>
      </c>
      <c r="I29" s="1162" t="s">
        <v>37</v>
      </c>
      <c r="J29" s="1162" t="s">
        <v>38</v>
      </c>
      <c r="K29" s="1161" t="s">
        <v>63</v>
      </c>
      <c r="L29" s="1161" t="s">
        <v>40</v>
      </c>
      <c r="M29" s="1166" t="s">
        <v>111</v>
      </c>
      <c r="N29" s="1162" t="s">
        <v>43</v>
      </c>
      <c r="O29" s="1167" t="s">
        <v>64</v>
      </c>
      <c r="P29" s="1165" t="s">
        <v>113</v>
      </c>
      <c r="Q29" s="1168" t="s">
        <v>44</v>
      </c>
      <c r="R29" s="1169" t="s">
        <v>114</v>
      </c>
      <c r="S29" s="1170"/>
      <c r="T29" s="1171" t="s">
        <v>48</v>
      </c>
      <c r="U29" s="1172" t="s">
        <v>50</v>
      </c>
      <c r="V29" s="1164" t="s">
        <v>51</v>
      </c>
      <c r="W29" s="1097"/>
      <c r="Y29" s="1081"/>
      <c r="Z29" s="1081"/>
    </row>
    <row r="30" spans="1:23" ht="16.5" customHeight="1" thickTop="1">
      <c r="A30" s="1079"/>
      <c r="B30" s="1093"/>
      <c r="C30" s="1173"/>
      <c r="D30" s="1173"/>
      <c r="E30" s="1173"/>
      <c r="F30" s="1173"/>
      <c r="G30" s="1174"/>
      <c r="H30" s="1175"/>
      <c r="I30" s="1173"/>
      <c r="J30" s="1173"/>
      <c r="K30" s="1173"/>
      <c r="L30" s="1173"/>
      <c r="M30" s="1173"/>
      <c r="N30" s="1176"/>
      <c r="O30" s="1177"/>
      <c r="P30" s="1178"/>
      <c r="Q30" s="1179"/>
      <c r="R30" s="1180"/>
      <c r="S30" s="1181"/>
      <c r="T30" s="1182"/>
      <c r="U30" s="1176"/>
      <c r="V30" s="1183"/>
      <c r="W30" s="1097"/>
    </row>
    <row r="31" spans="1:23" ht="16.5" customHeight="1">
      <c r="A31" s="1079"/>
      <c r="B31" s="1093"/>
      <c r="C31" s="873" t="s">
        <v>103</v>
      </c>
      <c r="D31" s="1481" t="s">
        <v>419</v>
      </c>
      <c r="E31" s="1482" t="s">
        <v>464</v>
      </c>
      <c r="F31" s="1483">
        <v>300</v>
      </c>
      <c r="G31" s="1187" t="s">
        <v>144</v>
      </c>
      <c r="H31" s="1188">
        <f aca="true" t="shared" si="0" ref="H31:H37">F31*$F$21</f>
        <v>323.09999999999997</v>
      </c>
      <c r="I31" s="1486">
        <v>41818.33472222222</v>
      </c>
      <c r="J31" s="1486">
        <v>41818.78611111111</v>
      </c>
      <c r="K31" s="1190">
        <f aca="true" t="shared" si="1" ref="K31:K37">IF(D31="","",(J31-I31)*24)</f>
        <v>10.833333333372138</v>
      </c>
      <c r="L31" s="1191">
        <f aca="true" t="shared" si="2" ref="L31:L37">IF(D31="","",(J31-I31)*24*60)</f>
        <v>650.0000000023283</v>
      </c>
      <c r="M31" s="1192" t="s">
        <v>332</v>
      </c>
      <c r="N31" s="1193" t="str">
        <f aca="true" t="shared" si="3" ref="N31:N37">IF(D31="","",IF(OR(M31="P",M31="RP"),"--","NO"))</f>
        <v>--</v>
      </c>
      <c r="O31" s="1194" t="str">
        <f aca="true" t="shared" si="4" ref="O31:O37">IF(D31="","","NO")</f>
        <v>NO</v>
      </c>
      <c r="P31" s="1195">
        <f aca="true" t="shared" si="5" ref="P31:P37">200*IF(O31="SI",1,0.1)*IF(M31="P",0.1,1)</f>
        <v>2</v>
      </c>
      <c r="Q31" s="1196">
        <f aca="true" t="shared" si="6" ref="Q31:Q37">IF(M31="P",H31*P31*ROUND(L31/60,2),"--")</f>
        <v>6998.346</v>
      </c>
      <c r="R31" s="1197" t="str">
        <f aca="true" t="shared" si="7" ref="R31:R37">IF(AND(M31="F",N31="NO"),H31*P31,"--")</f>
        <v>--</v>
      </c>
      <c r="S31" s="1198" t="str">
        <f aca="true" t="shared" si="8" ref="S31:S37">IF(M31="F",H31*P31*ROUND(L31/60,2),"--")</f>
        <v>--</v>
      </c>
      <c r="T31" s="1199" t="str">
        <f aca="true" t="shared" si="9" ref="T31:T37">IF(M31="RF",H31*P31*ROUND(L31/60,2),"--")</f>
        <v>--</v>
      </c>
      <c r="U31" s="1200" t="str">
        <f aca="true" t="shared" si="10" ref="U31:U37">IF(D31="","","SI")</f>
        <v>SI</v>
      </c>
      <c r="V31" s="1201">
        <f aca="true" t="shared" si="11" ref="V31:V37">IF(D31="","",SUM(Q31:T31)*IF(U31="SI",1,2))</f>
        <v>6998.346</v>
      </c>
      <c r="W31" s="1158"/>
    </row>
    <row r="32" spans="1:23" ht="16.5" customHeight="1">
      <c r="A32" s="1079"/>
      <c r="B32" s="1093"/>
      <c r="C32" s="873" t="s">
        <v>104</v>
      </c>
      <c r="D32" s="1184"/>
      <c r="E32" s="1185"/>
      <c r="F32" s="1186"/>
      <c r="G32" s="1187"/>
      <c r="H32" s="1188">
        <f t="shared" si="0"/>
        <v>0</v>
      </c>
      <c r="I32" s="1189"/>
      <c r="J32" s="1189"/>
      <c r="K32" s="1190">
        <f t="shared" si="1"/>
      </c>
      <c r="L32" s="1191">
        <f t="shared" si="2"/>
      </c>
      <c r="M32" s="1192"/>
      <c r="N32" s="1193">
        <f t="shared" si="3"/>
      </c>
      <c r="O32" s="1194">
        <f t="shared" si="4"/>
      </c>
      <c r="P32" s="1195">
        <f t="shared" si="5"/>
        <v>20</v>
      </c>
      <c r="Q32" s="1196" t="str">
        <f t="shared" si="6"/>
        <v>--</v>
      </c>
      <c r="R32" s="1197" t="str">
        <f t="shared" si="7"/>
        <v>--</v>
      </c>
      <c r="S32" s="1198" t="str">
        <f t="shared" si="8"/>
        <v>--</v>
      </c>
      <c r="T32" s="1199" t="str">
        <f t="shared" si="9"/>
        <v>--</v>
      </c>
      <c r="U32" s="1200">
        <f t="shared" si="10"/>
      </c>
      <c r="V32" s="1201">
        <f t="shared" si="11"/>
      </c>
      <c r="W32" s="1158"/>
    </row>
    <row r="33" spans="1:23" ht="16.5" customHeight="1">
      <c r="A33" s="1079"/>
      <c r="B33" s="1093"/>
      <c r="C33" s="873" t="s">
        <v>105</v>
      </c>
      <c r="D33" s="1202"/>
      <c r="E33" s="1203"/>
      <c r="F33" s="1204"/>
      <c r="G33" s="1205"/>
      <c r="H33" s="1188">
        <f t="shared" si="0"/>
        <v>0</v>
      </c>
      <c r="I33" s="1206"/>
      <c r="J33" s="1206"/>
      <c r="K33" s="1190">
        <f t="shared" si="1"/>
      </c>
      <c r="L33" s="1191">
        <f t="shared" si="2"/>
      </c>
      <c r="M33" s="1192"/>
      <c r="N33" s="1193">
        <f t="shared" si="3"/>
      </c>
      <c r="O33" s="1194">
        <f t="shared" si="4"/>
      </c>
      <c r="P33" s="1195">
        <f t="shared" si="5"/>
        <v>20</v>
      </c>
      <c r="Q33" s="1196" t="str">
        <f t="shared" si="6"/>
        <v>--</v>
      </c>
      <c r="R33" s="1197" t="str">
        <f t="shared" si="7"/>
        <v>--</v>
      </c>
      <c r="S33" s="1198" t="str">
        <f t="shared" si="8"/>
        <v>--</v>
      </c>
      <c r="T33" s="1199" t="str">
        <f t="shared" si="9"/>
        <v>--</v>
      </c>
      <c r="U33" s="1200">
        <f t="shared" si="10"/>
      </c>
      <c r="V33" s="1201">
        <f t="shared" si="11"/>
      </c>
      <c r="W33" s="1158"/>
    </row>
    <row r="34" spans="1:23" ht="16.5" customHeight="1">
      <c r="A34" s="1079"/>
      <c r="B34" s="1093"/>
      <c r="C34" s="873" t="s">
        <v>106</v>
      </c>
      <c r="D34" s="1202"/>
      <c r="E34" s="1203"/>
      <c r="F34" s="1204"/>
      <c r="G34" s="1205"/>
      <c r="H34" s="1188">
        <f t="shared" si="0"/>
        <v>0</v>
      </c>
      <c r="I34" s="1206"/>
      <c r="J34" s="1206"/>
      <c r="K34" s="1190">
        <f t="shared" si="1"/>
      </c>
      <c r="L34" s="1191">
        <f t="shared" si="2"/>
      </c>
      <c r="M34" s="1192"/>
      <c r="N34" s="1193">
        <f t="shared" si="3"/>
      </c>
      <c r="O34" s="1194">
        <f t="shared" si="4"/>
      </c>
      <c r="P34" s="1195">
        <f t="shared" si="5"/>
        <v>20</v>
      </c>
      <c r="Q34" s="1196" t="str">
        <f t="shared" si="6"/>
        <v>--</v>
      </c>
      <c r="R34" s="1197" t="str">
        <f t="shared" si="7"/>
        <v>--</v>
      </c>
      <c r="S34" s="1198" t="str">
        <f t="shared" si="8"/>
        <v>--</v>
      </c>
      <c r="T34" s="1199" t="str">
        <f t="shared" si="9"/>
        <v>--</v>
      </c>
      <c r="U34" s="1200">
        <f t="shared" si="10"/>
      </c>
      <c r="V34" s="1201">
        <f t="shared" si="11"/>
      </c>
      <c r="W34" s="1158"/>
    </row>
    <row r="35" spans="1:23" ht="16.5" customHeight="1">
      <c r="A35" s="1079"/>
      <c r="B35" s="1093"/>
      <c r="C35" s="873" t="s">
        <v>107</v>
      </c>
      <c r="D35" s="1202"/>
      <c r="E35" s="1203"/>
      <c r="F35" s="1204"/>
      <c r="G35" s="1205"/>
      <c r="H35" s="1188">
        <f t="shared" si="0"/>
        <v>0</v>
      </c>
      <c r="I35" s="1206"/>
      <c r="J35" s="1206"/>
      <c r="K35" s="1190">
        <f t="shared" si="1"/>
      </c>
      <c r="L35" s="1191">
        <f t="shared" si="2"/>
      </c>
      <c r="M35" s="1192"/>
      <c r="N35" s="1193">
        <f t="shared" si="3"/>
      </c>
      <c r="O35" s="1194">
        <f t="shared" si="4"/>
      </c>
      <c r="P35" s="1195">
        <f t="shared" si="5"/>
        <v>20</v>
      </c>
      <c r="Q35" s="1196" t="str">
        <f t="shared" si="6"/>
        <v>--</v>
      </c>
      <c r="R35" s="1197" t="str">
        <f t="shared" si="7"/>
        <v>--</v>
      </c>
      <c r="S35" s="1198" t="str">
        <f t="shared" si="8"/>
        <v>--</v>
      </c>
      <c r="T35" s="1199" t="str">
        <f t="shared" si="9"/>
        <v>--</v>
      </c>
      <c r="U35" s="1200">
        <f t="shared" si="10"/>
      </c>
      <c r="V35" s="1201">
        <f t="shared" si="11"/>
      </c>
      <c r="W35" s="1158"/>
    </row>
    <row r="36" spans="1:23" ht="16.5" customHeight="1">
      <c r="A36" s="1079"/>
      <c r="B36" s="1093"/>
      <c r="C36" s="873" t="s">
        <v>108</v>
      </c>
      <c r="D36" s="1202"/>
      <c r="E36" s="1203"/>
      <c r="F36" s="1204"/>
      <c r="G36" s="1205"/>
      <c r="H36" s="1188">
        <f t="shared" si="0"/>
        <v>0</v>
      </c>
      <c r="I36" s="1206"/>
      <c r="J36" s="1206"/>
      <c r="K36" s="1190">
        <f t="shared" si="1"/>
      </c>
      <c r="L36" s="1191">
        <f t="shared" si="2"/>
      </c>
      <c r="M36" s="1192"/>
      <c r="N36" s="1193">
        <f t="shared" si="3"/>
      </c>
      <c r="O36" s="1194">
        <f t="shared" si="4"/>
      </c>
      <c r="P36" s="1195">
        <f t="shared" si="5"/>
        <v>20</v>
      </c>
      <c r="Q36" s="1196" t="str">
        <f t="shared" si="6"/>
        <v>--</v>
      </c>
      <c r="R36" s="1197" t="str">
        <f t="shared" si="7"/>
        <v>--</v>
      </c>
      <c r="S36" s="1198" t="str">
        <f t="shared" si="8"/>
        <v>--</v>
      </c>
      <c r="T36" s="1199" t="str">
        <f t="shared" si="9"/>
        <v>--</v>
      </c>
      <c r="U36" s="1200">
        <f t="shared" si="10"/>
      </c>
      <c r="V36" s="1201">
        <f t="shared" si="11"/>
      </c>
      <c r="W36" s="1158"/>
    </row>
    <row r="37" spans="1:23" ht="16.5" customHeight="1">
      <c r="A37" s="1079"/>
      <c r="B37" s="1093"/>
      <c r="C37" s="944" t="s">
        <v>109</v>
      </c>
      <c r="D37" s="1207"/>
      <c r="E37" s="1208"/>
      <c r="F37" s="1209"/>
      <c r="G37" s="1210"/>
      <c r="H37" s="1188">
        <f t="shared" si="0"/>
        <v>0</v>
      </c>
      <c r="I37" s="1211"/>
      <c r="J37" s="1211"/>
      <c r="K37" s="1190">
        <f t="shared" si="1"/>
      </c>
      <c r="L37" s="1191">
        <f t="shared" si="2"/>
      </c>
      <c r="M37" s="1212"/>
      <c r="N37" s="1193">
        <f t="shared" si="3"/>
      </c>
      <c r="O37" s="1194">
        <f t="shared" si="4"/>
      </c>
      <c r="P37" s="1195">
        <f t="shared" si="5"/>
        <v>20</v>
      </c>
      <c r="Q37" s="1196" t="str">
        <f t="shared" si="6"/>
        <v>--</v>
      </c>
      <c r="R37" s="1197" t="str">
        <f t="shared" si="7"/>
        <v>--</v>
      </c>
      <c r="S37" s="1198" t="str">
        <f t="shared" si="8"/>
        <v>--</v>
      </c>
      <c r="T37" s="1199" t="str">
        <f t="shared" si="9"/>
        <v>--</v>
      </c>
      <c r="U37" s="1200">
        <f t="shared" si="10"/>
      </c>
      <c r="V37" s="1201">
        <f t="shared" si="11"/>
      </c>
      <c r="W37" s="1158"/>
    </row>
    <row r="38" spans="1:23" ht="16.5" customHeight="1" thickBot="1">
      <c r="A38" s="1117"/>
      <c r="B38" s="1093"/>
      <c r="C38" s="1213"/>
      <c r="D38" s="1214"/>
      <c r="E38" s="1215"/>
      <c r="F38" s="1216"/>
      <c r="G38" s="1217"/>
      <c r="H38" s="1218"/>
      <c r="I38" s="1219"/>
      <c r="J38" s="1220"/>
      <c r="K38" s="1221"/>
      <c r="L38" s="1222"/>
      <c r="M38" s="1223"/>
      <c r="N38" s="1224"/>
      <c r="O38" s="1225"/>
      <c r="P38" s="1226"/>
      <c r="Q38" s="1227"/>
      <c r="R38" s="1228"/>
      <c r="S38" s="1229"/>
      <c r="T38" s="1230"/>
      <c r="U38" s="1231"/>
      <c r="V38" s="1232"/>
      <c r="W38" s="1158"/>
    </row>
    <row r="39" spans="1:23" ht="16.5" customHeight="1" thickBot="1" thickTop="1">
      <c r="A39" s="1117"/>
      <c r="B39" s="1093"/>
      <c r="C39" s="1233"/>
      <c r="D39" s="1150"/>
      <c r="E39" s="1150"/>
      <c r="F39" s="1234"/>
      <c r="G39" s="1235"/>
      <c r="H39" s="1236"/>
      <c r="I39" s="1237"/>
      <c r="J39" s="1238"/>
      <c r="K39" s="1239"/>
      <c r="L39" s="1240"/>
      <c r="M39" s="1236"/>
      <c r="N39" s="1241"/>
      <c r="O39" s="1242"/>
      <c r="P39" s="1243"/>
      <c r="Q39" s="1244"/>
      <c r="R39" s="1245"/>
      <c r="S39" s="1245"/>
      <c r="T39" s="1245"/>
      <c r="U39" s="1246"/>
      <c r="V39" s="1247">
        <f>SUM(V30:V38)</f>
        <v>6998.346</v>
      </c>
      <c r="W39" s="1158"/>
    </row>
    <row r="40" spans="1:23" ht="16.5" customHeight="1" thickBot="1" thickTop="1">
      <c r="A40" s="1117"/>
      <c r="B40" s="1093"/>
      <c r="C40" s="1233"/>
      <c r="D40" s="1150"/>
      <c r="E40" s="1150"/>
      <c r="F40" s="1234"/>
      <c r="G40" s="1235"/>
      <c r="H40" s="1236"/>
      <c r="I40" s="1237"/>
      <c r="L40" s="1240"/>
      <c r="M40" s="1236"/>
      <c r="N40" s="1248"/>
      <c r="O40" s="1249"/>
      <c r="P40" s="1243"/>
      <c r="Q40" s="1244"/>
      <c r="R40" s="1245"/>
      <c r="S40" s="1245"/>
      <c r="T40" s="1245"/>
      <c r="U40" s="1246"/>
      <c r="V40" s="1246"/>
      <c r="W40" s="1158"/>
    </row>
    <row r="41" spans="2:23" s="1079" customFormat="1" ht="33.75" customHeight="1" thickBot="1" thickTop="1">
      <c r="B41" s="1093"/>
      <c r="C41" s="1250" t="s">
        <v>29</v>
      </c>
      <c r="D41" s="1251" t="s">
        <v>60</v>
      </c>
      <c r="E41" s="2793" t="s">
        <v>61</v>
      </c>
      <c r="F41" s="2841"/>
      <c r="G41" s="1172" t="s">
        <v>32</v>
      </c>
      <c r="H41" s="1165" t="s">
        <v>36</v>
      </c>
      <c r="I41" s="1253" t="s">
        <v>37</v>
      </c>
      <c r="J41" s="1254" t="s">
        <v>38</v>
      </c>
      <c r="K41" s="1255" t="s">
        <v>39</v>
      </c>
      <c r="L41" s="1255" t="s">
        <v>40</v>
      </c>
      <c r="M41" s="1166" t="s">
        <v>316</v>
      </c>
      <c r="N41" s="2793" t="s">
        <v>43</v>
      </c>
      <c r="O41" s="2794"/>
      <c r="P41" s="1256" t="s">
        <v>35</v>
      </c>
      <c r="Q41" s="1257" t="s">
        <v>73</v>
      </c>
      <c r="R41" s="1258" t="s">
        <v>74</v>
      </c>
      <c r="S41" s="1259"/>
      <c r="T41" s="1260" t="s">
        <v>48</v>
      </c>
      <c r="U41" s="1172" t="s">
        <v>50</v>
      </c>
      <c r="V41" s="1164" t="s">
        <v>51</v>
      </c>
      <c r="W41" s="1261"/>
    </row>
    <row r="42" spans="2:23" s="1079" customFormat="1" ht="16.5" customHeight="1" thickTop="1">
      <c r="B42" s="1093"/>
      <c r="C42" s="1262"/>
      <c r="D42" s="1263"/>
      <c r="E42" s="2842"/>
      <c r="F42" s="2843"/>
      <c r="G42" s="1263"/>
      <c r="H42" s="1264"/>
      <c r="I42" s="1263"/>
      <c r="J42" s="1263"/>
      <c r="K42" s="1263"/>
      <c r="L42" s="1263"/>
      <c r="M42" s="1263"/>
      <c r="N42" s="2844"/>
      <c r="O42" s="2845"/>
      <c r="P42" s="1265"/>
      <c r="Q42" s="1266"/>
      <c r="R42" s="1267"/>
      <c r="S42" s="1268"/>
      <c r="T42" s="1199"/>
      <c r="U42" s="1263"/>
      <c r="V42" s="1269"/>
      <c r="W42" s="1261"/>
    </row>
    <row r="43" spans="2:23" s="1079" customFormat="1" ht="16.5" customHeight="1">
      <c r="B43" s="1093"/>
      <c r="C43" s="873" t="s">
        <v>103</v>
      </c>
      <c r="D43" s="455" t="s">
        <v>363</v>
      </c>
      <c r="E43" s="2839" t="s">
        <v>364</v>
      </c>
      <c r="F43" s="2840"/>
      <c r="G43" s="564">
        <v>132</v>
      </c>
      <c r="H43" s="1270">
        <f aca="true" t="shared" si="12" ref="H43:H55">IF(G43=500,$M$19,IF(G43=220,$M$20,$M$21))</f>
        <v>170.878</v>
      </c>
      <c r="I43" s="565">
        <v>41792.42638888889</v>
      </c>
      <c r="J43" s="566">
        <v>41792.61041666667</v>
      </c>
      <c r="K43" s="1271">
        <f aca="true" t="shared" si="13" ref="K43:K55">IF(D43="","",(J43-I43)*24)</f>
        <v>4.416666666744277</v>
      </c>
      <c r="L43" s="1272">
        <f aca="true" t="shared" si="14" ref="L43:L54">IF(D43="","",ROUND((J43-I43)*24*60,0))</f>
        <v>265</v>
      </c>
      <c r="M43" s="563" t="s">
        <v>332</v>
      </c>
      <c r="N43" s="2785" t="str">
        <f aca="true" t="shared" si="15" ref="N43:N56">IF(D43="","",IF(OR(M43="P",M43="RP"),"--","NO"))</f>
        <v>--</v>
      </c>
      <c r="O43" s="2786"/>
      <c r="P43" s="1274">
        <f aca="true" t="shared" si="16" ref="P43:P55">IF(G43=500,$N$19,IF(G43=220,$N$20,$N$21))</f>
        <v>40</v>
      </c>
      <c r="Q43" s="1275">
        <f aca="true" t="shared" si="17" ref="Q43:Q55">IF(M43="P",H43*P43*ROUND(L43/60,2)*0.1,"--")</f>
        <v>3021.12304</v>
      </c>
      <c r="R43" s="1267" t="str">
        <f aca="true" t="shared" si="18" ref="R43:R55">IF(AND(M43="F",N43="NO"),H43*P43,"--")</f>
        <v>--</v>
      </c>
      <c r="S43" s="1268" t="str">
        <f aca="true" t="shared" si="19" ref="S43:S55">IF(M43="F",H43*P43*ROUND(L43/60,2),"--")</f>
        <v>--</v>
      </c>
      <c r="T43" s="1199" t="str">
        <f aca="true" t="shared" si="20" ref="T43:T55">IF(M43="RF",H43*P43*ROUND(L43/60,2),"--")</f>
        <v>--</v>
      </c>
      <c r="U43" s="1276" t="str">
        <f aca="true" t="shared" si="21" ref="U43:U55">IF(D43="","","SI")</f>
        <v>SI</v>
      </c>
      <c r="V43" s="1277">
        <f aca="true" t="shared" si="22" ref="V43:V55">IF(D43="","",SUM(Q43:T43)*IF(U43="SI",1,2))</f>
        <v>3021.12304</v>
      </c>
      <c r="W43" s="1261"/>
    </row>
    <row r="44" spans="2:23" s="1079" customFormat="1" ht="16.5" customHeight="1">
      <c r="B44" s="1093"/>
      <c r="C44" s="873" t="s">
        <v>104</v>
      </c>
      <c r="D44" s="455" t="s">
        <v>355</v>
      </c>
      <c r="E44" s="2839" t="s">
        <v>365</v>
      </c>
      <c r="F44" s="2840"/>
      <c r="G44" s="564">
        <v>132</v>
      </c>
      <c r="H44" s="1270">
        <f t="shared" si="12"/>
        <v>170.878</v>
      </c>
      <c r="I44" s="565">
        <v>41797.361805555556</v>
      </c>
      <c r="J44" s="566">
        <v>41797.7125</v>
      </c>
      <c r="K44" s="1271">
        <f t="shared" si="13"/>
        <v>8.41666666668607</v>
      </c>
      <c r="L44" s="1272">
        <f t="shared" si="14"/>
        <v>505</v>
      </c>
      <c r="M44" s="563" t="s">
        <v>332</v>
      </c>
      <c r="N44" s="2785" t="str">
        <f t="shared" si="15"/>
        <v>--</v>
      </c>
      <c r="O44" s="2786"/>
      <c r="P44" s="1274">
        <f t="shared" si="16"/>
        <v>40</v>
      </c>
      <c r="Q44" s="1275">
        <f t="shared" si="17"/>
        <v>5755.171039999999</v>
      </c>
      <c r="R44" s="1267" t="str">
        <f t="shared" si="18"/>
        <v>--</v>
      </c>
      <c r="S44" s="1268" t="str">
        <f t="shared" si="19"/>
        <v>--</v>
      </c>
      <c r="T44" s="1199" t="str">
        <f t="shared" si="20"/>
        <v>--</v>
      </c>
      <c r="U44" s="1276" t="str">
        <f t="shared" si="21"/>
        <v>SI</v>
      </c>
      <c r="V44" s="1277">
        <f t="shared" si="22"/>
        <v>5755.171039999999</v>
      </c>
      <c r="W44" s="1261"/>
    </row>
    <row r="45" spans="2:23" s="1079" customFormat="1" ht="16.5" customHeight="1">
      <c r="B45" s="1093"/>
      <c r="C45" s="873" t="s">
        <v>105</v>
      </c>
      <c r="D45" s="455" t="s">
        <v>355</v>
      </c>
      <c r="E45" s="2839" t="s">
        <v>366</v>
      </c>
      <c r="F45" s="2840"/>
      <c r="G45" s="564">
        <v>132</v>
      </c>
      <c r="H45" s="1270">
        <f t="shared" si="12"/>
        <v>170.878</v>
      </c>
      <c r="I45" s="565">
        <v>41800.37777777778</v>
      </c>
      <c r="J45" s="566">
        <v>41800.729166666664</v>
      </c>
      <c r="K45" s="1271">
        <f t="shared" si="13"/>
        <v>8.43333333323244</v>
      </c>
      <c r="L45" s="1272">
        <f t="shared" si="14"/>
        <v>506</v>
      </c>
      <c r="M45" s="563" t="s">
        <v>332</v>
      </c>
      <c r="N45" s="2785" t="str">
        <f t="shared" si="15"/>
        <v>--</v>
      </c>
      <c r="O45" s="2786"/>
      <c r="P45" s="1274">
        <f t="shared" si="16"/>
        <v>40</v>
      </c>
      <c r="Q45" s="1275">
        <f t="shared" si="17"/>
        <v>5762.006159999999</v>
      </c>
      <c r="R45" s="1267" t="str">
        <f t="shared" si="18"/>
        <v>--</v>
      </c>
      <c r="S45" s="1268" t="str">
        <f t="shared" si="19"/>
        <v>--</v>
      </c>
      <c r="T45" s="1199" t="str">
        <f t="shared" si="20"/>
        <v>--</v>
      </c>
      <c r="U45" s="1276" t="str">
        <f t="shared" si="21"/>
        <v>SI</v>
      </c>
      <c r="V45" s="1277">
        <f t="shared" si="22"/>
        <v>5762.006159999999</v>
      </c>
      <c r="W45" s="1261"/>
    </row>
    <row r="46" spans="2:23" s="1079" customFormat="1" ht="16.5" customHeight="1">
      <c r="B46" s="1093"/>
      <c r="C46" s="873" t="s">
        <v>106</v>
      </c>
      <c r="D46" s="455" t="s">
        <v>367</v>
      </c>
      <c r="E46" s="2839" t="s">
        <v>368</v>
      </c>
      <c r="F46" s="2840"/>
      <c r="G46" s="564">
        <v>132</v>
      </c>
      <c r="H46" s="1270">
        <f t="shared" si="12"/>
        <v>170.878</v>
      </c>
      <c r="I46" s="565">
        <v>41801.42986111111</v>
      </c>
      <c r="J46" s="566">
        <v>41801.63125</v>
      </c>
      <c r="K46" s="1271">
        <f t="shared" si="13"/>
        <v>4.833333333372138</v>
      </c>
      <c r="L46" s="1272">
        <f t="shared" si="14"/>
        <v>290</v>
      </c>
      <c r="M46" s="563" t="s">
        <v>332</v>
      </c>
      <c r="N46" s="2785" t="str">
        <f t="shared" si="15"/>
        <v>--</v>
      </c>
      <c r="O46" s="2786"/>
      <c r="P46" s="1274">
        <f t="shared" si="16"/>
        <v>40</v>
      </c>
      <c r="Q46" s="1275">
        <f t="shared" si="17"/>
        <v>3301.3629599999995</v>
      </c>
      <c r="R46" s="1267" t="str">
        <f t="shared" si="18"/>
        <v>--</v>
      </c>
      <c r="S46" s="1268" t="str">
        <f t="shared" si="19"/>
        <v>--</v>
      </c>
      <c r="T46" s="1199" t="str">
        <f t="shared" si="20"/>
        <v>--</v>
      </c>
      <c r="U46" s="1276" t="str">
        <f t="shared" si="21"/>
        <v>SI</v>
      </c>
      <c r="V46" s="1277">
        <f t="shared" si="22"/>
        <v>3301.3629599999995</v>
      </c>
      <c r="W46" s="1261"/>
    </row>
    <row r="47" spans="2:23" s="1079" customFormat="1" ht="16.5" customHeight="1">
      <c r="B47" s="1093"/>
      <c r="C47" s="873" t="s">
        <v>107</v>
      </c>
      <c r="D47" s="455" t="s">
        <v>367</v>
      </c>
      <c r="E47" s="2839" t="s">
        <v>369</v>
      </c>
      <c r="F47" s="2840"/>
      <c r="G47" s="564">
        <v>132</v>
      </c>
      <c r="H47" s="1270">
        <f t="shared" si="12"/>
        <v>170.878</v>
      </c>
      <c r="I47" s="565">
        <v>41806.43402777778</v>
      </c>
      <c r="J47" s="566">
        <v>41806.71875</v>
      </c>
      <c r="K47" s="1271">
        <f t="shared" si="13"/>
        <v>6.833333333255723</v>
      </c>
      <c r="L47" s="1272">
        <f t="shared" si="14"/>
        <v>410</v>
      </c>
      <c r="M47" s="563" t="s">
        <v>332</v>
      </c>
      <c r="N47" s="2785" t="str">
        <f t="shared" si="15"/>
        <v>--</v>
      </c>
      <c r="O47" s="2786"/>
      <c r="P47" s="1274">
        <f t="shared" si="16"/>
        <v>40</v>
      </c>
      <c r="Q47" s="1275">
        <f t="shared" si="17"/>
        <v>4668.386959999999</v>
      </c>
      <c r="R47" s="1267" t="str">
        <f t="shared" si="18"/>
        <v>--</v>
      </c>
      <c r="S47" s="1268" t="str">
        <f t="shared" si="19"/>
        <v>--</v>
      </c>
      <c r="T47" s="1199" t="str">
        <f t="shared" si="20"/>
        <v>--</v>
      </c>
      <c r="U47" s="1276" t="str">
        <f t="shared" si="21"/>
        <v>SI</v>
      </c>
      <c r="V47" s="1277">
        <f t="shared" si="22"/>
        <v>4668.386959999999</v>
      </c>
      <c r="W47" s="1261"/>
    </row>
    <row r="48" spans="2:23" s="1079" customFormat="1" ht="16.5" customHeight="1">
      <c r="B48" s="1093"/>
      <c r="C48" s="873" t="s">
        <v>108</v>
      </c>
      <c r="D48" s="455" t="s">
        <v>370</v>
      </c>
      <c r="E48" s="2839" t="s">
        <v>371</v>
      </c>
      <c r="F48" s="2840"/>
      <c r="G48" s="564">
        <v>132</v>
      </c>
      <c r="H48" s="1270">
        <f t="shared" si="12"/>
        <v>170.878</v>
      </c>
      <c r="I48" s="565">
        <v>41819.38263888889</v>
      </c>
      <c r="J48" s="566">
        <v>41819.53958333333</v>
      </c>
      <c r="K48" s="1271">
        <f t="shared" si="13"/>
        <v>3.766666666546371</v>
      </c>
      <c r="L48" s="1272">
        <f t="shared" si="14"/>
        <v>226</v>
      </c>
      <c r="M48" s="563" t="s">
        <v>332</v>
      </c>
      <c r="N48" s="2785" t="str">
        <f t="shared" si="15"/>
        <v>--</v>
      </c>
      <c r="O48" s="2786"/>
      <c r="P48" s="1274">
        <f t="shared" si="16"/>
        <v>40</v>
      </c>
      <c r="Q48" s="1275">
        <f t="shared" si="17"/>
        <v>2576.8402399999995</v>
      </c>
      <c r="R48" s="1267" t="str">
        <f t="shared" si="18"/>
        <v>--</v>
      </c>
      <c r="S48" s="1268" t="str">
        <f t="shared" si="19"/>
        <v>--</v>
      </c>
      <c r="T48" s="1199" t="str">
        <f t="shared" si="20"/>
        <v>--</v>
      </c>
      <c r="U48" s="1276" t="str">
        <f t="shared" si="21"/>
        <v>SI</v>
      </c>
      <c r="V48" s="1277">
        <f t="shared" si="22"/>
        <v>2576.8402399999995</v>
      </c>
      <c r="W48" s="1261"/>
    </row>
    <row r="49" spans="2:23" s="1079" customFormat="1" ht="16.5" customHeight="1">
      <c r="B49" s="1093"/>
      <c r="C49" s="873" t="s">
        <v>109</v>
      </c>
      <c r="D49" s="455"/>
      <c r="E49" s="2839"/>
      <c r="F49" s="2840"/>
      <c r="G49" s="564"/>
      <c r="H49" s="1270">
        <f t="shared" si="12"/>
        <v>170.878</v>
      </c>
      <c r="I49" s="565"/>
      <c r="J49" s="566"/>
      <c r="K49" s="1271">
        <f t="shared" si="13"/>
      </c>
      <c r="L49" s="1272">
        <f t="shared" si="14"/>
      </c>
      <c r="M49" s="563"/>
      <c r="N49" s="2785">
        <f t="shared" si="15"/>
      </c>
      <c r="O49" s="2786"/>
      <c r="P49" s="1274">
        <f t="shared" si="16"/>
        <v>40</v>
      </c>
      <c r="Q49" s="1275" t="str">
        <f t="shared" si="17"/>
        <v>--</v>
      </c>
      <c r="R49" s="1267" t="str">
        <f t="shared" si="18"/>
        <v>--</v>
      </c>
      <c r="S49" s="1268" t="str">
        <f t="shared" si="19"/>
        <v>--</v>
      </c>
      <c r="T49" s="1199" t="str">
        <f t="shared" si="20"/>
        <v>--</v>
      </c>
      <c r="U49" s="1276">
        <f t="shared" si="21"/>
      </c>
      <c r="V49" s="1277">
        <f t="shared" si="22"/>
      </c>
      <c r="W49" s="1261"/>
    </row>
    <row r="50" spans="2:23" s="1079" customFormat="1" ht="16.5" customHeight="1">
      <c r="B50" s="1093"/>
      <c r="C50" s="873" t="s">
        <v>110</v>
      </c>
      <c r="D50" s="1278"/>
      <c r="E50" s="2848"/>
      <c r="F50" s="2849"/>
      <c r="G50" s="1279"/>
      <c r="H50" s="1270">
        <f t="shared" si="12"/>
        <v>170.878</v>
      </c>
      <c r="I50" s="1280"/>
      <c r="J50" s="1281"/>
      <c r="K50" s="1271">
        <f t="shared" si="13"/>
      </c>
      <c r="L50" s="1272">
        <f t="shared" si="14"/>
      </c>
      <c r="M50" s="1282"/>
      <c r="N50" s="2785">
        <f t="shared" si="15"/>
      </c>
      <c r="O50" s="2786"/>
      <c r="P50" s="1274">
        <f t="shared" si="16"/>
        <v>40</v>
      </c>
      <c r="Q50" s="1275" t="str">
        <f t="shared" si="17"/>
        <v>--</v>
      </c>
      <c r="R50" s="1267" t="str">
        <f t="shared" si="18"/>
        <v>--</v>
      </c>
      <c r="S50" s="1268" t="str">
        <f t="shared" si="19"/>
        <v>--</v>
      </c>
      <c r="T50" s="1199" t="str">
        <f t="shared" si="20"/>
        <v>--</v>
      </c>
      <c r="U50" s="1276">
        <f t="shared" si="21"/>
      </c>
      <c r="V50" s="1277">
        <f t="shared" si="22"/>
      </c>
      <c r="W50" s="1261"/>
    </row>
    <row r="51" spans="2:23" s="1079" customFormat="1" ht="16.5" customHeight="1">
      <c r="B51" s="1093"/>
      <c r="C51" s="873" t="s">
        <v>409</v>
      </c>
      <c r="D51" s="1278"/>
      <c r="E51" s="2848"/>
      <c r="F51" s="2849"/>
      <c r="G51" s="1279"/>
      <c r="H51" s="1270">
        <f t="shared" si="12"/>
        <v>170.878</v>
      </c>
      <c r="I51" s="1280"/>
      <c r="J51" s="1281"/>
      <c r="K51" s="1271">
        <f t="shared" si="13"/>
      </c>
      <c r="L51" s="1272">
        <f t="shared" si="14"/>
      </c>
      <c r="M51" s="1282"/>
      <c r="N51" s="2785">
        <f t="shared" si="15"/>
      </c>
      <c r="O51" s="2786"/>
      <c r="P51" s="1274">
        <f t="shared" si="16"/>
        <v>40</v>
      </c>
      <c r="Q51" s="1275" t="str">
        <f t="shared" si="17"/>
        <v>--</v>
      </c>
      <c r="R51" s="1267" t="str">
        <f t="shared" si="18"/>
        <v>--</v>
      </c>
      <c r="S51" s="1268" t="str">
        <f t="shared" si="19"/>
        <v>--</v>
      </c>
      <c r="T51" s="1199" t="str">
        <f t="shared" si="20"/>
        <v>--</v>
      </c>
      <c r="U51" s="1276">
        <f t="shared" si="21"/>
      </c>
      <c r="V51" s="1277">
        <f t="shared" si="22"/>
      </c>
      <c r="W51" s="1261"/>
    </row>
    <row r="52" spans="2:23" s="1079" customFormat="1" ht="16.5" customHeight="1">
      <c r="B52" s="1093"/>
      <c r="C52" s="873" t="s">
        <v>410</v>
      </c>
      <c r="D52" s="1278"/>
      <c r="E52" s="2848"/>
      <c r="F52" s="2849"/>
      <c r="G52" s="1279"/>
      <c r="H52" s="1270">
        <f t="shared" si="12"/>
        <v>170.878</v>
      </c>
      <c r="I52" s="1280"/>
      <c r="J52" s="1281"/>
      <c r="K52" s="1271">
        <f t="shared" si="13"/>
      </c>
      <c r="L52" s="1272">
        <f t="shared" si="14"/>
      </c>
      <c r="M52" s="1282"/>
      <c r="N52" s="2785">
        <f t="shared" si="15"/>
      </c>
      <c r="O52" s="2786"/>
      <c r="P52" s="1274">
        <f t="shared" si="16"/>
        <v>40</v>
      </c>
      <c r="Q52" s="1275" t="str">
        <f t="shared" si="17"/>
        <v>--</v>
      </c>
      <c r="R52" s="1267" t="str">
        <f t="shared" si="18"/>
        <v>--</v>
      </c>
      <c r="S52" s="1268" t="str">
        <f t="shared" si="19"/>
        <v>--</v>
      </c>
      <c r="T52" s="1199" t="str">
        <f t="shared" si="20"/>
        <v>--</v>
      </c>
      <c r="U52" s="1276">
        <f t="shared" si="21"/>
      </c>
      <c r="V52" s="1277">
        <f t="shared" si="22"/>
      </c>
      <c r="W52" s="1261"/>
    </row>
    <row r="53" spans="2:23" s="1079" customFormat="1" ht="16.5" customHeight="1">
      <c r="B53" s="1093"/>
      <c r="C53" s="873" t="s">
        <v>411</v>
      </c>
      <c r="D53" s="1278"/>
      <c r="E53" s="2848"/>
      <c r="F53" s="2849"/>
      <c r="G53" s="1279"/>
      <c r="H53" s="1270">
        <f t="shared" si="12"/>
        <v>170.878</v>
      </c>
      <c r="I53" s="1280"/>
      <c r="J53" s="1281"/>
      <c r="K53" s="1271">
        <f t="shared" si="13"/>
      </c>
      <c r="L53" s="1272">
        <f t="shared" si="14"/>
      </c>
      <c r="M53" s="1282"/>
      <c r="N53" s="2785">
        <f t="shared" si="15"/>
      </c>
      <c r="O53" s="2786"/>
      <c r="P53" s="1274">
        <f t="shared" si="16"/>
        <v>40</v>
      </c>
      <c r="Q53" s="1275" t="str">
        <f t="shared" si="17"/>
        <v>--</v>
      </c>
      <c r="R53" s="1267" t="str">
        <f t="shared" si="18"/>
        <v>--</v>
      </c>
      <c r="S53" s="1268" t="str">
        <f t="shared" si="19"/>
        <v>--</v>
      </c>
      <c r="T53" s="1199" t="str">
        <f t="shared" si="20"/>
        <v>--</v>
      </c>
      <c r="U53" s="1276">
        <f t="shared" si="21"/>
      </c>
      <c r="V53" s="1277">
        <f t="shared" si="22"/>
      </c>
      <c r="W53" s="1261"/>
    </row>
    <row r="54" spans="2:23" s="1079" customFormat="1" ht="16.5" customHeight="1">
      <c r="B54" s="1093"/>
      <c r="C54" s="944" t="s">
        <v>412</v>
      </c>
      <c r="D54" s="1278"/>
      <c r="E54" s="2848"/>
      <c r="F54" s="2849"/>
      <c r="G54" s="1279"/>
      <c r="H54" s="1270">
        <f t="shared" si="12"/>
        <v>170.878</v>
      </c>
      <c r="I54" s="1280"/>
      <c r="J54" s="1281"/>
      <c r="K54" s="1283">
        <f t="shared" si="13"/>
      </c>
      <c r="L54" s="1272">
        <f t="shared" si="14"/>
      </c>
      <c r="M54" s="1282"/>
      <c r="N54" s="2785">
        <f t="shared" si="15"/>
      </c>
      <c r="O54" s="2786"/>
      <c r="P54" s="1274">
        <f t="shared" si="16"/>
        <v>40</v>
      </c>
      <c r="Q54" s="1275" t="str">
        <f t="shared" si="17"/>
        <v>--</v>
      </c>
      <c r="R54" s="1267" t="str">
        <f t="shared" si="18"/>
        <v>--</v>
      </c>
      <c r="S54" s="1268" t="str">
        <f t="shared" si="19"/>
        <v>--</v>
      </c>
      <c r="T54" s="1199" t="str">
        <f t="shared" si="20"/>
        <v>--</v>
      </c>
      <c r="U54" s="1276">
        <f t="shared" si="21"/>
      </c>
      <c r="V54" s="1277">
        <f t="shared" si="22"/>
      </c>
      <c r="W54" s="1261"/>
    </row>
    <row r="55" spans="2:23" s="1079" customFormat="1" ht="16.5" customHeight="1">
      <c r="B55" s="1093"/>
      <c r="C55" s="944" t="s">
        <v>413</v>
      </c>
      <c r="D55" s="1284"/>
      <c r="E55" s="2846"/>
      <c r="F55" s="2847"/>
      <c r="G55" s="1285"/>
      <c r="H55" s="1270">
        <f t="shared" si="12"/>
        <v>170.878</v>
      </c>
      <c r="I55" s="1286"/>
      <c r="J55" s="1287"/>
      <c r="K55" s="1271">
        <f t="shared" si="13"/>
      </c>
      <c r="L55" s="1272"/>
      <c r="M55" s="1288"/>
      <c r="N55" s="2785">
        <f t="shared" si="15"/>
      </c>
      <c r="O55" s="2786"/>
      <c r="P55" s="1274">
        <f t="shared" si="16"/>
        <v>40</v>
      </c>
      <c r="Q55" s="1275" t="str">
        <f t="shared" si="17"/>
        <v>--</v>
      </c>
      <c r="R55" s="1267" t="str">
        <f t="shared" si="18"/>
        <v>--</v>
      </c>
      <c r="S55" s="1268" t="str">
        <f t="shared" si="19"/>
        <v>--</v>
      </c>
      <c r="T55" s="1199" t="str">
        <f t="shared" si="20"/>
        <v>--</v>
      </c>
      <c r="U55" s="1276">
        <f t="shared" si="21"/>
      </c>
      <c r="V55" s="1277">
        <f t="shared" si="22"/>
      </c>
      <c r="W55" s="1261"/>
    </row>
    <row r="56" spans="2:23" s="1079" customFormat="1" ht="16.5" customHeight="1">
      <c r="B56" s="1093"/>
      <c r="C56" s="944" t="s">
        <v>414</v>
      </c>
      <c r="D56" s="1207"/>
      <c r="E56" s="2846"/>
      <c r="F56" s="2847"/>
      <c r="G56" s="1289"/>
      <c r="H56" s="1290"/>
      <c r="I56" s="1286"/>
      <c r="J56" s="1287"/>
      <c r="K56" s="1283"/>
      <c r="L56" s="1291"/>
      <c r="M56" s="1273"/>
      <c r="N56" s="2785">
        <f t="shared" si="15"/>
      </c>
      <c r="O56" s="2786"/>
      <c r="P56" s="1292"/>
      <c r="Q56" s="1293"/>
      <c r="R56" s="1294"/>
      <c r="S56" s="1295"/>
      <c r="T56" s="1296"/>
      <c r="U56" s="1297"/>
      <c r="V56" s="1298"/>
      <c r="W56" s="1261"/>
    </row>
    <row r="57" spans="2:28" s="1079" customFormat="1" ht="16.5" customHeight="1" thickBot="1">
      <c r="B57" s="1093"/>
      <c r="C57" s="1213"/>
      <c r="D57" s="1299"/>
      <c r="E57" s="2851"/>
      <c r="F57" s="2852"/>
      <c r="G57" s="1300"/>
      <c r="H57" s="1301"/>
      <c r="I57" s="1302"/>
      <c r="J57" s="1303"/>
      <c r="K57" s="1304"/>
      <c r="L57" s="1305"/>
      <c r="M57" s="1306"/>
      <c r="N57" s="2789"/>
      <c r="O57" s="2790"/>
      <c r="P57" s="1307"/>
      <c r="Q57" s="1308"/>
      <c r="R57" s="1309"/>
      <c r="S57" s="1310"/>
      <c r="T57" s="1311"/>
      <c r="U57" s="1312"/>
      <c r="V57" s="1313"/>
      <c r="W57" s="1261"/>
      <c r="X57" s="1081"/>
      <c r="Y57" s="1081"/>
      <c r="Z57" s="1081"/>
      <c r="AA57" s="1081"/>
      <c r="AB57" s="1081"/>
    </row>
    <row r="58" spans="1:23" ht="17.25" thickBot="1" thickTop="1">
      <c r="A58" s="1117"/>
      <c r="B58" s="1118"/>
      <c r="C58" s="1147"/>
      <c r="D58" s="1314"/>
      <c r="E58" s="1315"/>
      <c r="F58" s="1316"/>
      <c r="G58" s="1317"/>
      <c r="H58" s="1317"/>
      <c r="I58" s="1315"/>
      <c r="J58" s="1318"/>
      <c r="K58" s="1318"/>
      <c r="L58" s="1315"/>
      <c r="M58" s="1315"/>
      <c r="N58" s="1315"/>
      <c r="O58" s="1319"/>
      <c r="P58" s="1315"/>
      <c r="Q58" s="1315"/>
      <c r="R58" s="1320"/>
      <c r="S58" s="1321"/>
      <c r="T58" s="1321"/>
      <c r="U58" s="1322"/>
      <c r="V58" s="1247">
        <f>SUM(V43:V57)</f>
        <v>25084.890399999997</v>
      </c>
      <c r="W58" s="1323"/>
    </row>
    <row r="59" spans="1:23" ht="21" customHeight="1" thickBot="1" thickTop="1">
      <c r="A59" s="1117"/>
      <c r="B59" s="1118"/>
      <c r="C59" s="1147"/>
      <c r="D59" s="1314"/>
      <c r="E59" s="1315"/>
      <c r="F59" s="1316"/>
      <c r="G59" s="1317"/>
      <c r="H59" s="1317"/>
      <c r="I59" s="1148" t="s">
        <v>116</v>
      </c>
      <c r="J59" s="1149">
        <f>+V58+V39</f>
        <v>32083.236399999994</v>
      </c>
      <c r="L59" s="1315"/>
      <c r="M59" s="1315"/>
      <c r="N59" s="1315"/>
      <c r="O59" s="1319"/>
      <c r="P59" s="1315"/>
      <c r="Q59" s="1315"/>
      <c r="R59" s="1320"/>
      <c r="S59" s="1321"/>
      <c r="T59" s="1321"/>
      <c r="U59" s="1322"/>
      <c r="W59" s="1323"/>
    </row>
    <row r="60" spans="1:23" ht="13.5" customHeight="1" thickTop="1">
      <c r="A60" s="1117"/>
      <c r="B60" s="1118"/>
      <c r="C60" s="1147"/>
      <c r="D60" s="1314"/>
      <c r="E60" s="1315"/>
      <c r="F60" s="1316"/>
      <c r="G60" s="1317"/>
      <c r="H60" s="1317"/>
      <c r="I60" s="1315"/>
      <c r="J60" s="1318"/>
      <c r="K60" s="1318"/>
      <c r="L60" s="1315"/>
      <c r="M60" s="1315"/>
      <c r="N60" s="1315"/>
      <c r="O60" s="1319"/>
      <c r="P60" s="1315"/>
      <c r="Q60" s="1315"/>
      <c r="R60" s="1320"/>
      <c r="S60" s="1321"/>
      <c r="T60" s="1321"/>
      <c r="U60" s="1322"/>
      <c r="W60" s="1323"/>
    </row>
    <row r="61" spans="1:23" ht="16.5" customHeight="1">
      <c r="A61" s="1117"/>
      <c r="B61" s="1118"/>
      <c r="C61" s="1324" t="s">
        <v>117</v>
      </c>
      <c r="D61" s="1325" t="s">
        <v>319</v>
      </c>
      <c r="E61" s="1315"/>
      <c r="F61" s="1316"/>
      <c r="G61" s="1317"/>
      <c r="H61" s="1317"/>
      <c r="I61" s="1315"/>
      <c r="J61" s="1318"/>
      <c r="K61" s="1318"/>
      <c r="L61" s="1315"/>
      <c r="M61" s="1315"/>
      <c r="N61" s="1315"/>
      <c r="O61" s="1319"/>
      <c r="P61" s="1315"/>
      <c r="Q61" s="1315"/>
      <c r="R61" s="1320"/>
      <c r="S61" s="1321"/>
      <c r="T61" s="1321"/>
      <c r="U61" s="1322"/>
      <c r="W61" s="1323"/>
    </row>
    <row r="62" spans="1:23" ht="16.5" customHeight="1">
      <c r="A62" s="1117"/>
      <c r="B62" s="1118"/>
      <c r="C62" s="1324"/>
      <c r="D62" s="1314"/>
      <c r="E62" s="1315"/>
      <c r="F62" s="1316"/>
      <c r="G62" s="1317"/>
      <c r="H62" s="1317"/>
      <c r="I62" s="1315"/>
      <c r="J62" s="1318"/>
      <c r="K62" s="1318"/>
      <c r="L62" s="1315"/>
      <c r="M62" s="1315"/>
      <c r="N62" s="1315"/>
      <c r="O62" s="1319"/>
      <c r="P62" s="1315"/>
      <c r="Q62" s="1315"/>
      <c r="R62" s="1315"/>
      <c r="S62" s="1320"/>
      <c r="T62" s="1321"/>
      <c r="W62" s="1323"/>
    </row>
    <row r="63" spans="2:23" s="1117" customFormat="1" ht="16.5" customHeight="1">
      <c r="B63" s="1118"/>
      <c r="C63" s="1147"/>
      <c r="D63" s="1326" t="s">
        <v>127</v>
      </c>
      <c r="E63" s="1153" t="s">
        <v>128</v>
      </c>
      <c r="F63" s="1153" t="s">
        <v>119</v>
      </c>
      <c r="G63" s="1327" t="s">
        <v>324</v>
      </c>
      <c r="H63" s="1081"/>
      <c r="I63" s="1328"/>
      <c r="J63" s="1329" t="s">
        <v>129</v>
      </c>
      <c r="K63" s="1329"/>
      <c r="L63" s="1153" t="s">
        <v>119</v>
      </c>
      <c r="M63" s="1081" t="s">
        <v>133</v>
      </c>
      <c r="O63" s="1327" t="s">
        <v>325</v>
      </c>
      <c r="P63" s="1081"/>
      <c r="Q63" s="1330"/>
      <c r="R63" s="1330"/>
      <c r="S63" s="1119"/>
      <c r="T63" s="1081"/>
      <c r="U63" s="1081"/>
      <c r="V63" s="1081"/>
      <c r="W63" s="1323"/>
    </row>
    <row r="64" spans="2:23" s="1117" customFormat="1" ht="16.5" customHeight="1">
      <c r="B64" s="1118"/>
      <c r="C64" s="1147"/>
      <c r="D64" s="1331" t="s">
        <v>134</v>
      </c>
      <c r="E64" s="1331">
        <v>300</v>
      </c>
      <c r="F64" s="1332">
        <v>500</v>
      </c>
      <c r="G64" s="2850">
        <f>+E64*$F$20*$F$21</f>
        <v>232632</v>
      </c>
      <c r="H64" s="2850"/>
      <c r="I64" s="2850"/>
      <c r="J64" s="1334" t="s">
        <v>135</v>
      </c>
      <c r="K64" s="1334"/>
      <c r="L64" s="1331">
        <v>500</v>
      </c>
      <c r="M64" s="1331">
        <v>2</v>
      </c>
      <c r="O64" s="2850">
        <f>+M64*$F$20*$M$19</f>
        <v>307572.48000000004</v>
      </c>
      <c r="P64" s="2850"/>
      <c r="Q64" s="2850"/>
      <c r="R64" s="2850"/>
      <c r="S64" s="2850"/>
      <c r="T64" s="2850"/>
      <c r="U64" s="2850"/>
      <c r="V64" s="1081"/>
      <c r="W64" s="1323"/>
    </row>
    <row r="65" spans="2:23" s="1117" customFormat="1" ht="16.5" customHeight="1">
      <c r="B65" s="1118"/>
      <c r="C65" s="1147"/>
      <c r="D65" s="1331" t="s">
        <v>136</v>
      </c>
      <c r="E65" s="1335">
        <v>300</v>
      </c>
      <c r="F65" s="1332">
        <v>500</v>
      </c>
      <c r="G65" s="2850">
        <f>+E65*$F$20*$F$21</f>
        <v>232632</v>
      </c>
      <c r="H65" s="2850"/>
      <c r="I65" s="2850"/>
      <c r="J65" s="1334" t="s">
        <v>135</v>
      </c>
      <c r="K65" s="1334"/>
      <c r="L65" s="1331">
        <v>132</v>
      </c>
      <c r="M65" s="1331">
        <v>9</v>
      </c>
      <c r="O65" s="2850">
        <f>+M65*$F$20*$M$21</f>
        <v>1107289.44</v>
      </c>
      <c r="P65" s="2850"/>
      <c r="Q65" s="2850"/>
      <c r="R65" s="2850"/>
      <c r="S65" s="2850"/>
      <c r="T65" s="2850"/>
      <c r="U65" s="2850"/>
      <c r="V65" s="1081"/>
      <c r="W65" s="1323"/>
    </row>
    <row r="66" spans="2:23" s="1117" customFormat="1" ht="16.5" customHeight="1">
      <c r="B66" s="1118"/>
      <c r="C66" s="1147"/>
      <c r="D66" s="1336" t="s">
        <v>137</v>
      </c>
      <c r="E66" s="1335">
        <v>300</v>
      </c>
      <c r="F66" s="1332">
        <v>500</v>
      </c>
      <c r="G66" s="2850">
        <f>+E66*$F$20*$F$21</f>
        <v>232632</v>
      </c>
      <c r="H66" s="2850"/>
      <c r="I66" s="2850"/>
      <c r="J66" s="1334" t="s">
        <v>138</v>
      </c>
      <c r="K66" s="1334"/>
      <c r="L66" s="1331">
        <v>132</v>
      </c>
      <c r="M66" s="1331">
        <v>8</v>
      </c>
      <c r="O66" s="2850">
        <f>+M66*$F$20*$M$21</f>
        <v>984257.2799999999</v>
      </c>
      <c r="P66" s="2850"/>
      <c r="Q66" s="2850"/>
      <c r="R66" s="2850"/>
      <c r="S66" s="2850"/>
      <c r="T66" s="2850"/>
      <c r="U66" s="2850"/>
      <c r="V66" s="1081"/>
      <c r="W66" s="1323"/>
    </row>
    <row r="67" spans="1:23" ht="16.5" customHeight="1">
      <c r="A67" s="1117"/>
      <c r="B67" s="1118"/>
      <c r="C67" s="1147"/>
      <c r="D67" s="1336" t="s">
        <v>139</v>
      </c>
      <c r="E67" s="1335">
        <v>300</v>
      </c>
      <c r="F67" s="1332">
        <v>500</v>
      </c>
      <c r="G67" s="2850">
        <f>+E67*$F$20*$F$21</f>
        <v>232632</v>
      </c>
      <c r="H67" s="2850"/>
      <c r="I67" s="2850"/>
      <c r="J67" s="1334" t="s">
        <v>140</v>
      </c>
      <c r="K67" s="1334"/>
      <c r="L67" s="1331">
        <v>132</v>
      </c>
      <c r="M67" s="1331">
        <v>5</v>
      </c>
      <c r="O67" s="2854">
        <f>+M67*$F$20*$M$21</f>
        <v>615160.7999999999</v>
      </c>
      <c r="P67" s="2854"/>
      <c r="Q67" s="2854"/>
      <c r="R67" s="2854"/>
      <c r="S67" s="2854"/>
      <c r="T67" s="2854"/>
      <c r="U67" s="2854"/>
      <c r="W67" s="1323"/>
    </row>
    <row r="68" spans="1:23" ht="16.5" customHeight="1">
      <c r="A68" s="1117"/>
      <c r="B68" s="1118"/>
      <c r="C68" s="1147"/>
      <c r="D68" s="1336" t="s">
        <v>141</v>
      </c>
      <c r="E68" s="1335">
        <v>600</v>
      </c>
      <c r="F68" s="1332">
        <v>500</v>
      </c>
      <c r="G68" s="2854">
        <f>+E68*$F$20*$F$21</f>
        <v>465264</v>
      </c>
      <c r="H68" s="2854"/>
      <c r="I68" s="2854"/>
      <c r="M68" s="1331"/>
      <c r="O68" s="2850">
        <f>SUM(O64:P67)</f>
        <v>3014279.9999999995</v>
      </c>
      <c r="P68" s="2850"/>
      <c r="Q68" s="2850"/>
      <c r="R68" s="2850"/>
      <c r="S68" s="2850"/>
      <c r="T68" s="2850"/>
      <c r="U68" s="2850"/>
      <c r="W68" s="1323"/>
    </row>
    <row r="69" spans="1:23" ht="16.5" customHeight="1">
      <c r="A69" s="1117"/>
      <c r="B69" s="1118"/>
      <c r="C69" s="1147"/>
      <c r="D69" s="1336"/>
      <c r="E69" s="1335"/>
      <c r="F69" s="1332"/>
      <c r="G69" s="2850">
        <f>SUM(G64:G68)</f>
        <v>1395792</v>
      </c>
      <c r="H69" s="2850"/>
      <c r="I69" s="2850"/>
      <c r="M69" s="1331"/>
      <c r="N69" s="1328"/>
      <c r="O69" s="1328"/>
      <c r="P69" s="1337"/>
      <c r="Q69" s="1337"/>
      <c r="R69" s="1337"/>
      <c r="S69" s="1337"/>
      <c r="W69" s="1323"/>
    </row>
    <row r="70" spans="1:23" ht="16.5" customHeight="1">
      <c r="A70" s="1117"/>
      <c r="B70" s="1118"/>
      <c r="C70" s="1147"/>
      <c r="D70" s="1336"/>
      <c r="E70" s="1335"/>
      <c r="F70" s="1332"/>
      <c r="G70" s="1333"/>
      <c r="H70" s="1333"/>
      <c r="I70" s="1333"/>
      <c r="M70" s="1331"/>
      <c r="N70" s="1328"/>
      <c r="O70" s="1328"/>
      <c r="P70" s="1337"/>
      <c r="Q70" s="1337"/>
      <c r="R70" s="1337"/>
      <c r="S70" s="1337"/>
      <c r="W70" s="1323"/>
    </row>
    <row r="71" spans="1:23" ht="16.5" customHeight="1">
      <c r="A71" s="1117"/>
      <c r="B71" s="1118"/>
      <c r="C71" s="2853" t="s">
        <v>415</v>
      </c>
      <c r="D71" s="2853"/>
      <c r="E71" s="1335" t="s">
        <v>416</v>
      </c>
      <c r="F71" s="2697">
        <v>17759.8</v>
      </c>
      <c r="G71" s="1333"/>
      <c r="H71" s="1333"/>
      <c r="I71" s="1333"/>
      <c r="M71" s="1331"/>
      <c r="N71" s="1328"/>
      <c r="O71" s="1328"/>
      <c r="P71" s="1337"/>
      <c r="Q71" s="1337"/>
      <c r="R71" s="1337"/>
      <c r="S71" s="1337"/>
      <c r="W71" s="1323"/>
    </row>
    <row r="72" spans="1:23" ht="16.5" customHeight="1" thickBot="1">
      <c r="A72" s="1117"/>
      <c r="B72" s="1118"/>
      <c r="C72" s="1147"/>
      <c r="D72" s="1326"/>
      <c r="E72" s="1338"/>
      <c r="F72" s="1338"/>
      <c r="G72" s="1153"/>
      <c r="I72" s="1339"/>
      <c r="J72" s="1327"/>
      <c r="L72" s="1340"/>
      <c r="M72" s="1339"/>
      <c r="N72" s="1341"/>
      <c r="O72" s="1330"/>
      <c r="P72" s="1330"/>
      <c r="Q72" s="1330"/>
      <c r="R72" s="1330"/>
      <c r="S72" s="1330"/>
      <c r="W72" s="1323"/>
    </row>
    <row r="73" spans="1:23" ht="21" customHeight="1" thickBot="1" thickTop="1">
      <c r="A73" s="1117"/>
      <c r="B73" s="1118"/>
      <c r="C73" s="1147"/>
      <c r="D73" s="1153"/>
      <c r="E73" s="1342"/>
      <c r="F73" s="1342"/>
      <c r="G73" s="1343"/>
      <c r="H73" s="1108"/>
      <c r="I73" s="1148" t="s">
        <v>142</v>
      </c>
      <c r="J73" s="1149">
        <f>+G69+O68+F71</f>
        <v>4427831.8</v>
      </c>
      <c r="L73" s="1344"/>
      <c r="M73" s="1108"/>
      <c r="N73" s="1123"/>
      <c r="O73" s="1337"/>
      <c r="P73" s="1337"/>
      <c r="Q73" s="1337"/>
      <c r="R73" s="1337"/>
      <c r="S73" s="1337"/>
      <c r="U73" s="1148" t="s">
        <v>405</v>
      </c>
      <c r="V73" s="1149">
        <v>1541376.28</v>
      </c>
      <c r="W73" s="1323"/>
    </row>
    <row r="74" spans="1:23" ht="16.5" customHeight="1" thickTop="1">
      <c r="A74" s="1117"/>
      <c r="B74" s="1118"/>
      <c r="C74" s="1147"/>
      <c r="D74" s="1318"/>
      <c r="E74" s="1345"/>
      <c r="F74" s="1153"/>
      <c r="G74" s="1153"/>
      <c r="H74" s="1154"/>
      <c r="J74" s="1153"/>
      <c r="L74" s="1346"/>
      <c r="M74" s="1341"/>
      <c r="N74" s="1341"/>
      <c r="O74" s="1330"/>
      <c r="P74" s="1330"/>
      <c r="Q74" s="1330"/>
      <c r="R74" s="1330"/>
      <c r="S74" s="1330"/>
      <c r="W74" s="1323"/>
    </row>
    <row r="75" spans="2:23" ht="16.5" customHeight="1">
      <c r="B75" s="1118"/>
      <c r="C75" s="1324" t="s">
        <v>122</v>
      </c>
      <c r="D75" s="1347" t="s">
        <v>123</v>
      </c>
      <c r="E75" s="1153"/>
      <c r="F75" s="1348"/>
      <c r="G75" s="1152"/>
      <c r="H75" s="1318"/>
      <c r="I75" s="1318"/>
      <c r="J75" s="1318"/>
      <c r="K75" s="1153"/>
      <c r="L75" s="1153"/>
      <c r="M75" s="1318"/>
      <c r="N75" s="1153"/>
      <c r="O75" s="1318"/>
      <c r="P75" s="1318"/>
      <c r="Q75" s="1318"/>
      <c r="R75" s="1318"/>
      <c r="S75" s="1318"/>
      <c r="T75" s="1318"/>
      <c r="U75" s="1318"/>
      <c r="W75" s="1323"/>
    </row>
    <row r="76" spans="2:23" s="1117" customFormat="1" ht="16.5" customHeight="1">
      <c r="B76" s="1118"/>
      <c r="C76" s="1147"/>
      <c r="D76" s="1326" t="s">
        <v>124</v>
      </c>
      <c r="E76" s="1349">
        <f>10*J59*J25/J73</f>
        <v>2792.130652557341</v>
      </c>
      <c r="G76" s="1152"/>
      <c r="L76" s="1153"/>
      <c r="N76" s="1153"/>
      <c r="O76" s="1154"/>
      <c r="V76" s="1081"/>
      <c r="W76" s="1323"/>
    </row>
    <row r="77" spans="2:23" s="1117" customFormat="1" ht="12.75" customHeight="1">
      <c r="B77" s="1118"/>
      <c r="C77" s="1147"/>
      <c r="E77" s="1350"/>
      <c r="F77" s="1145"/>
      <c r="G77" s="1152"/>
      <c r="J77" s="1152"/>
      <c r="K77" s="1351"/>
      <c r="L77" s="1153"/>
      <c r="M77" s="1153"/>
      <c r="N77" s="1153"/>
      <c r="O77" s="1154"/>
      <c r="P77" s="1153"/>
      <c r="Q77" s="1153"/>
      <c r="R77" s="1352"/>
      <c r="S77" s="1352"/>
      <c r="T77" s="1352"/>
      <c r="U77" s="1353"/>
      <c r="V77" s="1081"/>
      <c r="W77" s="1323"/>
    </row>
    <row r="78" spans="2:23" ht="16.5" customHeight="1">
      <c r="B78" s="1118"/>
      <c r="C78" s="1147"/>
      <c r="D78" s="1354" t="s">
        <v>143</v>
      </c>
      <c r="E78" s="1355"/>
      <c r="F78" s="1145"/>
      <c r="G78" s="1152"/>
      <c r="H78" s="1318"/>
      <c r="I78" s="1318"/>
      <c r="N78" s="1153"/>
      <c r="O78" s="1154"/>
      <c r="P78" s="1153"/>
      <c r="Q78" s="1153"/>
      <c r="R78" s="1339"/>
      <c r="S78" s="1339"/>
      <c r="T78" s="1339"/>
      <c r="U78" s="1341"/>
      <c r="W78" s="1323"/>
    </row>
    <row r="79" spans="2:23" ht="13.5" customHeight="1" thickBot="1">
      <c r="B79" s="1118"/>
      <c r="C79" s="1147"/>
      <c r="D79" s="1354"/>
      <c r="E79" s="1355"/>
      <c r="F79" s="1145"/>
      <c r="G79" s="1152"/>
      <c r="H79" s="1318"/>
      <c r="I79" s="1318"/>
      <c r="N79" s="1153"/>
      <c r="O79" s="1154"/>
      <c r="P79" s="1153"/>
      <c r="Q79" s="1153"/>
      <c r="R79" s="1339"/>
      <c r="S79" s="1339"/>
      <c r="T79" s="1339"/>
      <c r="U79" s="1341"/>
      <c r="W79" s="1323"/>
    </row>
    <row r="80" spans="2:23" s="1356" customFormat="1" ht="21" thickBot="1" thickTop="1">
      <c r="B80" s="1357"/>
      <c r="C80" s="1358"/>
      <c r="D80" s="1359"/>
      <c r="E80" s="1360"/>
      <c r="F80" s="1361"/>
      <c r="G80" s="1362"/>
      <c r="I80" s="1363" t="s">
        <v>126</v>
      </c>
      <c r="J80" s="1364">
        <f>IF(E76&gt;3*J25,J25*3,E76)</f>
        <v>2792.130652557341</v>
      </c>
      <c r="M80" s="1365" t="s">
        <v>417</v>
      </c>
      <c r="N80" s="1365"/>
      <c r="O80" s="1366"/>
      <c r="P80" s="1367"/>
      <c r="Q80" s="1367"/>
      <c r="R80" s="1368"/>
      <c r="S80" s="1368"/>
      <c r="T80" s="1368"/>
      <c r="U80" s="1369"/>
      <c r="V80" s="1081"/>
      <c r="W80" s="1370"/>
    </row>
    <row r="81" spans="2:23" ht="16.5" customHeight="1" thickBot="1" thickTop="1">
      <c r="B81" s="1371"/>
      <c r="C81" s="1372"/>
      <c r="D81" s="1372"/>
      <c r="E81" s="1372"/>
      <c r="F81" s="1372"/>
      <c r="G81" s="1372"/>
      <c r="H81" s="1372"/>
      <c r="I81" s="1372"/>
      <c r="J81" s="1372"/>
      <c r="K81" s="1372"/>
      <c r="L81" s="1372"/>
      <c r="M81" s="1372"/>
      <c r="N81" s="1372"/>
      <c r="O81" s="1372"/>
      <c r="P81" s="1372"/>
      <c r="Q81" s="1372"/>
      <c r="R81" s="1372"/>
      <c r="S81" s="1372"/>
      <c r="T81" s="1372"/>
      <c r="U81" s="1372"/>
      <c r="V81" s="1373"/>
      <c r="W81" s="1374"/>
    </row>
    <row r="82" spans="2:23" ht="16.5" customHeight="1" thickTop="1">
      <c r="B82" s="1114"/>
      <c r="C82" s="1375"/>
      <c r="W82" s="1114"/>
    </row>
  </sheetData>
  <sheetProtection/>
  <mergeCells count="46">
    <mergeCell ref="G69:I69"/>
    <mergeCell ref="C71:D71"/>
    <mergeCell ref="G66:I66"/>
    <mergeCell ref="O66:U66"/>
    <mergeCell ref="G68:I68"/>
    <mergeCell ref="O68:U68"/>
    <mergeCell ref="G67:I67"/>
    <mergeCell ref="O67:U67"/>
    <mergeCell ref="G65:I65"/>
    <mergeCell ref="O65:U65"/>
    <mergeCell ref="E56:F56"/>
    <mergeCell ref="N56:O56"/>
    <mergeCell ref="E57:F57"/>
    <mergeCell ref="N57:O57"/>
    <mergeCell ref="E53:F53"/>
    <mergeCell ref="N53:O53"/>
    <mergeCell ref="E54:F54"/>
    <mergeCell ref="N54:O54"/>
    <mergeCell ref="G64:I64"/>
    <mergeCell ref="O64:U64"/>
    <mergeCell ref="E48:F48"/>
    <mergeCell ref="N48:O48"/>
    <mergeCell ref="E55:F55"/>
    <mergeCell ref="N55:O55"/>
    <mergeCell ref="E50:F50"/>
    <mergeCell ref="N50:O50"/>
    <mergeCell ref="E51:F51"/>
    <mergeCell ref="N51:O51"/>
    <mergeCell ref="E52:F52"/>
    <mergeCell ref="N52:O52"/>
    <mergeCell ref="E49:F49"/>
    <mergeCell ref="N49:O49"/>
    <mergeCell ref="E44:F44"/>
    <mergeCell ref="N44:O44"/>
    <mergeCell ref="E45:F45"/>
    <mergeCell ref="N45:O45"/>
    <mergeCell ref="E46:F46"/>
    <mergeCell ref="N46:O46"/>
    <mergeCell ref="E47:F47"/>
    <mergeCell ref="N47:O47"/>
    <mergeCell ref="E43:F43"/>
    <mergeCell ref="N43:O43"/>
    <mergeCell ref="E41:F41"/>
    <mergeCell ref="N41:O41"/>
    <mergeCell ref="E42:F42"/>
    <mergeCell ref="N42:O42"/>
  </mergeCells>
  <printOptions horizontalCentered="1"/>
  <pageMargins left="1.59" right="0.2362204724409449" top="0.44" bottom="0.27" header="0.2755905511811024" footer="0.1968503937007874"/>
  <pageSetup fitToHeight="1" fitToWidth="1" horizontalDpi="600" verticalDpi="600" orientation="landscape" paperSize="9" scale="32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6"/>
  <dimension ref="A1:AG84"/>
  <sheetViews>
    <sheetView zoomScale="60" zoomScaleNormal="60" zoomScalePageLayoutView="0" workbookViewId="0" topLeftCell="A1">
      <selection activeCell="A6" sqref="A6"/>
    </sheetView>
  </sheetViews>
  <sheetFormatPr defaultColWidth="11.421875" defaultRowHeight="12.75"/>
  <cols>
    <col min="1" max="1" width="23.28125" style="1428" customWidth="1"/>
    <col min="2" max="2" width="14.8515625" style="1428" customWidth="1"/>
    <col min="3" max="3" width="4.7109375" style="1428" customWidth="1"/>
    <col min="4" max="4" width="29.140625" style="1428" customWidth="1"/>
    <col min="5" max="5" width="28.421875" style="1428" customWidth="1"/>
    <col min="6" max="6" width="15.00390625" style="1428" customWidth="1"/>
    <col min="7" max="7" width="14.00390625" style="1428" customWidth="1"/>
    <col min="8" max="8" width="7.140625" style="1428" hidden="1" customWidth="1"/>
    <col min="9" max="9" width="9.8515625" style="1428" hidden="1" customWidth="1"/>
    <col min="10" max="11" width="18.7109375" style="1428" customWidth="1"/>
    <col min="12" max="13" width="10.7109375" style="1428" customWidth="1"/>
    <col min="14" max="14" width="9.7109375" style="1428" customWidth="1"/>
    <col min="15" max="15" width="10.57421875" style="1428" customWidth="1"/>
    <col min="16" max="16" width="8.421875" style="1428" customWidth="1"/>
    <col min="17" max="17" width="6.57421875" style="1428" customWidth="1"/>
    <col min="18" max="18" width="12.28125" style="1428" hidden="1" customWidth="1"/>
    <col min="19" max="19" width="13.140625" style="1428" hidden="1" customWidth="1"/>
    <col min="20" max="20" width="10.421875" style="1428" hidden="1" customWidth="1"/>
    <col min="21" max="21" width="11.140625" style="1428" hidden="1" customWidth="1"/>
    <col min="22" max="22" width="12.28125" style="1428" hidden="1" customWidth="1"/>
    <col min="23" max="23" width="4.00390625" style="1428" hidden="1" customWidth="1"/>
    <col min="24" max="25" width="12.28125" style="1428" hidden="1" customWidth="1"/>
    <col min="26" max="27" width="4.00390625" style="1428" hidden="1" customWidth="1"/>
    <col min="28" max="28" width="10.421875" style="1428" customWidth="1"/>
    <col min="29" max="29" width="23.57421875" style="1428" customWidth="1"/>
    <col min="30" max="30" width="14.8515625" style="1428" customWidth="1"/>
    <col min="31" max="31" width="4.140625" style="1428" customWidth="1"/>
    <col min="32" max="32" width="7.140625" style="1428" customWidth="1"/>
    <col min="33" max="33" width="5.28125" style="1428" customWidth="1"/>
    <col min="34" max="34" width="5.421875" style="1428" customWidth="1"/>
    <col min="35" max="35" width="4.7109375" style="1428" customWidth="1"/>
    <col min="36" max="36" width="5.28125" style="1428" customWidth="1"/>
    <col min="37" max="38" width="13.28125" style="1428" customWidth="1"/>
    <col min="39" max="39" width="6.57421875" style="1428" customWidth="1"/>
    <col min="40" max="40" width="6.421875" style="1428" customWidth="1"/>
    <col min="41" max="44" width="11.421875" style="1428" customWidth="1"/>
    <col min="45" max="45" width="12.7109375" style="1428" customWidth="1"/>
    <col min="46" max="48" width="11.421875" style="1428" customWidth="1"/>
    <col min="49" max="49" width="21.00390625" style="1428" customWidth="1"/>
    <col min="50" max="16384" width="11.421875" style="1428" customWidth="1"/>
  </cols>
  <sheetData>
    <row r="1" spans="1:30" ht="13.5">
      <c r="A1" s="1381"/>
      <c r="B1" s="1382"/>
      <c r="C1" s="1382"/>
      <c r="D1" s="1382"/>
      <c r="E1" s="1382"/>
      <c r="F1" s="1382"/>
      <c r="G1" s="1382"/>
      <c r="H1" s="1382"/>
      <c r="I1" s="1382"/>
      <c r="J1" s="1382"/>
      <c r="K1" s="1382"/>
      <c r="L1" s="1382"/>
      <c r="M1" s="1382"/>
      <c r="N1" s="1382"/>
      <c r="O1" s="1382"/>
      <c r="P1" s="1382"/>
      <c r="Q1" s="1382"/>
      <c r="R1" s="1382"/>
      <c r="S1" s="1382"/>
      <c r="T1" s="1382"/>
      <c r="U1" s="1382"/>
      <c r="V1" s="1382"/>
      <c r="AD1" s="1544"/>
    </row>
    <row r="2" spans="1:23" ht="27" customHeight="1">
      <c r="A2" s="1381"/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</row>
    <row r="3" spans="1:30" s="1801" customFormat="1" ht="37.5" customHeight="1">
      <c r="A3" s="1798"/>
      <c r="B3" s="1799" t="str">
        <f>'TOT-0614'!B2</f>
        <v>ANEXO I al Memorándum D.T.E.E. N°         347   / 2015</v>
      </c>
      <c r="C3" s="1800"/>
      <c r="D3" s="1800"/>
      <c r="E3" s="1800"/>
      <c r="F3" s="1800"/>
      <c r="G3" s="1800"/>
      <c r="H3" s="1800"/>
      <c r="I3" s="1800"/>
      <c r="J3" s="1800"/>
      <c r="K3" s="1800"/>
      <c r="L3" s="1800"/>
      <c r="M3" s="1800"/>
      <c r="N3" s="1800"/>
      <c r="O3" s="1800"/>
      <c r="P3" s="1800"/>
      <c r="Q3" s="1800"/>
      <c r="R3" s="1800"/>
      <c r="S3" s="1800"/>
      <c r="T3" s="1800"/>
      <c r="U3" s="1800"/>
      <c r="V3" s="1800"/>
      <c r="W3" s="1800"/>
      <c r="AB3" s="1800"/>
      <c r="AC3" s="1800"/>
      <c r="AD3" s="1800"/>
    </row>
    <row r="4" spans="1:2" s="1386" customFormat="1" ht="14.25" customHeight="1">
      <c r="A4" s="1802" t="s">
        <v>2</v>
      </c>
      <c r="B4" s="1803"/>
    </row>
    <row r="5" spans="1:2" s="1386" customFormat="1" ht="13.5" customHeight="1" thickBot="1">
      <c r="A5" s="1802" t="s">
        <v>3</v>
      </c>
      <c r="B5" s="1802"/>
    </row>
    <row r="6" spans="1:30" ht="16.5" customHeight="1" thickTop="1">
      <c r="A6" s="1382"/>
      <c r="B6" s="1547"/>
      <c r="C6" s="1548"/>
      <c r="D6" s="1548"/>
      <c r="E6" s="1804"/>
      <c r="F6" s="1548"/>
      <c r="G6" s="1548"/>
      <c r="H6" s="1548"/>
      <c r="I6" s="1548"/>
      <c r="J6" s="1548"/>
      <c r="K6" s="1548"/>
      <c r="L6" s="1548"/>
      <c r="M6" s="1548"/>
      <c r="N6" s="1548"/>
      <c r="O6" s="1548"/>
      <c r="P6" s="1548"/>
      <c r="Q6" s="1548"/>
      <c r="R6" s="1548"/>
      <c r="S6" s="1548"/>
      <c r="T6" s="1548"/>
      <c r="U6" s="1548"/>
      <c r="V6" s="1548"/>
      <c r="W6" s="1805"/>
      <c r="X6" s="1805"/>
      <c r="Y6" s="1805"/>
      <c r="Z6" s="1805"/>
      <c r="AA6" s="1805"/>
      <c r="AB6" s="1805"/>
      <c r="AC6" s="1805"/>
      <c r="AD6" s="1389"/>
    </row>
    <row r="7" spans="1:30" ht="20.25">
      <c r="A7" s="1382"/>
      <c r="B7" s="1554"/>
      <c r="C7" s="1555"/>
      <c r="D7" s="1806" t="s">
        <v>85</v>
      </c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807"/>
      <c r="Q7" s="1807"/>
      <c r="R7" s="1555"/>
      <c r="S7" s="1555"/>
      <c r="T7" s="1555"/>
      <c r="U7" s="1555"/>
      <c r="V7" s="1555"/>
      <c r="AD7" s="1400"/>
    </row>
    <row r="8" spans="1:30" ht="16.5" customHeight="1">
      <c r="A8" s="1382"/>
      <c r="B8" s="1554"/>
      <c r="C8" s="1555"/>
      <c r="D8" s="1555"/>
      <c r="E8" s="1555"/>
      <c r="F8" s="1555"/>
      <c r="G8" s="1555"/>
      <c r="H8" s="1555"/>
      <c r="I8" s="1555"/>
      <c r="J8" s="1555"/>
      <c r="K8" s="1555"/>
      <c r="L8" s="1555"/>
      <c r="M8" s="1555"/>
      <c r="N8" s="1555"/>
      <c r="O8" s="1555"/>
      <c r="P8" s="1555"/>
      <c r="Q8" s="1555"/>
      <c r="R8" s="1555"/>
      <c r="S8" s="1555"/>
      <c r="T8" s="1555"/>
      <c r="U8" s="1555"/>
      <c r="V8" s="1555"/>
      <c r="AD8" s="1400"/>
    </row>
    <row r="9" spans="2:30" s="1420" customFormat="1" ht="20.25">
      <c r="B9" s="1808"/>
      <c r="C9" s="1809"/>
      <c r="D9" s="1806" t="s">
        <v>86</v>
      </c>
      <c r="E9" s="1809"/>
      <c r="F9" s="1809"/>
      <c r="G9" s="1809"/>
      <c r="H9" s="1809"/>
      <c r="N9" s="1809"/>
      <c r="O9" s="1809"/>
      <c r="P9" s="1810"/>
      <c r="Q9" s="1810"/>
      <c r="R9" s="1809"/>
      <c r="S9" s="1809"/>
      <c r="T9" s="1809"/>
      <c r="U9" s="1809"/>
      <c r="V9" s="1809"/>
      <c r="W9" s="1428"/>
      <c r="X9" s="1809"/>
      <c r="Y9" s="1809"/>
      <c r="Z9" s="1809"/>
      <c r="AA9" s="1809"/>
      <c r="AB9" s="1809"/>
      <c r="AC9" s="1428"/>
      <c r="AD9" s="1811"/>
    </row>
    <row r="10" spans="1:30" ht="16.5" customHeight="1">
      <c r="A10" s="1382"/>
      <c r="B10" s="1554"/>
      <c r="C10" s="1555"/>
      <c r="D10" s="1555"/>
      <c r="E10" s="1555"/>
      <c r="F10" s="1555"/>
      <c r="G10" s="1555"/>
      <c r="H10" s="1555"/>
      <c r="I10" s="1555"/>
      <c r="J10" s="1555"/>
      <c r="K10" s="1555"/>
      <c r="L10" s="1555"/>
      <c r="M10" s="1555"/>
      <c r="N10" s="1555"/>
      <c r="O10" s="1555"/>
      <c r="P10" s="1555"/>
      <c r="Q10" s="1555"/>
      <c r="R10" s="1555"/>
      <c r="S10" s="1555"/>
      <c r="T10" s="1555"/>
      <c r="U10" s="1555"/>
      <c r="V10" s="1555"/>
      <c r="AD10" s="1400"/>
    </row>
    <row r="11" spans="2:30" s="1420" customFormat="1" ht="20.25">
      <c r="B11" s="1808"/>
      <c r="C11" s="1809"/>
      <c r="D11" s="1806" t="s">
        <v>480</v>
      </c>
      <c r="E11" s="1809"/>
      <c r="F11" s="1809"/>
      <c r="G11" s="1809"/>
      <c r="H11" s="1809"/>
      <c r="N11" s="1809"/>
      <c r="O11" s="1809"/>
      <c r="P11" s="1810"/>
      <c r="Q11" s="1810"/>
      <c r="R11" s="1809"/>
      <c r="S11" s="1809"/>
      <c r="T11" s="1809"/>
      <c r="U11" s="1809"/>
      <c r="V11" s="1809"/>
      <c r="W11" s="1428"/>
      <c r="X11" s="1809"/>
      <c r="Y11" s="1809"/>
      <c r="Z11" s="1809"/>
      <c r="AA11" s="1809"/>
      <c r="AB11" s="1809"/>
      <c r="AC11" s="1428"/>
      <c r="AD11" s="1811"/>
    </row>
    <row r="12" spans="1:30" ht="16.5" customHeight="1">
      <c r="A12" s="1382"/>
      <c r="B12" s="1554"/>
      <c r="C12" s="1555"/>
      <c r="D12" s="1555"/>
      <c r="E12" s="1382"/>
      <c r="F12" s="1382"/>
      <c r="G12" s="1382"/>
      <c r="H12" s="1382"/>
      <c r="I12" s="1812"/>
      <c r="J12" s="1812"/>
      <c r="K12" s="1812"/>
      <c r="L12" s="1812"/>
      <c r="M12" s="1812"/>
      <c r="N12" s="1812"/>
      <c r="O12" s="1812"/>
      <c r="P12" s="1812"/>
      <c r="Q12" s="1812"/>
      <c r="R12" s="1555"/>
      <c r="S12" s="1555"/>
      <c r="T12" s="1555"/>
      <c r="U12" s="1555"/>
      <c r="V12" s="1555"/>
      <c r="AD12" s="1400"/>
    </row>
    <row r="13" spans="2:30" s="1420" customFormat="1" ht="19.5">
      <c r="B13" s="634" t="str">
        <f>'TOT-0614'!B14</f>
        <v>Desde el 01 al 30 de junio de 2014</v>
      </c>
      <c r="C13" s="1813"/>
      <c r="D13" s="1416"/>
      <c r="E13" s="1416"/>
      <c r="F13" s="1416"/>
      <c r="G13" s="1416"/>
      <c r="H13" s="1416"/>
      <c r="I13" s="1814"/>
      <c r="J13" s="1815"/>
      <c r="K13" s="1814"/>
      <c r="L13" s="1814"/>
      <c r="M13" s="1814"/>
      <c r="N13" s="1814"/>
      <c r="O13" s="1814"/>
      <c r="P13" s="1814"/>
      <c r="Q13" s="1814"/>
      <c r="R13" s="1814"/>
      <c r="S13" s="1814"/>
      <c r="T13" s="1814"/>
      <c r="U13" s="1816"/>
      <c r="V13" s="1816"/>
      <c r="W13" s="1428"/>
      <c r="X13" s="1817"/>
      <c r="Y13" s="1817"/>
      <c r="Z13" s="1817"/>
      <c r="AA13" s="1817"/>
      <c r="AB13" s="1816"/>
      <c r="AC13" s="1815"/>
      <c r="AD13" s="1818"/>
    </row>
    <row r="14" spans="1:30" ht="16.5" customHeight="1">
      <c r="A14" s="1382"/>
      <c r="B14" s="1554"/>
      <c r="C14" s="1555"/>
      <c r="D14" s="1555"/>
      <c r="E14" s="1819"/>
      <c r="F14" s="1819"/>
      <c r="G14" s="1555"/>
      <c r="H14" s="1555"/>
      <c r="I14" s="1555"/>
      <c r="J14" s="1820"/>
      <c r="K14" s="1555"/>
      <c r="L14" s="1555"/>
      <c r="M14" s="1555"/>
      <c r="N14" s="1382"/>
      <c r="O14" s="1382"/>
      <c r="P14" s="1555"/>
      <c r="Q14" s="1555"/>
      <c r="R14" s="1555"/>
      <c r="S14" s="1555"/>
      <c r="T14" s="1555"/>
      <c r="U14" s="1555"/>
      <c r="V14" s="1555"/>
      <c r="AD14" s="1400"/>
    </row>
    <row r="15" spans="1:30" ht="16.5" customHeight="1">
      <c r="A15" s="1382"/>
      <c r="B15" s="1554"/>
      <c r="C15" s="1555"/>
      <c r="D15" s="1555"/>
      <c r="E15" s="1819"/>
      <c r="F15" s="1819"/>
      <c r="G15" s="1555"/>
      <c r="H15" s="1555"/>
      <c r="I15" s="1821"/>
      <c r="J15" s="1555"/>
      <c r="K15" s="1822"/>
      <c r="M15" s="1555"/>
      <c r="N15" s="1382"/>
      <c r="O15" s="1382"/>
      <c r="P15" s="1555"/>
      <c r="Q15" s="1555"/>
      <c r="R15" s="1555"/>
      <c r="S15" s="1555"/>
      <c r="T15" s="1555"/>
      <c r="U15" s="1555"/>
      <c r="V15" s="1555"/>
      <c r="AD15" s="1400"/>
    </row>
    <row r="16" spans="1:30" ht="16.5" customHeight="1">
      <c r="A16" s="1382"/>
      <c r="B16" s="1554"/>
      <c r="C16" s="1555"/>
      <c r="D16" s="1555"/>
      <c r="E16" s="1819"/>
      <c r="F16" s="1819"/>
      <c r="G16" s="1555"/>
      <c r="H16" s="1555"/>
      <c r="I16" s="1821"/>
      <c r="J16" s="1555"/>
      <c r="K16" s="1822"/>
      <c r="M16" s="1555"/>
      <c r="N16" s="1382"/>
      <c r="O16" s="1382"/>
      <c r="P16" s="1555"/>
      <c r="Q16" s="1555"/>
      <c r="R16" s="1555"/>
      <c r="S16" s="1555"/>
      <c r="T16" s="1555"/>
      <c r="U16" s="1555"/>
      <c r="V16" s="1555"/>
      <c r="AD16" s="1400"/>
    </row>
    <row r="17" spans="1:30" ht="16.5" customHeight="1">
      <c r="A17" s="1382"/>
      <c r="B17" s="1554"/>
      <c r="C17" s="1823" t="s">
        <v>88</v>
      </c>
      <c r="D17" s="1824" t="s">
        <v>89</v>
      </c>
      <c r="E17" s="1819"/>
      <c r="F17" s="1819"/>
      <c r="G17" s="1555"/>
      <c r="H17" s="1555"/>
      <c r="I17" s="1555"/>
      <c r="J17" s="1820"/>
      <c r="K17" s="1555"/>
      <c r="L17" s="1555"/>
      <c r="M17" s="1555"/>
      <c r="N17" s="1382"/>
      <c r="O17" s="1382"/>
      <c r="P17" s="1555"/>
      <c r="Q17" s="1555"/>
      <c r="R17" s="1555"/>
      <c r="S17" s="1555"/>
      <c r="T17" s="1555"/>
      <c r="U17" s="1555"/>
      <c r="V17" s="1555"/>
      <c r="AD17" s="1400"/>
    </row>
    <row r="18" spans="2:30" s="1825" customFormat="1" ht="16.5" customHeight="1">
      <c r="B18" s="1826"/>
      <c r="C18" s="1827"/>
      <c r="D18" s="1828"/>
      <c r="E18" s="1829"/>
      <c r="F18" s="1830"/>
      <c r="G18" s="1827"/>
      <c r="H18" s="1827"/>
      <c r="I18" s="1827"/>
      <c r="J18" s="1831"/>
      <c r="K18" s="1827"/>
      <c r="L18" s="1827"/>
      <c r="M18" s="1827"/>
      <c r="P18" s="1827"/>
      <c r="Q18" s="1827"/>
      <c r="R18" s="1827"/>
      <c r="S18" s="1827"/>
      <c r="T18" s="1827"/>
      <c r="U18" s="1827"/>
      <c r="V18" s="1827"/>
      <c r="W18" s="1428"/>
      <c r="AD18" s="1832"/>
    </row>
    <row r="19" spans="2:30" s="1825" customFormat="1" ht="16.5" customHeight="1">
      <c r="B19" s="1826"/>
      <c r="C19" s="1827"/>
      <c r="D19" s="1833" t="s">
        <v>90</v>
      </c>
      <c r="F19" s="1834">
        <v>391.631</v>
      </c>
      <c r="G19" s="1833" t="s">
        <v>91</v>
      </c>
      <c r="H19" s="1827"/>
      <c r="I19" s="1827"/>
      <c r="J19" s="1835"/>
      <c r="K19" s="1836" t="s">
        <v>92</v>
      </c>
      <c r="L19" s="1837">
        <v>0.04</v>
      </c>
      <c r="R19" s="1827"/>
      <c r="S19" s="1827"/>
      <c r="T19" s="1827"/>
      <c r="U19" s="1827"/>
      <c r="V19" s="1827"/>
      <c r="W19" s="1428"/>
      <c r="AD19" s="1832"/>
    </row>
    <row r="20" spans="2:30" s="1825" customFormat="1" ht="16.5" customHeight="1">
      <c r="B20" s="1826"/>
      <c r="C20" s="1827"/>
      <c r="D20" s="1833" t="s">
        <v>447</v>
      </c>
      <c r="F20" s="1834" t="s">
        <v>408</v>
      </c>
      <c r="G20" s="1833" t="s">
        <v>91</v>
      </c>
      <c r="H20" s="1827"/>
      <c r="I20" s="1827"/>
      <c r="J20" s="1827"/>
      <c r="K20" s="1828" t="s">
        <v>95</v>
      </c>
      <c r="L20" s="1827">
        <f>MID(B13,16,2)*24</f>
        <v>720</v>
      </c>
      <c r="M20" s="1827" t="s">
        <v>96</v>
      </c>
      <c r="R20" s="1827"/>
      <c r="S20" s="1827"/>
      <c r="T20" s="1827"/>
      <c r="U20" s="1827"/>
      <c r="V20" s="1827"/>
      <c r="W20" s="1428"/>
      <c r="AD20" s="1832"/>
    </row>
    <row r="21" spans="2:30" s="1825" customFormat="1" ht="16.5" customHeight="1">
      <c r="B21" s="1826"/>
      <c r="C21" s="1827"/>
      <c r="D21" s="1833" t="s">
        <v>93</v>
      </c>
      <c r="F21" s="1834">
        <v>1.077</v>
      </c>
      <c r="G21" s="1833" t="s">
        <v>94</v>
      </c>
      <c r="H21" s="1827"/>
      <c r="I21" s="1827"/>
      <c r="N21" s="1827"/>
      <c r="O21" s="1827"/>
      <c r="P21" s="1838"/>
      <c r="Q21" s="1827"/>
      <c r="R21" s="1827"/>
      <c r="S21" s="1827"/>
      <c r="T21" s="1827"/>
      <c r="U21" s="1827"/>
      <c r="V21" s="1827"/>
      <c r="W21" s="1428"/>
      <c r="AD21" s="1832"/>
    </row>
    <row r="22" spans="2:30" s="1825" customFormat="1" ht="16.5" customHeight="1">
      <c r="B22" s="1826"/>
      <c r="C22" s="1827"/>
      <c r="D22" s="1833" t="s">
        <v>425</v>
      </c>
      <c r="F22" s="1834">
        <v>170.878</v>
      </c>
      <c r="G22" s="1833" t="s">
        <v>397</v>
      </c>
      <c r="H22" s="1827"/>
      <c r="I22" s="1827"/>
      <c r="J22" s="1827"/>
      <c r="K22" s="1578"/>
      <c r="L22" s="1579"/>
      <c r="M22" s="1827"/>
      <c r="N22" s="1827"/>
      <c r="O22" s="1827"/>
      <c r="P22" s="1838"/>
      <c r="Q22" s="1827"/>
      <c r="R22" s="1827"/>
      <c r="S22" s="1827"/>
      <c r="T22" s="1827"/>
      <c r="U22" s="1827"/>
      <c r="V22" s="1827"/>
      <c r="W22" s="1428"/>
      <c r="AD22" s="1832"/>
    </row>
    <row r="23" spans="2:30" s="1825" customFormat="1" ht="9" customHeight="1">
      <c r="B23" s="1826"/>
      <c r="C23" s="1827"/>
      <c r="H23" s="1827"/>
      <c r="I23" s="1827"/>
      <c r="J23" s="1827"/>
      <c r="K23" s="1578"/>
      <c r="L23" s="1579"/>
      <c r="M23" s="1827"/>
      <c r="N23" s="1827"/>
      <c r="O23" s="1827"/>
      <c r="P23" s="1838"/>
      <c r="Q23" s="1827"/>
      <c r="R23" s="1827"/>
      <c r="S23" s="1827"/>
      <c r="T23" s="1827"/>
      <c r="U23" s="1827"/>
      <c r="V23" s="1827"/>
      <c r="W23" s="1428"/>
      <c r="AD23" s="1832"/>
    </row>
    <row r="24" spans="2:30" s="1825" customFormat="1" ht="8.25" customHeight="1">
      <c r="B24" s="1826"/>
      <c r="C24" s="1827"/>
      <c r="D24" s="1827"/>
      <c r="E24" s="1839"/>
      <c r="F24" s="1827"/>
      <c r="G24" s="1827"/>
      <c r="H24" s="1827"/>
      <c r="I24" s="1827"/>
      <c r="J24" s="1827"/>
      <c r="K24" s="1827"/>
      <c r="L24" s="1827"/>
      <c r="M24" s="1827"/>
      <c r="N24" s="1827"/>
      <c r="O24" s="1827"/>
      <c r="P24" s="1827"/>
      <c r="Q24" s="1827"/>
      <c r="R24" s="1827"/>
      <c r="S24" s="1827"/>
      <c r="T24" s="1827"/>
      <c r="U24" s="1827"/>
      <c r="V24" s="1827"/>
      <c r="W24" s="1428"/>
      <c r="AD24" s="1832"/>
    </row>
    <row r="25" spans="1:30" ht="16.5" customHeight="1">
      <c r="A25" s="1382"/>
      <c r="B25" s="1554"/>
      <c r="C25" s="1823" t="s">
        <v>97</v>
      </c>
      <c r="D25" s="1840" t="s">
        <v>398</v>
      </c>
      <c r="I25" s="1555"/>
      <c r="J25" s="1825"/>
      <c r="O25" s="1555"/>
      <c r="P25" s="1555"/>
      <c r="Q25" s="1555"/>
      <c r="R25" s="1555"/>
      <c r="S25" s="1555"/>
      <c r="T25" s="1555"/>
      <c r="V25" s="1555"/>
      <c r="X25" s="1555"/>
      <c r="Y25" s="1555"/>
      <c r="Z25" s="1555"/>
      <c r="AA25" s="1555"/>
      <c r="AB25" s="1555"/>
      <c r="AC25" s="1555"/>
      <c r="AD25" s="1400"/>
    </row>
    <row r="26" spans="1:30" ht="10.5" customHeight="1" thickBot="1">
      <c r="A26" s="1382"/>
      <c r="B26" s="1554"/>
      <c r="C26" s="1819"/>
      <c r="D26" s="1840"/>
      <c r="I26" s="1555"/>
      <c r="J26" s="1825"/>
      <c r="O26" s="1555"/>
      <c r="P26" s="1555"/>
      <c r="Q26" s="1555"/>
      <c r="R26" s="1555"/>
      <c r="S26" s="1555"/>
      <c r="T26" s="1555"/>
      <c r="V26" s="1555"/>
      <c r="X26" s="1555"/>
      <c r="Y26" s="1555"/>
      <c r="Z26" s="1555"/>
      <c r="AA26" s="1555"/>
      <c r="AB26" s="1555"/>
      <c r="AC26" s="1555"/>
      <c r="AD26" s="1400"/>
    </row>
    <row r="27" spans="2:30" s="1825" customFormat="1" ht="16.5" customHeight="1" thickBot="1" thickTop="1">
      <c r="B27" s="1826"/>
      <c r="C27" s="1830"/>
      <c r="D27" s="1428"/>
      <c r="E27" s="1428"/>
      <c r="F27" s="1428"/>
      <c r="G27" s="1428"/>
      <c r="H27" s="1428"/>
      <c r="I27" s="1428"/>
      <c r="J27" s="1841" t="s">
        <v>98</v>
      </c>
      <c r="K27" s="1842">
        <f>L19*AC79</f>
        <v>71431.74356800002</v>
      </c>
      <c r="L27" s="1428"/>
      <c r="S27" s="1428"/>
      <c r="T27" s="1428"/>
      <c r="U27" s="1428"/>
      <c r="W27" s="1428"/>
      <c r="AD27" s="1832"/>
    </row>
    <row r="28" spans="2:30" s="1825" customFormat="1" ht="11.25" customHeight="1" thickTop="1">
      <c r="B28" s="1826"/>
      <c r="C28" s="1830"/>
      <c r="D28" s="1827"/>
      <c r="E28" s="1839"/>
      <c r="F28" s="1827"/>
      <c r="G28" s="1827"/>
      <c r="H28" s="1827"/>
      <c r="I28" s="1827"/>
      <c r="J28" s="1827"/>
      <c r="K28" s="1827"/>
      <c r="L28" s="1827"/>
      <c r="M28" s="1827"/>
      <c r="N28" s="1827"/>
      <c r="O28" s="1827"/>
      <c r="P28" s="1827"/>
      <c r="Q28" s="1827"/>
      <c r="R28" s="1827"/>
      <c r="S28" s="1827"/>
      <c r="T28" s="1827"/>
      <c r="U28" s="1428"/>
      <c r="W28" s="1428"/>
      <c r="AD28" s="1832"/>
    </row>
    <row r="29" spans="1:30" ht="16.5" customHeight="1">
      <c r="A29" s="1382"/>
      <c r="B29" s="1554"/>
      <c r="C29" s="1823" t="s">
        <v>99</v>
      </c>
      <c r="D29" s="1840" t="s">
        <v>318</v>
      </c>
      <c r="E29" s="1843"/>
      <c r="F29" s="1555"/>
      <c r="G29" s="1555"/>
      <c r="H29" s="1555"/>
      <c r="I29" s="1555"/>
      <c r="J29" s="1555"/>
      <c r="K29" s="1555"/>
      <c r="L29" s="1555"/>
      <c r="M29" s="1555"/>
      <c r="N29" s="1555"/>
      <c r="O29" s="1555"/>
      <c r="P29" s="1555"/>
      <c r="Q29" s="1555"/>
      <c r="R29" s="1555"/>
      <c r="S29" s="1555"/>
      <c r="T29" s="1555"/>
      <c r="U29" s="1555"/>
      <c r="V29" s="1555"/>
      <c r="AD29" s="1400"/>
    </row>
    <row r="30" spans="1:30" ht="21.75" customHeight="1" thickBot="1">
      <c r="A30" s="1382"/>
      <c r="B30" s="1554"/>
      <c r="C30" s="1555"/>
      <c r="D30" s="1555"/>
      <c r="E30" s="1843"/>
      <c r="F30" s="1555"/>
      <c r="G30" s="1555"/>
      <c r="H30" s="1555"/>
      <c r="I30" s="1555"/>
      <c r="J30" s="1555"/>
      <c r="K30" s="1555"/>
      <c r="L30" s="1555"/>
      <c r="M30" s="1555"/>
      <c r="N30" s="1555"/>
      <c r="O30" s="1555"/>
      <c r="P30" s="1555"/>
      <c r="Q30" s="1555"/>
      <c r="R30" s="1555"/>
      <c r="S30" s="1555"/>
      <c r="T30" s="1555"/>
      <c r="U30" s="1555"/>
      <c r="V30" s="1555"/>
      <c r="AD30" s="1400"/>
    </row>
    <row r="31" spans="2:31" s="1382" customFormat="1" ht="33.75" customHeight="1" thickBot="1" thickTop="1">
      <c r="B31" s="1554"/>
      <c r="C31" s="1432" t="s">
        <v>29</v>
      </c>
      <c r="D31" s="1644" t="s">
        <v>5</v>
      </c>
      <c r="E31" s="1844" t="s">
        <v>32</v>
      </c>
      <c r="F31" s="1845" t="s">
        <v>33</v>
      </c>
      <c r="G31" s="1846" t="s">
        <v>34</v>
      </c>
      <c r="H31" s="1847" t="s">
        <v>35</v>
      </c>
      <c r="I31" s="1587" t="s">
        <v>36</v>
      </c>
      <c r="J31" s="1584" t="s">
        <v>37</v>
      </c>
      <c r="K31" s="1586" t="s">
        <v>38</v>
      </c>
      <c r="L31" s="1438" t="s">
        <v>39</v>
      </c>
      <c r="M31" s="1581" t="s">
        <v>40</v>
      </c>
      <c r="N31" s="1438" t="s">
        <v>100</v>
      </c>
      <c r="O31" s="1438" t="s">
        <v>41</v>
      </c>
      <c r="P31" s="1586" t="s">
        <v>42</v>
      </c>
      <c r="Q31" s="1584" t="s">
        <v>43</v>
      </c>
      <c r="R31" s="1848" t="s">
        <v>44</v>
      </c>
      <c r="S31" s="1849" t="s">
        <v>45</v>
      </c>
      <c r="T31" s="1850" t="s">
        <v>53</v>
      </c>
      <c r="U31" s="1851"/>
      <c r="V31" s="1852"/>
      <c r="W31" s="1853" t="s">
        <v>101</v>
      </c>
      <c r="X31" s="1854"/>
      <c r="Y31" s="1855"/>
      <c r="Z31" s="1856" t="s">
        <v>48</v>
      </c>
      <c r="AA31" s="1857" t="s">
        <v>102</v>
      </c>
      <c r="AB31" s="1858" t="s">
        <v>50</v>
      </c>
      <c r="AC31" s="1436" t="s">
        <v>51</v>
      </c>
      <c r="AD31" s="1859"/>
      <c r="AE31" s="1428"/>
    </row>
    <row r="32" spans="1:30" ht="16.5" customHeight="1" thickTop="1">
      <c r="A32" s="1382"/>
      <c r="B32" s="1554"/>
      <c r="C32" s="1860"/>
      <c r="D32" s="1861"/>
      <c r="E32" s="1862"/>
      <c r="F32" s="1863"/>
      <c r="G32" s="1864"/>
      <c r="H32" s="1865"/>
      <c r="I32" s="1866"/>
      <c r="J32" s="1867"/>
      <c r="K32" s="1868"/>
      <c r="L32" s="1860"/>
      <c r="M32" s="1860"/>
      <c r="N32" s="1869"/>
      <c r="O32" s="1869"/>
      <c r="P32" s="1860"/>
      <c r="Q32" s="1870"/>
      <c r="R32" s="1871"/>
      <c r="S32" s="1872"/>
      <c r="T32" s="1873"/>
      <c r="U32" s="1874"/>
      <c r="V32" s="1875"/>
      <c r="W32" s="1876"/>
      <c r="X32" s="1877"/>
      <c r="Y32" s="1878"/>
      <c r="Z32" s="1879"/>
      <c r="AA32" s="1880"/>
      <c r="AB32" s="1881"/>
      <c r="AC32" s="1882"/>
      <c r="AD32" s="1400"/>
    </row>
    <row r="33" spans="1:30" ht="16.5" customHeight="1">
      <c r="A33" s="1382"/>
      <c r="B33" s="1554"/>
      <c r="C33" s="873" t="s">
        <v>103</v>
      </c>
      <c r="D33" s="1883"/>
      <c r="E33" s="1884"/>
      <c r="F33" s="1885"/>
      <c r="G33" s="1886"/>
      <c r="H33" s="1887">
        <v>20</v>
      </c>
      <c r="I33" s="1888" t="e">
        <f>IF(E33=500,IF(F33&lt;100,100*$F$19/100,F33*$F$19/100),IF(F33&lt;100,100*$F$20/100,F33*$F$20/100))</f>
        <v>#VALUE!</v>
      </c>
      <c r="J33" s="1889"/>
      <c r="K33" s="1890"/>
      <c r="L33" s="1891">
        <f>IF(D33="","",(K33-J33)*24)</f>
      </c>
      <c r="M33" s="1614">
        <f>IF(D33="","",(K33-J33)*24*60)</f>
      </c>
      <c r="N33" s="1892"/>
      <c r="O33" s="1490">
        <f>IF(D33="","","--")</f>
      </c>
      <c r="P33" s="1492">
        <f>IF(D33="","","NO")</f>
      </c>
      <c r="Q33" s="1492">
        <f>IF(D33="","",IF(OR(N33="P",N33="RP"),"--","NO"))</f>
      </c>
      <c r="R33" s="1893" t="str">
        <f>IF(N33="P",I33*H33*ROUND(M33/60,2)*0.01,"--")</f>
        <v>--</v>
      </c>
      <c r="S33" s="1894" t="str">
        <f>IF(N33="RP",I33*H33*ROUND(M33/60,2)*0.01*O33/100,"--")</f>
        <v>--</v>
      </c>
      <c r="T33" s="1895" t="str">
        <f>IF(AND(N33="F",Q33="NO"),I33*H33*IF(P33="SI",1.2,1),"--")</f>
        <v>--</v>
      </c>
      <c r="U33" s="1896" t="str">
        <f>IF(AND(N33="F",M33&gt;=10),I33*H33*IF(P33="SI",1.2,1)*IF(M33&lt;=300,ROUND(M33/60,2),5),"--")</f>
        <v>--</v>
      </c>
      <c r="V33" s="1897" t="str">
        <f>IF(AND(N33="F",M33&gt;300),(ROUND(M33/60,2)-5)*I33*H33*0.1*IF(P33="SI",1.2,1),"--")</f>
        <v>--</v>
      </c>
      <c r="W33" s="1898" t="str">
        <f>IF(AND(N33="R",Q33="NO"),I33*H33*O33/100*IF(P33="SI",1.2,1),"--")</f>
        <v>--</v>
      </c>
      <c r="X33" s="1899" t="str">
        <f>IF(AND(N33="R",M33&gt;=10),I33*H33*O33/100*IF(P33="SI",1.2,1)*IF(M33&lt;=300,ROUND(M33/60,2),5),"--")</f>
        <v>--</v>
      </c>
      <c r="Y33" s="1900" t="str">
        <f>IF(AND(N33="R",M33&gt;300),(ROUND(M33/60,2)-5)*I33*H33*0.1*O33/100*IF(P33="SI",1.2,1),"--")</f>
        <v>--</v>
      </c>
      <c r="Z33" s="1901" t="str">
        <f>IF(N33="RF",ROUND(M33/60,2)*I33*H33*0.1*IF(P33="SI",1.2,1),"--")</f>
        <v>--</v>
      </c>
      <c r="AA33" s="1902" t="str">
        <f>IF(N33="RR",ROUND(M33/60,2)*I33*H33*0.1*O33/100*IF(P33="SI",1.2,1),"--")</f>
        <v>--</v>
      </c>
      <c r="AB33" s="1903">
        <f>IF(D33="","","SI")</f>
      </c>
      <c r="AC33" s="1904">
        <f>IF(D33="","",SUM(R33:AA33)*IF(AB33="SI",1,2))</f>
      </c>
      <c r="AD33" s="1400"/>
    </row>
    <row r="34" spans="1:30" ht="16.5" customHeight="1">
      <c r="A34" s="1382"/>
      <c r="B34" s="1554"/>
      <c r="C34" s="873" t="s">
        <v>104</v>
      </c>
      <c r="D34" s="1883"/>
      <c r="E34" s="1884"/>
      <c r="F34" s="1885"/>
      <c r="G34" s="1886"/>
      <c r="H34" s="1887">
        <v>20</v>
      </c>
      <c r="I34" s="1888" t="e">
        <f>IF(E34=500,IF(F34&lt;100,100*$F$19/100,F34*$F$19/100),IF(F34&lt;100,100*$F$20/100,F34*$F$20/100))</f>
        <v>#VALUE!</v>
      </c>
      <c r="J34" s="1889"/>
      <c r="K34" s="1890"/>
      <c r="L34" s="1891">
        <f>IF(D34="","",(K34-J34)*24)</f>
      </c>
      <c r="M34" s="1614">
        <f>IF(D34="","",(K34-J34)*24*60)</f>
      </c>
      <c r="N34" s="1892"/>
      <c r="O34" s="1490">
        <f>IF(D34="","","--")</f>
      </c>
      <c r="P34" s="1492">
        <f>IF(D34="","","NO")</f>
      </c>
      <c r="Q34" s="1492">
        <f>IF(D34="","",IF(OR(N34="P",N34="RP"),"--","NO"))</f>
      </c>
      <c r="R34" s="1893" t="str">
        <f>IF(N34="P",I34*H34*ROUND(M34/60,2)*0.01,"--")</f>
        <v>--</v>
      </c>
      <c r="S34" s="1894" t="str">
        <f>IF(N34="RP",I34*H34*ROUND(M34/60,2)*0.01*O34/100,"--")</f>
        <v>--</v>
      </c>
      <c r="T34" s="1895" t="str">
        <f>IF(AND(N34="F",Q34="NO"),I34*H34*IF(P34="SI",1.2,1),"--")</f>
        <v>--</v>
      </c>
      <c r="U34" s="1896" t="str">
        <f>IF(AND(N34="F",M34&gt;=10),I34*H34*IF(P34="SI",1.2,1)*IF(M34&lt;=300,ROUND(M34/60,2),5),"--")</f>
        <v>--</v>
      </c>
      <c r="V34" s="1897" t="str">
        <f>IF(AND(N34="F",M34&gt;300),(ROUND(M34/60,2)-5)*I34*H34*0.1*IF(P34="SI",1.2,1),"--")</f>
        <v>--</v>
      </c>
      <c r="W34" s="1898" t="str">
        <f>IF(AND(N34="R",Q34="NO"),I34*H34*O34/100*IF(P34="SI",1.2,1),"--")</f>
        <v>--</v>
      </c>
      <c r="X34" s="1899" t="str">
        <f>IF(AND(N34="R",M34&gt;=10),I34*H34*O34/100*IF(P34="SI",1.2,1)*IF(M34&lt;=300,ROUND(M34/60,2),5),"--")</f>
        <v>--</v>
      </c>
      <c r="Y34" s="1900" t="str">
        <f>IF(AND(N34="R",M34&gt;300),(ROUND(M34/60,2)-5)*I34*H34*0.1*O34/100*IF(P34="SI",1.2,1),"--")</f>
        <v>--</v>
      </c>
      <c r="Z34" s="1901" t="str">
        <f>IF(N34="RF",ROUND(M34/60,2)*I34*H34*0.1*IF(P34="SI",1.2,1),"--")</f>
        <v>--</v>
      </c>
      <c r="AA34" s="1902" t="str">
        <f>IF(N34="RR",ROUND(M34/60,2)*I34*H34*0.1*O34/100*IF(P34="SI",1.2,1),"--")</f>
        <v>--</v>
      </c>
      <c r="AB34" s="1903">
        <f>IF(D34="","","SI")</f>
      </c>
      <c r="AC34" s="1904">
        <f>IF(D34="","",SUM(R34:AA34)*IF(AB34="SI",1,2))</f>
      </c>
      <c r="AD34" s="1400"/>
    </row>
    <row r="35" spans="1:30" ht="16.5" customHeight="1">
      <c r="A35" s="1382"/>
      <c r="B35" s="1554"/>
      <c r="C35" s="873" t="s">
        <v>105</v>
      </c>
      <c r="D35" s="1883"/>
      <c r="E35" s="1884"/>
      <c r="F35" s="1885"/>
      <c r="G35" s="1886"/>
      <c r="H35" s="1887">
        <v>20</v>
      </c>
      <c r="I35" s="1888" t="e">
        <f>IF(E35=500,IF(F35&lt;100,100*$F$19/100,F35*$F$19/100),IF(F35&lt;100,100*$F$20/100,F35*$F$20/100))</f>
        <v>#VALUE!</v>
      </c>
      <c r="J35" s="1889"/>
      <c r="K35" s="1890"/>
      <c r="L35" s="1891">
        <f>IF(D35="","",(K35-J35)*24)</f>
      </c>
      <c r="M35" s="1614">
        <f>IF(D35="","",(K35-J35)*24*60)</f>
      </c>
      <c r="N35" s="1892"/>
      <c r="O35" s="1490">
        <f>IF(D35="","","--")</f>
      </c>
      <c r="P35" s="1492">
        <f>IF(D35="","","NO")</f>
      </c>
      <c r="Q35" s="1492"/>
      <c r="R35" s="1893" t="str">
        <f>IF(N35="P",I35*H35*ROUND(M35/60,2)*0.01,"--")</f>
        <v>--</v>
      </c>
      <c r="S35" s="1894" t="str">
        <f>IF(N35="RP",I35*H35*ROUND(M35/60,2)*0.01*O35/100,"--")</f>
        <v>--</v>
      </c>
      <c r="T35" s="1895" t="str">
        <f>IF(AND(N35="F",Q35="NO"),I35*H35*IF(P35="SI",1.2,1),"--")</f>
        <v>--</v>
      </c>
      <c r="U35" s="1896" t="str">
        <f>IF(AND(N35="F",M35&gt;=10),I35*H35*IF(P35="SI",1.2,1)*IF(M35&lt;=300,ROUND(M35/60,2),5),"--")</f>
        <v>--</v>
      </c>
      <c r="V35" s="1897" t="str">
        <f>IF(AND(N35="F",M35&gt;300),(ROUND(M35/60,2)-5)*I35*H35*0.1*IF(P35="SI",1.2,1),"--")</f>
        <v>--</v>
      </c>
      <c r="W35" s="1898" t="str">
        <f>IF(AND(N35="R",Q35="NO"),I35*H35*O35/100*IF(P35="SI",1.2,1),"--")</f>
        <v>--</v>
      </c>
      <c r="X35" s="1899" t="str">
        <f>IF(AND(N35="R",M35&gt;=10),I35*H35*O35/100*IF(P35="SI",1.2,1)*IF(M35&lt;=300,ROUND(M35/60,2),5),"--")</f>
        <v>--</v>
      </c>
      <c r="Y35" s="1900" t="str">
        <f>IF(AND(N35="R",M35&gt;300),(ROUND(M35/60,2)-5)*I35*H35*0.1*O35/100*IF(P35="SI",1.2,1),"--")</f>
        <v>--</v>
      </c>
      <c r="Z35" s="1901" t="str">
        <f>IF(N35="RF",ROUND(M35/60,2)*I35*H35*0.1*IF(P35="SI",1.2,1),"--")</f>
        <v>--</v>
      </c>
      <c r="AA35" s="1902" t="str">
        <f>IF(N35="RR",ROUND(M35/60,2)*I35*H35*0.1*O35/100*IF(P35="SI",1.2,1),"--")</f>
        <v>--</v>
      </c>
      <c r="AB35" s="1903">
        <f>IF(D35="","","SI")</f>
      </c>
      <c r="AC35" s="1904">
        <f>IF(D35="","",SUM(R35:AA35)*IF(AB35="SI",1,2))</f>
      </c>
      <c r="AD35" s="1400"/>
    </row>
    <row r="36" spans="1:30" ht="16.5" customHeight="1">
      <c r="A36" s="1382"/>
      <c r="B36" s="1554"/>
      <c r="C36" s="873" t="s">
        <v>106</v>
      </c>
      <c r="D36" s="1883"/>
      <c r="E36" s="1884"/>
      <c r="F36" s="1885"/>
      <c r="G36" s="1886"/>
      <c r="H36" s="1887">
        <v>20</v>
      </c>
      <c r="I36" s="1888" t="e">
        <f>IF(E36=500,IF(F36&lt;100,100*$F$19/100,F36*$F$19/100),IF(F36&lt;100,100*$F$20/100,F36*$F$20/100))</f>
        <v>#VALUE!</v>
      </c>
      <c r="J36" s="1889"/>
      <c r="K36" s="1890"/>
      <c r="L36" s="1891">
        <f>IF(D36="","",(K36-J36)*24)</f>
      </c>
      <c r="M36" s="1614">
        <f>IF(D36="","",(K36-J36)*24*60)</f>
      </c>
      <c r="N36" s="1892"/>
      <c r="O36" s="1490">
        <f>IF(D36="","","--")</f>
      </c>
      <c r="P36" s="1492">
        <f>IF(D36="","","NO")</f>
      </c>
      <c r="Q36" s="1492">
        <f>IF(D36="","",IF(OR(N36="P",N36="RP"),"--","NO"))</f>
      </c>
      <c r="R36" s="1893" t="str">
        <f>IF(N36="P",I36*H36*ROUND(M36/60,2)*0.01,"--")</f>
        <v>--</v>
      </c>
      <c r="S36" s="1894" t="str">
        <f>IF(N36="RP",I36*H36*ROUND(M36/60,2)*0.01*O36/100,"--")</f>
        <v>--</v>
      </c>
      <c r="T36" s="1895" t="str">
        <f>IF(AND(N36="F",Q36="NO"),I36*H36*IF(P36="SI",1.2,1),"--")</f>
        <v>--</v>
      </c>
      <c r="U36" s="1896" t="str">
        <f>IF(AND(N36="F",M36&gt;=10),I36*H36*IF(P36="SI",1.2,1)*IF(M36&lt;=300,ROUND(M36/60,2),5),"--")</f>
        <v>--</v>
      </c>
      <c r="V36" s="1897" t="str">
        <f>IF(AND(N36="F",M36&gt;300),(ROUND(M36/60,2)-5)*I36*H36*0.1*IF(P36="SI",1.2,1),"--")</f>
        <v>--</v>
      </c>
      <c r="W36" s="1898" t="str">
        <f>IF(AND(N36="R",Q36="NO"),I36*H36*O36/100*IF(P36="SI",1.2,1),"--")</f>
        <v>--</v>
      </c>
      <c r="X36" s="1899" t="str">
        <f>IF(AND(N36="R",M36&gt;=10),I36*H36*O36/100*IF(P36="SI",1.2,1)*IF(M36&lt;=300,ROUND(M36/60,2),5),"--")</f>
        <v>--</v>
      </c>
      <c r="Y36" s="1900" t="str">
        <f>IF(AND(N36="R",M36&gt;300),(ROUND(M36/60,2)-5)*I36*H36*0.1*O36/100*IF(P36="SI",1.2,1),"--")</f>
        <v>--</v>
      </c>
      <c r="Z36" s="1901" t="str">
        <f>IF(N36="RF",ROUND(M36/60,2)*I36*H36*0.1*IF(P36="SI",1.2,1),"--")</f>
        <v>--</v>
      </c>
      <c r="AA36" s="1902" t="str">
        <f>IF(N36="RR",ROUND(M36/60,2)*I36*H36*0.1*O36/100*IF(P36="SI",1.2,1),"--")</f>
        <v>--</v>
      </c>
      <c r="AB36" s="1903">
        <f>IF(D36="","","SI")</f>
      </c>
      <c r="AC36" s="1904">
        <f>IF(D36="","",SUM(R36:AA36)*IF(AB36="SI",1,2))</f>
      </c>
      <c r="AD36" s="1400"/>
    </row>
    <row r="37" spans="1:30" ht="16.5" customHeight="1" thickBot="1">
      <c r="A37" s="1825"/>
      <c r="B37" s="1554"/>
      <c r="C37" s="1905"/>
      <c r="D37" s="1906"/>
      <c r="E37" s="1907"/>
      <c r="F37" s="1908"/>
      <c r="G37" s="1909"/>
      <c r="H37" s="1910"/>
      <c r="I37" s="1911"/>
      <c r="J37" s="1912"/>
      <c r="K37" s="1912"/>
      <c r="L37" s="1913"/>
      <c r="M37" s="1913"/>
      <c r="N37" s="1913"/>
      <c r="O37" s="1914"/>
      <c r="P37" s="1913"/>
      <c r="Q37" s="1913"/>
      <c r="R37" s="1915"/>
      <c r="S37" s="1916"/>
      <c r="T37" s="1917"/>
      <c r="U37" s="1918"/>
      <c r="V37" s="1919"/>
      <c r="W37" s="1920"/>
      <c r="X37" s="1921"/>
      <c r="Y37" s="1922"/>
      <c r="Z37" s="1923"/>
      <c r="AA37" s="1924"/>
      <c r="AB37" s="1925"/>
      <c r="AC37" s="1926"/>
      <c r="AD37" s="1927"/>
    </row>
    <row r="38" spans="1:30" ht="16.5" customHeight="1" thickBot="1" thickTop="1">
      <c r="A38" s="1825"/>
      <c r="B38" s="1554"/>
      <c r="C38" s="1830"/>
      <c r="D38" s="1830"/>
      <c r="E38" s="1928"/>
      <c r="F38" s="1839"/>
      <c r="G38" s="1929"/>
      <c r="H38" s="1929"/>
      <c r="I38" s="1930"/>
      <c r="J38" s="1930"/>
      <c r="K38" s="1930"/>
      <c r="L38" s="1930"/>
      <c r="M38" s="1930"/>
      <c r="N38" s="1930"/>
      <c r="O38" s="1931"/>
      <c r="P38" s="1930"/>
      <c r="Q38" s="1930"/>
      <c r="R38" s="1930"/>
      <c r="S38" s="1930"/>
      <c r="T38" s="1930"/>
      <c r="U38" s="1930"/>
      <c r="V38" s="1930"/>
      <c r="W38" s="1930"/>
      <c r="X38" s="1930"/>
      <c r="Y38" s="1930"/>
      <c r="Z38" s="1930"/>
      <c r="AA38" s="1930"/>
      <c r="AB38" s="1932"/>
      <c r="AC38" s="1933">
        <f>SUM(AC32:AC37)</f>
        <v>0</v>
      </c>
      <c r="AD38" s="1927"/>
    </row>
    <row r="39" spans="1:30" ht="13.5" customHeight="1" thickBot="1" thickTop="1">
      <c r="A39" s="1825"/>
      <c r="B39" s="1554"/>
      <c r="C39" s="1830"/>
      <c r="D39" s="1830"/>
      <c r="E39" s="1928"/>
      <c r="F39" s="1839"/>
      <c r="G39" s="1929"/>
      <c r="H39" s="1929"/>
      <c r="I39" s="1930"/>
      <c r="J39" s="1930"/>
      <c r="K39" s="1930"/>
      <c r="L39" s="1930"/>
      <c r="M39" s="1930"/>
      <c r="N39" s="1930"/>
      <c r="O39" s="1931"/>
      <c r="P39" s="1930"/>
      <c r="Q39" s="1930"/>
      <c r="R39" s="1930"/>
      <c r="S39" s="1930"/>
      <c r="T39" s="1930"/>
      <c r="U39" s="1930"/>
      <c r="V39" s="1930"/>
      <c r="W39" s="1930"/>
      <c r="X39" s="1930"/>
      <c r="Y39" s="1930"/>
      <c r="Z39" s="1930"/>
      <c r="AA39" s="1930"/>
      <c r="AB39" s="1934"/>
      <c r="AC39" s="1935"/>
      <c r="AD39" s="1927"/>
    </row>
    <row r="40" spans="1:33" s="1382" customFormat="1" ht="33.75" customHeight="1" thickBot="1" thickTop="1">
      <c r="A40" s="1381"/>
      <c r="B40" s="1397"/>
      <c r="C40" s="1431" t="s">
        <v>29</v>
      </c>
      <c r="D40" s="1433" t="s">
        <v>60</v>
      </c>
      <c r="E40" s="1434" t="s">
        <v>61</v>
      </c>
      <c r="F40" s="1435" t="s">
        <v>81</v>
      </c>
      <c r="G40" s="1436" t="s">
        <v>32</v>
      </c>
      <c r="H40" s="1437" t="s">
        <v>36</v>
      </c>
      <c r="I40" s="1936"/>
      <c r="J40" s="1434" t="s">
        <v>37</v>
      </c>
      <c r="K40" s="1434" t="s">
        <v>38</v>
      </c>
      <c r="L40" s="1433" t="s">
        <v>63</v>
      </c>
      <c r="M40" s="1433" t="s">
        <v>40</v>
      </c>
      <c r="N40" s="1438" t="s">
        <v>111</v>
      </c>
      <c r="O40" s="1434" t="s">
        <v>43</v>
      </c>
      <c r="P40" s="1937" t="s">
        <v>64</v>
      </c>
      <c r="Q40" s="1938"/>
      <c r="R40" s="1437" t="s">
        <v>113</v>
      </c>
      <c r="S40" s="1939" t="s">
        <v>44</v>
      </c>
      <c r="T40" s="1940" t="s">
        <v>114</v>
      </c>
      <c r="U40" s="1941"/>
      <c r="V40" s="1942" t="s">
        <v>48</v>
      </c>
      <c r="W40" s="1943"/>
      <c r="X40" s="1944"/>
      <c r="Y40" s="1944"/>
      <c r="Z40" s="1944"/>
      <c r="AA40" s="1945"/>
      <c r="AB40" s="1449" t="s">
        <v>50</v>
      </c>
      <c r="AC40" s="1436" t="s">
        <v>51</v>
      </c>
      <c r="AD40" s="1400"/>
      <c r="AF40" s="1428"/>
      <c r="AG40" s="1428"/>
    </row>
    <row r="41" spans="1:30" ht="16.5" customHeight="1" thickTop="1">
      <c r="A41" s="1382"/>
      <c r="B41" s="1554"/>
      <c r="C41" s="1860"/>
      <c r="D41" s="1946"/>
      <c r="E41" s="1946"/>
      <c r="F41" s="1946"/>
      <c r="G41" s="1947"/>
      <c r="H41" s="1948"/>
      <c r="I41" s="1949"/>
      <c r="J41" s="1946"/>
      <c r="K41" s="1946"/>
      <c r="L41" s="1946"/>
      <c r="M41" s="1946"/>
      <c r="N41" s="1946"/>
      <c r="O41" s="1950"/>
      <c r="P41" s="2859"/>
      <c r="Q41" s="2860"/>
      <c r="R41" s="1951"/>
      <c r="S41" s="1952"/>
      <c r="T41" s="1953"/>
      <c r="U41" s="1954"/>
      <c r="V41" s="1955"/>
      <c r="W41" s="1956"/>
      <c r="X41" s="1957"/>
      <c r="Y41" s="1957"/>
      <c r="Z41" s="1957"/>
      <c r="AA41" s="1958"/>
      <c r="AB41" s="1950"/>
      <c r="AC41" s="1959"/>
      <c r="AD41" s="1400"/>
    </row>
    <row r="42" spans="1:30" ht="16.5" customHeight="1">
      <c r="A42" s="1382"/>
      <c r="B42" s="1554"/>
      <c r="C42" s="873" t="s">
        <v>103</v>
      </c>
      <c r="D42" s="1960"/>
      <c r="E42" s="1465"/>
      <c r="F42" s="1465"/>
      <c r="G42" s="1466"/>
      <c r="H42" s="1961">
        <f>F42*$F$21</f>
        <v>0</v>
      </c>
      <c r="I42" s="1962"/>
      <c r="J42" s="1189"/>
      <c r="K42" s="1189"/>
      <c r="L42" s="1487">
        <f>IF(D42="","",(K42-J42)*24)</f>
      </c>
      <c r="M42" s="1488">
        <f>IF(D42="","",(K42-J42)*24*60)</f>
      </c>
      <c r="N42" s="1963"/>
      <c r="O42" s="1491">
        <f>IF(D42="","",IF(OR(N42="P",N42="RP"),"--","NO"))</f>
      </c>
      <c r="P42" s="2861">
        <f>IF(D42="","","NO")</f>
      </c>
      <c r="Q42" s="2862"/>
      <c r="R42" s="1965">
        <f>200*IF(P42="SI",1,0.1)*IF(N42="P",0.1,1)</f>
        <v>20</v>
      </c>
      <c r="S42" s="1966" t="str">
        <f>IF(N42="P",H42*R42*ROUND(M42/60,2),"--")</f>
        <v>--</v>
      </c>
      <c r="T42" s="1967" t="str">
        <f>IF(AND(N42="F",O42="NO"),H42*R42,"--")</f>
        <v>--</v>
      </c>
      <c r="U42" s="1968" t="str">
        <f>IF(N42="F",H42*R42*ROUND(M42/60,2),"--")</f>
        <v>--</v>
      </c>
      <c r="V42" s="1606" t="str">
        <f>IF(N42="RF",H42*R42*ROUND(M42/60,2),"--")</f>
        <v>--</v>
      </c>
      <c r="W42" s="1969"/>
      <c r="X42" s="1970"/>
      <c r="Y42" s="1970"/>
      <c r="Z42" s="1970"/>
      <c r="AA42" s="1971"/>
      <c r="AB42" s="1972">
        <f>IF(D42="","","SI")</f>
      </c>
      <c r="AC42" s="1503">
        <f>IF(D42="","",SUM(S42:V42)*IF(AB42="SI",1,2))</f>
      </c>
      <c r="AD42" s="1400"/>
    </row>
    <row r="43" spans="1:30" ht="16.5" customHeight="1">
      <c r="A43" s="1382"/>
      <c r="B43" s="1554"/>
      <c r="C43" s="873" t="s">
        <v>104</v>
      </c>
      <c r="D43" s="1465"/>
      <c r="E43" s="1465"/>
      <c r="F43" s="1465"/>
      <c r="G43" s="1466"/>
      <c r="H43" s="1961">
        <f>F43*$F$21</f>
        <v>0</v>
      </c>
      <c r="I43" s="1962"/>
      <c r="J43" s="1189"/>
      <c r="K43" s="1890"/>
      <c r="L43" s="1487">
        <f>IF(D43="","",(K43-J43)*24)</f>
      </c>
      <c r="M43" s="1488">
        <f>IF(D43="","",(K43-J43)*24*60)</f>
      </c>
      <c r="N43" s="1963"/>
      <c r="O43" s="1491">
        <f>IF(D43="","",IF(OR(N43="P",N43="RP"),"--","NO"))</f>
      </c>
      <c r="P43" s="2861">
        <f>IF(D43="","","NO")</f>
      </c>
      <c r="Q43" s="2862"/>
      <c r="R43" s="1965">
        <f>200*IF(P43="SI",1,0.1)*IF(N43="P",0.1,1)</f>
        <v>20</v>
      </c>
      <c r="S43" s="1966" t="str">
        <f>IF(N43="P",H43*R43*ROUND(M43/60,2),"--")</f>
        <v>--</v>
      </c>
      <c r="T43" s="1967" t="str">
        <f>IF(AND(N43="F",O43="NO"),H43*R43,"--")</f>
        <v>--</v>
      </c>
      <c r="U43" s="1968" t="str">
        <f>IF(N43="F",H43*R43*ROUND(M43/60,2),"--")</f>
        <v>--</v>
      </c>
      <c r="V43" s="1606" t="str">
        <f>IF(N43="RF",H43*R43*ROUND(M43/60,2),"--")</f>
        <v>--</v>
      </c>
      <c r="W43" s="1969"/>
      <c r="X43" s="1970"/>
      <c r="Y43" s="1970"/>
      <c r="Z43" s="1970"/>
      <c r="AA43" s="1971"/>
      <c r="AB43" s="1972">
        <f>IF(D43="","","SI")</f>
      </c>
      <c r="AC43" s="1503">
        <f>IF(D43="","",SUM(S43:V43)*IF(AB43="SI",1,2))</f>
      </c>
      <c r="AD43" s="1400"/>
    </row>
    <row r="44" spans="1:30" ht="16.5" customHeight="1" thickBot="1">
      <c r="A44" s="1825"/>
      <c r="B44" s="1554"/>
      <c r="C44" s="1905"/>
      <c r="D44" s="1973"/>
      <c r="E44" s="1974"/>
      <c r="F44" s="1975"/>
      <c r="G44" s="1976"/>
      <c r="H44" s="1977"/>
      <c r="I44" s="1978"/>
      <c r="J44" s="1979"/>
      <c r="K44" s="1980"/>
      <c r="L44" s="1981"/>
      <c r="M44" s="1982"/>
      <c r="N44" s="1983"/>
      <c r="O44" s="1913"/>
      <c r="P44" s="2863"/>
      <c r="Q44" s="2864"/>
      <c r="R44" s="1984"/>
      <c r="S44" s="1985"/>
      <c r="T44" s="1986"/>
      <c r="U44" s="1987"/>
      <c r="V44" s="1988"/>
      <c r="W44" s="1989"/>
      <c r="X44" s="1990"/>
      <c r="Y44" s="1990"/>
      <c r="Z44" s="1990"/>
      <c r="AA44" s="1991"/>
      <c r="AB44" s="1992"/>
      <c r="AC44" s="1993"/>
      <c r="AD44" s="1927"/>
    </row>
    <row r="45" spans="1:30" ht="16.5" customHeight="1" thickBot="1" thickTop="1">
      <c r="A45" s="1825"/>
      <c r="B45" s="1554"/>
      <c r="C45" s="1421"/>
      <c r="D45" s="1843"/>
      <c r="E45" s="1843"/>
      <c r="F45" s="1994"/>
      <c r="G45" s="1995"/>
      <c r="H45" s="1995"/>
      <c r="I45" s="1995"/>
      <c r="J45" s="1996"/>
      <c r="K45" s="1997"/>
      <c r="L45" s="1998"/>
      <c r="M45" s="1999"/>
      <c r="N45" s="2000"/>
      <c r="O45" s="2001"/>
      <c r="P45" s="2002"/>
      <c r="Q45" s="2002"/>
      <c r="R45" s="2002"/>
      <c r="S45" s="2002"/>
      <c r="T45" s="2002"/>
      <c r="U45" s="2002"/>
      <c r="V45" s="2002"/>
      <c r="W45" s="2002"/>
      <c r="X45" s="2002"/>
      <c r="Y45" s="2002"/>
      <c r="Z45" s="2002"/>
      <c r="AA45" s="2002"/>
      <c r="AB45" s="2003"/>
      <c r="AC45" s="2004">
        <f>SUM(AC41:AC44)</f>
        <v>0</v>
      </c>
      <c r="AD45" s="1927"/>
    </row>
    <row r="46" spans="1:30" ht="16.5" customHeight="1" thickBot="1" thickTop="1">
      <c r="A46" s="1825"/>
      <c r="B46" s="1554"/>
      <c r="C46" s="1421"/>
      <c r="D46" s="1843"/>
      <c r="E46" s="1421"/>
      <c r="F46" s="1843"/>
      <c r="G46" s="1421"/>
      <c r="H46" s="1843"/>
      <c r="I46" s="1421"/>
      <c r="J46" s="1843"/>
      <c r="K46" s="1421"/>
      <c r="L46" s="1843"/>
      <c r="M46" s="1421"/>
      <c r="N46" s="1843"/>
      <c r="O46" s="1421"/>
      <c r="P46" s="1843"/>
      <c r="Q46" s="1421"/>
      <c r="R46" s="1843"/>
      <c r="S46" s="1421"/>
      <c r="T46" s="1843"/>
      <c r="U46" s="1421"/>
      <c r="V46" s="1843"/>
      <c r="W46" s="1421"/>
      <c r="X46" s="1843"/>
      <c r="Y46" s="1421"/>
      <c r="Z46" s="1843"/>
      <c r="AA46" s="1421"/>
      <c r="AB46" s="1843"/>
      <c r="AC46" s="1421"/>
      <c r="AD46" s="1927"/>
    </row>
    <row r="47" spans="1:33" s="1382" customFormat="1" ht="33.75" customHeight="1" thickBot="1" thickTop="1">
      <c r="A47" s="1381"/>
      <c r="B47" s="1397"/>
      <c r="C47" s="1431" t="s">
        <v>29</v>
      </c>
      <c r="D47" s="1433" t="s">
        <v>60</v>
      </c>
      <c r="E47" s="1434" t="s">
        <v>61</v>
      </c>
      <c r="F47" s="2865" t="s">
        <v>32</v>
      </c>
      <c r="G47" s="2866"/>
      <c r="H47" s="1437" t="s">
        <v>36</v>
      </c>
      <c r="I47" s="1936"/>
      <c r="J47" s="1434" t="s">
        <v>37</v>
      </c>
      <c r="K47" s="1434" t="s">
        <v>38</v>
      </c>
      <c r="L47" s="1433" t="s">
        <v>63</v>
      </c>
      <c r="M47" s="1433" t="s">
        <v>40</v>
      </c>
      <c r="N47" s="1438" t="s">
        <v>111</v>
      </c>
      <c r="O47" s="2867" t="s">
        <v>43</v>
      </c>
      <c r="P47" s="2868"/>
      <c r="Q47" s="2869"/>
      <c r="R47" s="1587" t="s">
        <v>35</v>
      </c>
      <c r="S47" s="1588" t="s">
        <v>73</v>
      </c>
      <c r="T47" s="1589" t="s">
        <v>74</v>
      </c>
      <c r="U47" s="1590"/>
      <c r="V47" s="1591" t="s">
        <v>48</v>
      </c>
      <c r="W47" s="1944"/>
      <c r="X47" s="1944"/>
      <c r="Y47" s="1944"/>
      <c r="Z47" s="1944"/>
      <c r="AA47" s="1945"/>
      <c r="AB47" s="1449" t="s">
        <v>50</v>
      </c>
      <c r="AC47" s="1436" t="s">
        <v>51</v>
      </c>
      <c r="AD47" s="1400"/>
      <c r="AF47" s="1428"/>
      <c r="AG47" s="1428"/>
    </row>
    <row r="48" spans="1:30" ht="16.5" customHeight="1" thickTop="1">
      <c r="A48" s="1382"/>
      <c r="B48" s="1554"/>
      <c r="C48" s="1860"/>
      <c r="D48" s="1946"/>
      <c r="E48" s="1946"/>
      <c r="F48" s="2859"/>
      <c r="G48" s="2860"/>
      <c r="H48" s="1948"/>
      <c r="I48" s="1949"/>
      <c r="J48" s="1946"/>
      <c r="K48" s="1946"/>
      <c r="L48" s="1946"/>
      <c r="M48" s="1946"/>
      <c r="N48" s="1946"/>
      <c r="O48" s="2859"/>
      <c r="P48" s="2870"/>
      <c r="Q48" s="2860"/>
      <c r="R48" s="1616"/>
      <c r="S48" s="1595"/>
      <c r="T48" s="1596"/>
      <c r="U48" s="1597"/>
      <c r="V48" s="1598"/>
      <c r="W48" s="1957"/>
      <c r="X48" s="1957"/>
      <c r="Y48" s="1957"/>
      <c r="Z48" s="1957"/>
      <c r="AA48" s="1958"/>
      <c r="AB48" s="1950"/>
      <c r="AC48" s="1959"/>
      <c r="AD48" s="1400"/>
    </row>
    <row r="49" spans="1:30" ht="15">
      <c r="A49" s="1382"/>
      <c r="B49" s="1554"/>
      <c r="C49" s="873" t="s">
        <v>103</v>
      </c>
      <c r="D49" s="1960" t="s">
        <v>372</v>
      </c>
      <c r="E49" s="1184" t="s">
        <v>373</v>
      </c>
      <c r="F49" s="2855">
        <v>132</v>
      </c>
      <c r="G49" s="2847"/>
      <c r="H49" s="1961">
        <f>IF(F49=132,$F$22,0)</f>
        <v>170.878</v>
      </c>
      <c r="I49" s="1962"/>
      <c r="J49" s="1611">
        <v>41802.62013888889</v>
      </c>
      <c r="K49" s="2005">
        <v>41802.669444444444</v>
      </c>
      <c r="L49" s="1487">
        <f>IF(D49="","",(K49-J49)*24)</f>
        <v>1.1833333333488554</v>
      </c>
      <c r="M49" s="1488">
        <f>IF(D49="","",(K49-J49)*24*60)</f>
        <v>71.00000000093132</v>
      </c>
      <c r="N49" s="1963" t="s">
        <v>332</v>
      </c>
      <c r="O49" s="2856" t="str">
        <f>IF(D49="","",IF(N49="P","--","NO"))</f>
        <v>--</v>
      </c>
      <c r="P49" s="2857"/>
      <c r="Q49" s="2858"/>
      <c r="R49" s="1616">
        <f>IF(F49=132,40,0)</f>
        <v>40</v>
      </c>
      <c r="S49" s="1617">
        <f>IF(N49="P",H49*R49*ROUND(M49/60,2)*0.1,"--")</f>
        <v>806.5441599999999</v>
      </c>
      <c r="T49" s="1604" t="str">
        <f>IF(AND(N49="F",O49="NO"),H49*R49,"--")</f>
        <v>--</v>
      </c>
      <c r="U49" s="1605" t="str">
        <f>IF(N49="F",H49*R49*ROUND(M49/60,2),"--")</f>
        <v>--</v>
      </c>
      <c r="V49" s="1606" t="str">
        <f>IF(N49="RF",H49*R49*ROUND(M49/60,2),"--")</f>
        <v>--</v>
      </c>
      <c r="W49" s="1970"/>
      <c r="X49" s="1970"/>
      <c r="Y49" s="1970"/>
      <c r="Z49" s="1970"/>
      <c r="AA49" s="1971"/>
      <c r="AB49" s="1972" t="str">
        <f>IF(D49="","","SI")</f>
        <v>SI</v>
      </c>
      <c r="AC49" s="1618">
        <f>IF(D49="","",SUM(S49:V49)*IF(AB49="SI",1,2))</f>
        <v>806.5441599999999</v>
      </c>
      <c r="AD49" s="1927"/>
    </row>
    <row r="50" spans="1:30" ht="16.5" customHeight="1">
      <c r="A50" s="1382"/>
      <c r="B50" s="1554"/>
      <c r="C50" s="873" t="s">
        <v>104</v>
      </c>
      <c r="D50" s="1960"/>
      <c r="E50" s="1184"/>
      <c r="F50" s="2855"/>
      <c r="G50" s="2847"/>
      <c r="H50" s="1961">
        <f>IF(F50=132,$F$22,0)</f>
        <v>0</v>
      </c>
      <c r="I50" s="1962"/>
      <c r="J50" s="1611"/>
      <c r="K50" s="2005"/>
      <c r="L50" s="1487">
        <f>IF(D50="","",(K50-J50)*24)</f>
      </c>
      <c r="M50" s="1488">
        <f>IF(D50="","",(K50-J50)*24*60)</f>
      </c>
      <c r="N50" s="1963"/>
      <c r="O50" s="2856">
        <f>IF(D50="","",IF(N50="P","--","NO"))</f>
      </c>
      <c r="P50" s="2857"/>
      <c r="Q50" s="2858"/>
      <c r="R50" s="1616">
        <f>IF(F50=132,40,0)</f>
        <v>0</v>
      </c>
      <c r="S50" s="1617" t="str">
        <f>IF(N50="P",H50*R50*ROUND(M50/60,2)*0.1,"--")</f>
        <v>--</v>
      </c>
      <c r="T50" s="1604" t="str">
        <f>IF(AND(N50="F",O50="NO"),H50*R50,"--")</f>
        <v>--</v>
      </c>
      <c r="U50" s="1605" t="str">
        <f>IF(N50="F",H50*R50*ROUND(M50/60,2),"--")</f>
        <v>--</v>
      </c>
      <c r="V50" s="1606" t="str">
        <f>IF(N50="RF",H50*R50*ROUND(M50/60,2),"--")</f>
        <v>--</v>
      </c>
      <c r="W50" s="1970"/>
      <c r="X50" s="1970"/>
      <c r="Y50" s="1970"/>
      <c r="Z50" s="1970"/>
      <c r="AA50" s="1971"/>
      <c r="AB50" s="1972">
        <f>IF(D50="","","SI")</f>
      </c>
      <c r="AC50" s="1618">
        <f>IF(D50="","",SUM(S50:V50)*IF(AB50="SI",1,2))</f>
      </c>
      <c r="AD50" s="1400"/>
    </row>
    <row r="51" spans="1:30" ht="16.5" customHeight="1" thickBot="1">
      <c r="A51" s="1825"/>
      <c r="B51" s="1554"/>
      <c r="C51" s="1905"/>
      <c r="D51" s="1973"/>
      <c r="E51" s="1974"/>
      <c r="F51" s="2873"/>
      <c r="G51" s="2874"/>
      <c r="H51" s="1977"/>
      <c r="I51" s="1978"/>
      <c r="J51" s="1979"/>
      <c r="K51" s="1980"/>
      <c r="L51" s="1981"/>
      <c r="M51" s="1982"/>
      <c r="N51" s="1983"/>
      <c r="O51" s="2863"/>
      <c r="P51" s="2875"/>
      <c r="Q51" s="2864"/>
      <c r="R51" s="1616"/>
      <c r="S51" s="1617"/>
      <c r="T51" s="1604"/>
      <c r="U51" s="1605"/>
      <c r="V51" s="1606"/>
      <c r="W51" s="1990"/>
      <c r="X51" s="1990"/>
      <c r="Y51" s="1990"/>
      <c r="Z51" s="1990"/>
      <c r="AA51" s="1991"/>
      <c r="AB51" s="1992"/>
      <c r="AC51" s="1618"/>
      <c r="AD51" s="1927"/>
    </row>
    <row r="52" spans="1:30" ht="16.5" customHeight="1" thickBot="1" thickTop="1">
      <c r="A52" s="1825"/>
      <c r="B52" s="1554"/>
      <c r="C52" s="1421"/>
      <c r="D52" s="1843"/>
      <c r="E52" s="1843"/>
      <c r="F52" s="1994"/>
      <c r="G52" s="1994"/>
      <c r="H52" s="1994"/>
      <c r="I52" s="1994"/>
      <c r="J52" s="1996"/>
      <c r="K52" s="1997"/>
      <c r="L52" s="1998"/>
      <c r="M52" s="1999"/>
      <c r="N52" s="2000"/>
      <c r="O52" s="2001"/>
      <c r="P52" s="2001"/>
      <c r="Q52" s="2001"/>
      <c r="R52" s="2001"/>
      <c r="S52" s="2001"/>
      <c r="T52" s="2001"/>
      <c r="U52" s="2001"/>
      <c r="V52" s="2001"/>
      <c r="W52" s="2001"/>
      <c r="X52" s="2001"/>
      <c r="Y52" s="2001"/>
      <c r="Z52" s="2001"/>
      <c r="AA52" s="2001"/>
      <c r="AB52" s="2003"/>
      <c r="AC52" s="2004">
        <f>SUM(AC48:AC51)</f>
        <v>806.5441599999999</v>
      </c>
      <c r="AD52" s="1927"/>
    </row>
    <row r="53" spans="1:30" ht="16.5" customHeight="1" thickBot="1" thickTop="1">
      <c r="A53" s="1825"/>
      <c r="B53" s="1554"/>
      <c r="C53" s="2006">
        <v>3</v>
      </c>
      <c r="D53" s="2007">
        <v>4</v>
      </c>
      <c r="E53" s="2006">
        <v>5</v>
      </c>
      <c r="F53" s="2007">
        <v>6</v>
      </c>
      <c r="G53" s="2006">
        <v>7</v>
      </c>
      <c r="H53" s="2007">
        <v>8</v>
      </c>
      <c r="I53" s="2006">
        <v>9</v>
      </c>
      <c r="J53" s="2007">
        <v>10</v>
      </c>
      <c r="K53" s="2006">
        <v>11</v>
      </c>
      <c r="L53" s="2007">
        <v>12</v>
      </c>
      <c r="M53" s="2006">
        <v>13</v>
      </c>
      <c r="N53" s="2007">
        <v>14</v>
      </c>
      <c r="O53" s="2006">
        <v>15</v>
      </c>
      <c r="P53" s="2007">
        <v>16</v>
      </c>
      <c r="Q53" s="2006">
        <v>17</v>
      </c>
      <c r="R53" s="2007">
        <v>18</v>
      </c>
      <c r="S53" s="2006">
        <v>19</v>
      </c>
      <c r="T53" s="2007">
        <v>20</v>
      </c>
      <c r="U53" s="2006">
        <v>21</v>
      </c>
      <c r="V53" s="2007">
        <v>22</v>
      </c>
      <c r="W53" s="2006">
        <v>23</v>
      </c>
      <c r="X53" s="2007">
        <v>24</v>
      </c>
      <c r="Y53" s="2006">
        <v>25</v>
      </c>
      <c r="Z53" s="2007">
        <v>26</v>
      </c>
      <c r="AA53" s="2006">
        <v>27</v>
      </c>
      <c r="AB53" s="2007">
        <v>28</v>
      </c>
      <c r="AC53" s="2006">
        <v>29</v>
      </c>
      <c r="AD53" s="1927"/>
    </row>
    <row r="54" spans="1:30" ht="43.5" customHeight="1" thickBot="1" thickTop="1">
      <c r="A54" s="1825"/>
      <c r="B54" s="1826"/>
      <c r="C54" s="1431" t="s">
        <v>29</v>
      </c>
      <c r="D54" s="1433" t="s">
        <v>60</v>
      </c>
      <c r="E54" s="1584" t="s">
        <v>61</v>
      </c>
      <c r="F54" s="2876" t="s">
        <v>81</v>
      </c>
      <c r="G54" s="2877"/>
      <c r="H54" s="1437" t="s">
        <v>36</v>
      </c>
      <c r="I54" s="2008"/>
      <c r="J54" s="1584" t="s">
        <v>37</v>
      </c>
      <c r="K54" s="1584" t="s">
        <v>38</v>
      </c>
      <c r="L54" s="1581" t="s">
        <v>39</v>
      </c>
      <c r="M54" s="1581" t="s">
        <v>40</v>
      </c>
      <c r="N54" s="1438" t="s">
        <v>316</v>
      </c>
      <c r="O54" s="1438" t="s">
        <v>41</v>
      </c>
      <c r="P54" s="2878" t="s">
        <v>43</v>
      </c>
      <c r="Q54" s="2879"/>
      <c r="R54" s="2009" t="s">
        <v>35</v>
      </c>
      <c r="S54" s="2010" t="s">
        <v>73</v>
      </c>
      <c r="T54" s="2011" t="s">
        <v>82</v>
      </c>
      <c r="U54" s="2012"/>
      <c r="V54" s="1445" t="s">
        <v>83</v>
      </c>
      <c r="W54" s="1446"/>
      <c r="X54" s="2013" t="s">
        <v>48</v>
      </c>
      <c r="Y54" s="1442" t="s">
        <v>45</v>
      </c>
      <c r="Z54" s="2008"/>
      <c r="AA54" s="2008"/>
      <c r="AB54" s="1449" t="s">
        <v>50</v>
      </c>
      <c r="AC54" s="2014" t="s">
        <v>51</v>
      </c>
      <c r="AD54" s="2015"/>
    </row>
    <row r="55" spans="1:30" ht="16.5" customHeight="1" thickTop="1">
      <c r="A55" s="1825"/>
      <c r="B55" s="1826"/>
      <c r="C55" s="1450"/>
      <c r="D55" s="2016"/>
      <c r="E55" s="2016"/>
      <c r="F55" s="2880"/>
      <c r="G55" s="2881"/>
      <c r="H55" s="2017"/>
      <c r="I55" s="2008"/>
      <c r="J55" s="2018"/>
      <c r="K55" s="2018"/>
      <c r="L55" s="2019"/>
      <c r="M55" s="2019"/>
      <c r="N55" s="2016"/>
      <c r="O55" s="2020"/>
      <c r="P55" s="2880"/>
      <c r="Q55" s="2881"/>
      <c r="R55" s="2021"/>
      <c r="S55" s="2022"/>
      <c r="T55" s="2023"/>
      <c r="U55" s="2024"/>
      <c r="V55" s="1460"/>
      <c r="W55" s="1461"/>
      <c r="X55" s="2025"/>
      <c r="Y55" s="2025"/>
      <c r="Z55" s="2008"/>
      <c r="AA55" s="2008"/>
      <c r="AB55" s="2026"/>
      <c r="AC55" s="2027"/>
      <c r="AD55" s="2015"/>
    </row>
    <row r="56" spans="1:30" ht="16.5" customHeight="1">
      <c r="A56" s="1825"/>
      <c r="B56" s="1826"/>
      <c r="C56" s="944" t="s">
        <v>103</v>
      </c>
      <c r="D56" s="2028"/>
      <c r="E56" s="2029"/>
      <c r="F56" s="2882"/>
      <c r="G56" s="2883"/>
      <c r="H56" s="2030"/>
      <c r="I56" s="2008"/>
      <c r="J56" s="2031"/>
      <c r="K56" s="2032"/>
      <c r="L56" s="2033"/>
      <c r="M56" s="2034"/>
      <c r="N56" s="1964"/>
      <c r="O56" s="1468"/>
      <c r="P56" s="2861"/>
      <c r="Q56" s="2862"/>
      <c r="R56" s="2035"/>
      <c r="S56" s="2036"/>
      <c r="T56" s="2037"/>
      <c r="U56" s="2038"/>
      <c r="V56" s="1475"/>
      <c r="W56" s="1476"/>
      <c r="X56" s="2039"/>
      <c r="Y56" s="2039"/>
      <c r="Z56" s="2008"/>
      <c r="AA56" s="2008"/>
      <c r="AB56" s="2040"/>
      <c r="AC56" s="2041"/>
      <c r="AD56" s="2015"/>
    </row>
    <row r="57" spans="2:30" s="1825" customFormat="1" ht="16.5" customHeight="1">
      <c r="B57" s="1826"/>
      <c r="C57" s="873" t="s">
        <v>104</v>
      </c>
      <c r="D57" s="2042"/>
      <c r="E57" s="1608"/>
      <c r="F57" s="2884"/>
      <c r="G57" s="2885"/>
      <c r="H57" s="1485">
        <f>F57*$F$21</f>
        <v>0</v>
      </c>
      <c r="I57" s="2008"/>
      <c r="J57" s="1611"/>
      <c r="K57" s="2005"/>
      <c r="L57" s="1613">
        <f>IF(D57="","",(K57-J57)*24)</f>
      </c>
      <c r="M57" s="1614">
        <f>IF(D57="","",ROUND((K57-J57)*24*60,0))</f>
      </c>
      <c r="N57" s="1615"/>
      <c r="O57" s="1490">
        <f>IF(D57="","","--")</f>
      </c>
      <c r="P57" s="2861">
        <f>IF(D57="","",IF(OR(N57="P",N57="RP"),"--","NO"))</f>
      </c>
      <c r="Q57" s="2862"/>
      <c r="R57" s="2043">
        <f>IF(OR(N57="P",N57="RP"),200/10,200)</f>
        <v>200</v>
      </c>
      <c r="S57" s="2044" t="str">
        <f>IF(N57="P",H57*R57*ROUND(M57/60,2),"--")</f>
        <v>--</v>
      </c>
      <c r="T57" s="2037" t="str">
        <f>IF(AND(N57="F",P57="NO"),H57*R57,"--")</f>
        <v>--</v>
      </c>
      <c r="U57" s="2038" t="str">
        <f>IF(N57="F",H57*R57*ROUND(M57/60,2),"--")</f>
        <v>--</v>
      </c>
      <c r="V57" s="1498" t="str">
        <f>IF(AND(N57="R",P57="NO"),H57*R57*O57/100,"--")</f>
        <v>--</v>
      </c>
      <c r="W57" s="1499" t="str">
        <f>IF(N57="R",H57*R57*O57/100*ROUND(M57/60,2),"--")</f>
        <v>--</v>
      </c>
      <c r="X57" s="2039" t="str">
        <f>IF(N57="RF",H57*R57*ROUND(M57/60,2),"--")</f>
        <v>--</v>
      </c>
      <c r="Y57" s="1495" t="str">
        <f>IF(N57="RP",H57*R57*O57/100*ROUND(M57/60,2),"--")</f>
        <v>--</v>
      </c>
      <c r="Z57" s="2008"/>
      <c r="AA57" s="2008"/>
      <c r="AB57" s="1492">
        <f>IF(D57="","","SI")</f>
      </c>
      <c r="AC57" s="1618">
        <f>IF(D57="","",SUM(S57:Y57)*IF(AB57="SI",1,2)*IF(AND(O57&lt;&gt;"--",N57="RF"),O57/100,1))</f>
      </c>
      <c r="AD57" s="2015"/>
    </row>
    <row r="58" spans="1:30" ht="16.5" customHeight="1" thickBot="1">
      <c r="A58" s="1825"/>
      <c r="B58" s="1826"/>
      <c r="C58" s="2045"/>
      <c r="D58" s="2046"/>
      <c r="E58" s="2047"/>
      <c r="F58" s="2871"/>
      <c r="G58" s="2872"/>
      <c r="H58" s="1485">
        <f>F58*$F$21</f>
        <v>0</v>
      </c>
      <c r="I58" s="2008"/>
      <c r="J58" s="2048"/>
      <c r="K58" s="2049"/>
      <c r="L58" s="2050">
        <f>IF(D58="","",(K58-J58)*24)</f>
      </c>
      <c r="M58" s="1512">
        <f>IF(D58="","",ROUND((K58-J58)*24*60,0))</f>
      </c>
      <c r="N58" s="1620"/>
      <c r="O58" s="2051">
        <f>IF(D58="","","--")</f>
      </c>
      <c r="P58" s="2863"/>
      <c r="Q58" s="2864"/>
      <c r="R58" s="2052"/>
      <c r="S58" s="2053"/>
      <c r="T58" s="2054"/>
      <c r="U58" s="2055"/>
      <c r="V58" s="2056"/>
      <c r="W58" s="2057"/>
      <c r="X58" s="2058"/>
      <c r="Y58" s="2059"/>
      <c r="Z58" s="1990"/>
      <c r="AA58" s="1990"/>
      <c r="AB58" s="1913"/>
      <c r="AC58" s="2060"/>
      <c r="AD58" s="2015"/>
    </row>
    <row r="59" spans="1:30" ht="16.5" customHeight="1" thickBot="1" thickTop="1">
      <c r="A59" s="1825"/>
      <c r="B59" s="1826"/>
      <c r="C59" s="1421"/>
      <c r="D59" s="1843"/>
      <c r="E59" s="2003"/>
      <c r="F59" s="2003"/>
      <c r="G59" s="2003"/>
      <c r="H59" s="2003"/>
      <c r="I59" s="2003"/>
      <c r="J59" s="2003"/>
      <c r="K59" s="2003"/>
      <c r="L59" s="2003"/>
      <c r="M59" s="2003"/>
      <c r="N59" s="2003"/>
      <c r="O59" s="2003"/>
      <c r="P59" s="2003"/>
      <c r="Q59" s="2003"/>
      <c r="R59" s="2003"/>
      <c r="S59" s="2003"/>
      <c r="T59" s="2003"/>
      <c r="U59" s="2003"/>
      <c r="V59" s="2003"/>
      <c r="W59" s="2003"/>
      <c r="X59" s="2003"/>
      <c r="Y59" s="2003"/>
      <c r="Z59" s="2003"/>
      <c r="AA59" s="2003"/>
      <c r="AB59" s="2003"/>
      <c r="AC59" s="2004">
        <f>SUM(AC55:AC58)</f>
        <v>0</v>
      </c>
      <c r="AD59" s="2015"/>
    </row>
    <row r="60" spans="1:30" ht="16.5" customHeight="1" thickBot="1" thickTop="1">
      <c r="A60" s="1825"/>
      <c r="B60" s="1826"/>
      <c r="C60" s="1421"/>
      <c r="D60" s="1843"/>
      <c r="E60" s="1843"/>
      <c r="F60" s="1994"/>
      <c r="G60" s="1995"/>
      <c r="H60" s="2000"/>
      <c r="I60" s="1996"/>
      <c r="J60" s="1997"/>
      <c r="K60" s="1998"/>
      <c r="L60" s="1999"/>
      <c r="M60" s="2000"/>
      <c r="N60" s="2061"/>
      <c r="O60" s="2001"/>
      <c r="P60" s="2062"/>
      <c r="Q60" s="2063"/>
      <c r="R60" s="2064"/>
      <c r="S60" s="2064"/>
      <c r="T60" s="2064"/>
      <c r="U60" s="2003"/>
      <c r="V60" s="2003"/>
      <c r="W60" s="2003"/>
      <c r="X60" s="2003"/>
      <c r="Y60" s="2003"/>
      <c r="Z60" s="2003"/>
      <c r="AA60" s="2003"/>
      <c r="AB60" s="2003"/>
      <c r="AC60" s="2065"/>
      <c r="AD60" s="2015"/>
    </row>
    <row r="61" spans="1:30" ht="16.5" customHeight="1" thickBot="1" thickTop="1">
      <c r="A61" s="1825"/>
      <c r="B61" s="1826"/>
      <c r="C61" s="1421"/>
      <c r="D61" s="1843"/>
      <c r="E61" s="1843"/>
      <c r="F61" s="1994"/>
      <c r="G61" s="1995"/>
      <c r="H61" s="2000"/>
      <c r="I61" s="1996"/>
      <c r="J61" s="1841" t="s">
        <v>116</v>
      </c>
      <c r="K61" s="1842">
        <f>+AC45+AC38+AC52+AC59</f>
        <v>806.5441599999999</v>
      </c>
      <c r="L61" s="1999"/>
      <c r="M61" s="2000"/>
      <c r="N61" s="2066"/>
      <c r="O61" s="2002"/>
      <c r="P61" s="2062"/>
      <c r="Q61" s="2063"/>
      <c r="R61" s="2064"/>
      <c r="S61" s="2064"/>
      <c r="T61" s="2064"/>
      <c r="U61" s="2003"/>
      <c r="V61" s="2003"/>
      <c r="W61" s="2003"/>
      <c r="X61" s="2003"/>
      <c r="Y61" s="2003"/>
      <c r="Z61" s="2003"/>
      <c r="AA61" s="2003"/>
      <c r="AB61" s="2003"/>
      <c r="AC61" s="2067"/>
      <c r="AD61" s="2015"/>
    </row>
    <row r="62" spans="2:30" ht="16.5" customHeight="1" thickTop="1">
      <c r="B62" s="1826"/>
      <c r="C62" s="1830"/>
      <c r="D62" s="2068"/>
      <c r="E62" s="2069"/>
      <c r="F62" s="2070"/>
      <c r="G62" s="2071"/>
      <c r="H62" s="2071"/>
      <c r="I62" s="2069"/>
      <c r="J62" s="2072"/>
      <c r="K62" s="2072"/>
      <c r="L62" s="2069"/>
      <c r="M62" s="2069"/>
      <c r="N62" s="2069"/>
      <c r="O62" s="2073"/>
      <c r="P62" s="2069"/>
      <c r="Q62" s="2069"/>
      <c r="R62" s="2074"/>
      <c r="S62" s="2075"/>
      <c r="T62" s="2075"/>
      <c r="U62" s="2076"/>
      <c r="AC62" s="2076"/>
      <c r="AD62" s="2015"/>
    </row>
    <row r="63" spans="2:30" s="1825" customFormat="1" ht="16.5" customHeight="1">
      <c r="B63" s="1826"/>
      <c r="C63" s="2077" t="s">
        <v>117</v>
      </c>
      <c r="D63" s="2078" t="s">
        <v>319</v>
      </c>
      <c r="E63" s="2069"/>
      <c r="F63" s="2070"/>
      <c r="G63" s="2071"/>
      <c r="H63" s="2071"/>
      <c r="I63" s="2069"/>
      <c r="J63" s="2072"/>
      <c r="K63" s="2072"/>
      <c r="L63" s="2069"/>
      <c r="M63" s="2069"/>
      <c r="N63" s="2069"/>
      <c r="O63" s="2073"/>
      <c r="P63" s="2069"/>
      <c r="Q63" s="2069"/>
      <c r="R63" s="2074"/>
      <c r="S63" s="2075"/>
      <c r="T63" s="2075"/>
      <c r="U63" s="2076"/>
      <c r="V63" s="1428"/>
      <c r="W63" s="1428"/>
      <c r="X63" s="1428"/>
      <c r="Y63" s="1428"/>
      <c r="Z63" s="1428"/>
      <c r="AA63" s="1428"/>
      <c r="AB63" s="1428"/>
      <c r="AC63" s="2076"/>
      <c r="AD63" s="2015"/>
    </row>
    <row r="64" spans="2:30" s="1825" customFormat="1" ht="16.5" customHeight="1">
      <c r="B64" s="1826"/>
      <c r="C64" s="2077"/>
      <c r="D64" s="2068"/>
      <c r="E64" s="2069"/>
      <c r="F64" s="2070"/>
      <c r="G64" s="2071"/>
      <c r="H64" s="2071"/>
      <c r="I64" s="2069"/>
      <c r="J64" s="2072"/>
      <c r="K64" s="2072"/>
      <c r="L64" s="2069"/>
      <c r="M64" s="2069"/>
      <c r="N64" s="2069"/>
      <c r="O64" s="2073"/>
      <c r="P64" s="2069"/>
      <c r="Q64" s="2069"/>
      <c r="R64" s="2069"/>
      <c r="S64" s="2074"/>
      <c r="T64" s="2075"/>
      <c r="U64" s="1428"/>
      <c r="V64" s="1428"/>
      <c r="W64" s="1428"/>
      <c r="X64" s="1428"/>
      <c r="Y64" s="1428"/>
      <c r="Z64" s="1428"/>
      <c r="AA64" s="1428"/>
      <c r="AB64" s="1428"/>
      <c r="AC64" s="1428"/>
      <c r="AD64" s="2015"/>
    </row>
    <row r="65" spans="1:30" ht="16.5" customHeight="1">
      <c r="A65" s="1825"/>
      <c r="B65" s="1826"/>
      <c r="C65" s="1830"/>
      <c r="D65" s="2079" t="s">
        <v>5</v>
      </c>
      <c r="E65" s="1930" t="s">
        <v>118</v>
      </c>
      <c r="F65" s="1930" t="s">
        <v>119</v>
      </c>
      <c r="G65" s="2080" t="s">
        <v>320</v>
      </c>
      <c r="H65" s="1931"/>
      <c r="I65" s="1930"/>
      <c r="L65" s="2081" t="s">
        <v>321</v>
      </c>
      <c r="Q65" s="2082"/>
      <c r="R65" s="2082"/>
      <c r="S65" s="1827"/>
      <c r="X65" s="1827"/>
      <c r="Y65" s="1827"/>
      <c r="Z65" s="1827"/>
      <c r="AA65" s="1827"/>
      <c r="AB65" s="1827"/>
      <c r="AC65" s="2083" t="s">
        <v>323</v>
      </c>
      <c r="AD65" s="2015"/>
    </row>
    <row r="66" spans="1:30" ht="16.5" customHeight="1">
      <c r="A66" s="1825"/>
      <c r="B66" s="1826"/>
      <c r="C66" s="1830"/>
      <c r="D66" s="1930" t="s">
        <v>448</v>
      </c>
      <c r="E66" s="1934">
        <v>386.15</v>
      </c>
      <c r="F66" s="2084">
        <v>500</v>
      </c>
      <c r="G66" s="2886">
        <f>E66*$F$19*$L$20/100</f>
        <v>1088843.8366799997</v>
      </c>
      <c r="H66" s="2887"/>
      <c r="I66" s="2887"/>
      <c r="J66" s="2887"/>
      <c r="L66" s="2085">
        <v>547084</v>
      </c>
      <c r="M66" s="1815"/>
      <c r="N66" s="1042" t="s">
        <v>477</v>
      </c>
      <c r="Q66" s="2082"/>
      <c r="R66" s="2082"/>
      <c r="S66" s="1827"/>
      <c r="X66" s="1827"/>
      <c r="Y66" s="1827"/>
      <c r="Z66" s="1827"/>
      <c r="AA66" s="1827"/>
      <c r="AB66" s="2086"/>
      <c r="AC66" s="2087">
        <f>L66+G66</f>
        <v>1635927.8366799997</v>
      </c>
      <c r="AD66" s="2015"/>
    </row>
    <row r="67" spans="1:31" s="2090" customFormat="1" ht="18.75">
      <c r="A67" s="1825"/>
      <c r="B67" s="1826"/>
      <c r="C67" s="1830"/>
      <c r="D67" s="2088" t="s">
        <v>449</v>
      </c>
      <c r="E67" s="1934">
        <v>280.7</v>
      </c>
      <c r="F67" s="2084">
        <v>500</v>
      </c>
      <c r="G67" s="2886">
        <f>E67*$F$19*$L$20/100</f>
        <v>791501.9162399998</v>
      </c>
      <c r="H67" s="2887"/>
      <c r="I67" s="2888"/>
      <c r="J67" s="2888"/>
      <c r="K67" s="1428"/>
      <c r="L67" s="2085">
        <v>474795</v>
      </c>
      <c r="M67" s="1815"/>
      <c r="N67" s="1042" t="s">
        <v>477</v>
      </c>
      <c r="O67" s="2089"/>
      <c r="P67" s="1428"/>
      <c r="Q67" s="2082"/>
      <c r="R67" s="2082"/>
      <c r="S67" s="1827"/>
      <c r="T67" s="1428"/>
      <c r="U67" s="1428"/>
      <c r="V67" s="1428"/>
      <c r="W67" s="1428"/>
      <c r="X67" s="1827"/>
      <c r="Y67" s="1827"/>
      <c r="Z67" s="1827"/>
      <c r="AA67" s="1827"/>
      <c r="AB67" s="1827"/>
      <c r="AC67" s="2087">
        <f>L67+G67</f>
        <v>1266296.9162399997</v>
      </c>
      <c r="AD67" s="2015"/>
      <c r="AE67" s="1428"/>
    </row>
    <row r="68" spans="1:30" ht="16.5" customHeight="1">
      <c r="A68" s="1825"/>
      <c r="B68" s="1826"/>
      <c r="C68" s="1830"/>
      <c r="D68" s="1825"/>
      <c r="E68" s="1835"/>
      <c r="F68" s="1930"/>
      <c r="G68" s="1931"/>
      <c r="I68" s="1930"/>
      <c r="J68" s="1930"/>
      <c r="L68" s="2087"/>
      <c r="M68" s="2091"/>
      <c r="N68" s="2091"/>
      <c r="O68" s="2082"/>
      <c r="P68" s="2082"/>
      <c r="Q68" s="2082"/>
      <c r="R68" s="2082"/>
      <c r="S68" s="1827"/>
      <c r="X68" s="1827"/>
      <c r="Y68" s="1827"/>
      <c r="Z68" s="1827"/>
      <c r="AA68" s="1827"/>
      <c r="AB68" s="1827"/>
      <c r="AC68" s="2087"/>
      <c r="AD68" s="2015"/>
    </row>
    <row r="69" spans="1:30" ht="16.5" customHeight="1">
      <c r="A69" s="1825"/>
      <c r="B69" s="1826"/>
      <c r="C69" s="1830"/>
      <c r="D69" s="2079" t="s">
        <v>127</v>
      </c>
      <c r="E69" s="1930" t="s">
        <v>128</v>
      </c>
      <c r="F69" s="1930" t="s">
        <v>119</v>
      </c>
      <c r="G69" s="2080" t="s">
        <v>324</v>
      </c>
      <c r="I69" s="2092"/>
      <c r="J69" s="1930"/>
      <c r="L69" s="2081" t="s">
        <v>322</v>
      </c>
      <c r="M69" s="2092"/>
      <c r="N69" s="2091"/>
      <c r="O69" s="2082"/>
      <c r="P69" s="2082"/>
      <c r="Q69" s="2082"/>
      <c r="R69" s="2082"/>
      <c r="S69" s="2082"/>
      <c r="AC69" s="2087"/>
      <c r="AD69" s="2015"/>
    </row>
    <row r="70" spans="1:30" ht="15.75">
      <c r="A70" s="1825"/>
      <c r="B70" s="1826"/>
      <c r="C70" s="1830"/>
      <c r="D70" s="1930" t="s">
        <v>450</v>
      </c>
      <c r="E70" s="2084">
        <v>300</v>
      </c>
      <c r="F70" s="2084" t="s">
        <v>430</v>
      </c>
      <c r="G70" s="2886">
        <f>E70*F21*L20</f>
        <v>232631.99999999997</v>
      </c>
      <c r="H70" s="2887"/>
      <c r="I70" s="2887"/>
      <c r="J70" s="2888"/>
      <c r="L70" s="2093">
        <v>0</v>
      </c>
      <c r="M70" s="1815"/>
      <c r="N70" s="1042" t="s">
        <v>477</v>
      </c>
      <c r="O70" s="2094"/>
      <c r="P70" s="2094"/>
      <c r="Q70" s="2094"/>
      <c r="R70" s="2094"/>
      <c r="S70" s="2094"/>
      <c r="AC70" s="2095">
        <f>G70</f>
        <v>232631.99999999997</v>
      </c>
      <c r="AD70" s="2015"/>
    </row>
    <row r="71" spans="1:30" ht="15.75">
      <c r="A71" s="1825"/>
      <c r="B71" s="1826"/>
      <c r="C71" s="1830"/>
      <c r="D71" s="1930"/>
      <c r="E71" s="2084"/>
      <c r="F71" s="2084"/>
      <c r="G71" s="2093"/>
      <c r="H71" s="1815"/>
      <c r="I71" s="1815"/>
      <c r="J71" s="2085"/>
      <c r="L71" s="2085"/>
      <c r="M71" s="1815"/>
      <c r="N71" s="1042"/>
      <c r="O71" s="2094"/>
      <c r="P71" s="2094"/>
      <c r="Q71" s="2094"/>
      <c r="R71" s="2094"/>
      <c r="S71" s="2094"/>
      <c r="AC71" s="2095"/>
      <c r="AD71" s="2015"/>
    </row>
    <row r="72" spans="1:30" ht="15.75">
      <c r="A72" s="1825"/>
      <c r="B72" s="1826"/>
      <c r="C72" s="1830"/>
      <c r="D72" s="2079" t="s">
        <v>129</v>
      </c>
      <c r="E72" s="2096" t="s">
        <v>401</v>
      </c>
      <c r="F72" s="2096"/>
      <c r="G72" s="1930" t="s">
        <v>119</v>
      </c>
      <c r="I72" s="2092"/>
      <c r="J72" s="2080" t="s">
        <v>402</v>
      </c>
      <c r="L72" s="2081"/>
      <c r="M72" s="2092"/>
      <c r="N72" s="2091"/>
      <c r="O72" s="2082"/>
      <c r="P72" s="2082"/>
      <c r="Q72" s="2082"/>
      <c r="R72" s="2082"/>
      <c r="S72" s="2082"/>
      <c r="AC72" s="2087"/>
      <c r="AD72" s="2015"/>
    </row>
    <row r="73" spans="1:30" ht="15.75">
      <c r="A73" s="1825"/>
      <c r="B73" s="1826"/>
      <c r="C73" s="1830"/>
      <c r="D73" s="1930" t="s">
        <v>450</v>
      </c>
      <c r="E73" s="2097" t="s">
        <v>451</v>
      </c>
      <c r="F73" s="2098"/>
      <c r="G73" s="2084">
        <v>132</v>
      </c>
      <c r="H73" s="1815"/>
      <c r="I73" s="1815"/>
      <c r="J73" s="2093">
        <f>F22*L20</f>
        <v>123032.15999999999</v>
      </c>
      <c r="L73" s="2085"/>
      <c r="M73" s="1815"/>
      <c r="N73" s="1042"/>
      <c r="O73" s="2094"/>
      <c r="P73" s="2094"/>
      <c r="Q73" s="2094"/>
      <c r="R73" s="2094"/>
      <c r="S73" s="2094"/>
      <c r="AC73" s="2095">
        <f>J73</f>
        <v>123032.15999999999</v>
      </c>
      <c r="AD73" s="2015"/>
    </row>
    <row r="74" spans="1:30" ht="15.75">
      <c r="A74" s="1825"/>
      <c r="B74" s="1826"/>
      <c r="C74" s="1830"/>
      <c r="D74" s="1930" t="s">
        <v>450</v>
      </c>
      <c r="E74" s="2097" t="s">
        <v>452</v>
      </c>
      <c r="F74" s="2098"/>
      <c r="G74" s="2084">
        <v>132</v>
      </c>
      <c r="H74" s="1815"/>
      <c r="I74" s="1815"/>
      <c r="J74" s="2093">
        <f>F22*L20</f>
        <v>123032.15999999999</v>
      </c>
      <c r="L74" s="2085"/>
      <c r="M74" s="1815"/>
      <c r="N74" s="1042"/>
      <c r="O74" s="2094"/>
      <c r="P74" s="2094"/>
      <c r="Q74" s="2094"/>
      <c r="R74" s="2094"/>
      <c r="S74" s="2094"/>
      <c r="AC74" s="2099">
        <f>J74</f>
        <v>123032.15999999999</v>
      </c>
      <c r="AD74" s="2015"/>
    </row>
    <row r="75" spans="1:30" ht="9" customHeight="1" thickBot="1">
      <c r="A75" s="1825"/>
      <c r="B75" s="1826"/>
      <c r="C75" s="1830"/>
      <c r="D75" s="1930"/>
      <c r="E75" s="2097"/>
      <c r="F75" s="2098"/>
      <c r="G75" s="2084"/>
      <c r="H75" s="1815"/>
      <c r="I75" s="1815"/>
      <c r="J75" s="2093"/>
      <c r="L75" s="2085"/>
      <c r="M75" s="1815"/>
      <c r="N75" s="1042"/>
      <c r="O75" s="2094"/>
      <c r="P75" s="2094"/>
      <c r="Q75" s="2094"/>
      <c r="R75" s="2094"/>
      <c r="S75" s="2094"/>
      <c r="AC75" s="2095"/>
      <c r="AD75" s="2015"/>
    </row>
    <row r="76" spans="1:30" ht="18.75" customHeight="1" thickBot="1" thickTop="1">
      <c r="A76" s="1825"/>
      <c r="B76" s="1826"/>
      <c r="C76" s="1830"/>
      <c r="D76" s="2072"/>
      <c r="E76" s="1835"/>
      <c r="F76" s="1930"/>
      <c r="G76" s="1930"/>
      <c r="H76" s="1931"/>
      <c r="J76" s="1930"/>
      <c r="L76" s="2100"/>
      <c r="M76" s="2091"/>
      <c r="N76" s="2091"/>
      <c r="O76" s="2082"/>
      <c r="P76" s="2082"/>
      <c r="Q76" s="2082"/>
      <c r="R76" s="2082"/>
      <c r="S76" s="2082"/>
      <c r="AB76" s="2101" t="s">
        <v>453</v>
      </c>
      <c r="AC76" s="2102">
        <f>SUM(AC66:AC74)</f>
        <v>3380921.0729199997</v>
      </c>
      <c r="AD76" s="2015"/>
    </row>
    <row r="77" spans="1:30" ht="16.5" thickTop="1">
      <c r="A77" s="1825"/>
      <c r="B77" s="1826"/>
      <c r="C77" s="2077" t="s">
        <v>122</v>
      </c>
      <c r="D77" s="2103" t="s">
        <v>123</v>
      </c>
      <c r="E77" s="1930"/>
      <c r="F77" s="2104"/>
      <c r="G77" s="1929"/>
      <c r="H77" s="2072"/>
      <c r="I77" s="2072"/>
      <c r="J77" s="2072"/>
      <c r="K77" s="1930"/>
      <c r="L77" s="1930"/>
      <c r="M77" s="2072"/>
      <c r="N77" s="1930"/>
      <c r="O77" s="2072"/>
      <c r="P77" s="2072"/>
      <c r="Q77" s="2072"/>
      <c r="R77" s="2072"/>
      <c r="S77" s="2072"/>
      <c r="T77" s="2072"/>
      <c r="U77" s="2072"/>
      <c r="AC77" s="2072"/>
      <c r="AD77" s="2015"/>
    </row>
    <row r="78" spans="1:30" ht="16.5" thickBot="1">
      <c r="A78" s="1825"/>
      <c r="B78" s="1826"/>
      <c r="C78" s="1830"/>
      <c r="D78" s="2079" t="s">
        <v>124</v>
      </c>
      <c r="E78" s="2105">
        <f>10*K61*K27/AC76</f>
        <v>170.4057988068603</v>
      </c>
      <c r="F78" s="1825"/>
      <c r="G78" s="1929"/>
      <c r="H78" s="1825"/>
      <c r="I78" s="1825"/>
      <c r="J78" s="1825"/>
      <c r="K78" s="1825"/>
      <c r="L78" s="1930"/>
      <c r="M78" s="1825"/>
      <c r="N78" s="1930"/>
      <c r="O78" s="1931"/>
      <c r="P78" s="1825"/>
      <c r="Q78" s="1825"/>
      <c r="R78" s="1825"/>
      <c r="S78" s="1825"/>
      <c r="T78" s="1825"/>
      <c r="U78" s="1825"/>
      <c r="X78" s="1825"/>
      <c r="Y78" s="1825"/>
      <c r="Z78" s="1825"/>
      <c r="AA78" s="1825"/>
      <c r="AB78" s="1825"/>
      <c r="AC78" s="1825"/>
      <c r="AD78" s="2015"/>
    </row>
    <row r="79" spans="1:30" ht="21" thickBot="1" thickTop="1">
      <c r="A79" s="1825"/>
      <c r="B79" s="1826"/>
      <c r="C79" s="1830"/>
      <c r="D79" s="1825"/>
      <c r="E79" s="2106"/>
      <c r="F79" s="1839"/>
      <c r="G79" s="1929"/>
      <c r="H79" s="1825"/>
      <c r="I79" s="1825"/>
      <c r="J79" s="1929"/>
      <c r="K79" s="1935"/>
      <c r="L79" s="1930"/>
      <c r="M79" s="1930"/>
      <c r="N79" s="1930"/>
      <c r="O79" s="1931"/>
      <c r="P79" s="1930"/>
      <c r="Q79" s="1930"/>
      <c r="R79" s="1934"/>
      <c r="S79" s="1934"/>
      <c r="T79" s="1934"/>
      <c r="U79" s="2107"/>
      <c r="X79" s="1825"/>
      <c r="Y79" s="1825"/>
      <c r="Z79" s="1825"/>
      <c r="AA79" s="1825"/>
      <c r="AB79" s="2101" t="s">
        <v>445</v>
      </c>
      <c r="AC79" s="2102">
        <v>1785793.5892000003</v>
      </c>
      <c r="AD79" s="2015"/>
    </row>
    <row r="80" spans="2:30" ht="16.5" thickTop="1">
      <c r="B80" s="1826"/>
      <c r="C80" s="1830"/>
      <c r="D80" s="2108"/>
      <c r="E80" s="2109"/>
      <c r="F80" s="1839"/>
      <c r="G80" s="1929"/>
      <c r="H80" s="2072"/>
      <c r="I80" s="2072"/>
      <c r="N80" s="1930"/>
      <c r="O80" s="1931"/>
      <c r="P80" s="1930"/>
      <c r="Q80" s="1930"/>
      <c r="R80" s="2092"/>
      <c r="S80" s="2092"/>
      <c r="T80" s="2092"/>
      <c r="U80" s="2091"/>
      <c r="AC80" s="2091"/>
      <c r="AD80" s="2015"/>
    </row>
    <row r="81" spans="2:30" ht="16.5" thickBot="1">
      <c r="B81" s="1826"/>
      <c r="C81" s="1830"/>
      <c r="D81" s="2108"/>
      <c r="E81" s="2109"/>
      <c r="F81" s="1839"/>
      <c r="G81" s="1929"/>
      <c r="H81" s="2072"/>
      <c r="I81" s="2072"/>
      <c r="N81" s="1930"/>
      <c r="O81" s="1931"/>
      <c r="P81" s="1930"/>
      <c r="Q81" s="1930"/>
      <c r="R81" s="2092"/>
      <c r="S81" s="2092"/>
      <c r="T81" s="2092"/>
      <c r="U81" s="2091"/>
      <c r="AC81" s="2091"/>
      <c r="AD81" s="2015"/>
    </row>
    <row r="82" spans="1:31" ht="24" thickBot="1" thickTop="1">
      <c r="A82" s="2090"/>
      <c r="B82" s="2110"/>
      <c r="C82" s="2111"/>
      <c r="D82" s="2889"/>
      <c r="E82" s="2889"/>
      <c r="F82" s="2889"/>
      <c r="G82" s="2113"/>
      <c r="H82" s="2090"/>
      <c r="J82" s="2114" t="s">
        <v>126</v>
      </c>
      <c r="K82" s="2115">
        <f>IF(E78&gt;3*K27,K27*3,E78)</f>
        <v>170.4057988068603</v>
      </c>
      <c r="L82" s="2111"/>
      <c r="M82" s="2112"/>
      <c r="N82" s="2112"/>
      <c r="O82" s="2116" t="s">
        <v>454</v>
      </c>
      <c r="P82" s="2117"/>
      <c r="Q82" s="2117"/>
      <c r="R82" s="2118"/>
      <c r="S82" s="2118"/>
      <c r="T82" s="2118"/>
      <c r="U82" s="2119"/>
      <c r="X82" s="2090"/>
      <c r="Y82" s="2090"/>
      <c r="Z82" s="2090"/>
      <c r="AA82" s="2090"/>
      <c r="AB82" s="2090"/>
      <c r="AC82" s="2119"/>
      <c r="AD82" s="2120"/>
      <c r="AE82" s="2090"/>
    </row>
    <row r="83" spans="2:30" ht="17.25" thickBot="1" thickTop="1">
      <c r="B83" s="2121"/>
      <c r="C83" s="2122"/>
      <c r="D83" s="2122"/>
      <c r="E83" s="2122"/>
      <c r="F83" s="2122"/>
      <c r="G83" s="2122"/>
      <c r="H83" s="2122"/>
      <c r="I83" s="2122"/>
      <c r="J83" s="2122"/>
      <c r="K83" s="2122"/>
      <c r="L83" s="2122"/>
      <c r="M83" s="2122"/>
      <c r="N83" s="2122"/>
      <c r="O83" s="2122"/>
      <c r="P83" s="2122"/>
      <c r="Q83" s="2122"/>
      <c r="R83" s="2122"/>
      <c r="S83" s="2122"/>
      <c r="T83" s="2122"/>
      <c r="U83" s="2122"/>
      <c r="V83" s="2123"/>
      <c r="W83" s="2123"/>
      <c r="X83" s="2123"/>
      <c r="Y83" s="2123"/>
      <c r="Z83" s="2123"/>
      <c r="AA83" s="2123"/>
      <c r="AB83" s="2123"/>
      <c r="AC83" s="2122"/>
      <c r="AD83" s="2124"/>
    </row>
    <row r="84" spans="2:23" ht="13.5" thickTop="1">
      <c r="B84" s="1822"/>
      <c r="C84" s="2125"/>
      <c r="W84" s="1822"/>
    </row>
  </sheetData>
  <sheetProtection password="CC12"/>
  <mergeCells count="28">
    <mergeCell ref="G70:J70"/>
    <mergeCell ref="D82:F82"/>
    <mergeCell ref="F56:G56"/>
    <mergeCell ref="P56:Q56"/>
    <mergeCell ref="F57:G57"/>
    <mergeCell ref="P57:Q57"/>
    <mergeCell ref="G66:J66"/>
    <mergeCell ref="G67:J67"/>
    <mergeCell ref="F49:G49"/>
    <mergeCell ref="O49:Q49"/>
    <mergeCell ref="F58:G58"/>
    <mergeCell ref="P58:Q58"/>
    <mergeCell ref="F51:G51"/>
    <mergeCell ref="O51:Q51"/>
    <mergeCell ref="F54:G54"/>
    <mergeCell ref="P54:Q54"/>
    <mergeCell ref="F55:G55"/>
    <mergeCell ref="P55:Q55"/>
    <mergeCell ref="F50:G50"/>
    <mergeCell ref="O50:Q50"/>
    <mergeCell ref="P41:Q41"/>
    <mergeCell ref="P42:Q42"/>
    <mergeCell ref="P43:Q43"/>
    <mergeCell ref="P44:Q44"/>
    <mergeCell ref="F47:G47"/>
    <mergeCell ref="O47:Q47"/>
    <mergeCell ref="F48:G48"/>
    <mergeCell ref="O48:Q48"/>
  </mergeCells>
  <printOptions horizontalCentered="1"/>
  <pageMargins left="0.24" right="0.25" top="0.35433070866141736" bottom="0.31496062992125984" header="0.2755905511811024" footer="0.1968503937007874"/>
  <pageSetup orientation="landscape" paperSize="9" scale="36" r:id="rId4"/>
  <headerFooter alignWithMargins="0">
    <oddFooter>&amp;L&amp;F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119"/>
  <sheetViews>
    <sheetView zoomScale="50" zoomScaleNormal="50" zoomScalePageLayoutView="0" workbookViewId="0" topLeftCell="A59">
      <selection activeCell="A6" sqref="A6"/>
    </sheetView>
  </sheetViews>
  <sheetFormatPr defaultColWidth="11.421875" defaultRowHeight="12.75"/>
  <cols>
    <col min="1" max="1" width="18.00390625" style="1079" customWidth="1"/>
    <col min="2" max="2" width="10.7109375" style="1079" customWidth="1"/>
    <col min="3" max="3" width="10.421875" style="1079" customWidth="1"/>
    <col min="4" max="4" width="52.8515625" style="1079" customWidth="1"/>
    <col min="5" max="5" width="18.00390625" style="1079" bestFit="1" customWidth="1"/>
    <col min="6" max="6" width="15.57421875" style="1079" customWidth="1"/>
    <col min="7" max="7" width="7.7109375" style="1079" hidden="1" customWidth="1"/>
    <col min="8" max="9" width="8.7109375" style="1079" customWidth="1"/>
    <col min="10" max="10" width="9.7109375" style="1079" bestFit="1" customWidth="1"/>
    <col min="11" max="20" width="8.7109375" style="1079" customWidth="1"/>
    <col min="21" max="21" width="10.7109375" style="1079" customWidth="1"/>
    <col min="22" max="16384" width="11.421875" style="1079" customWidth="1"/>
  </cols>
  <sheetData>
    <row r="1" spans="21:22" ht="45" customHeight="1">
      <c r="U1" s="2699"/>
      <c r="V1" s="2700"/>
    </row>
    <row r="2" spans="2:22" s="2701" customFormat="1" ht="26.25">
      <c r="B2" s="2702" t="str">
        <f>+'TOT-0614'!B2</f>
        <v>ANEXO I al Memorándum D.T.E.E. N°         347   / 2015</v>
      </c>
      <c r="C2" s="2702"/>
      <c r="D2" s="2702"/>
      <c r="E2" s="2702"/>
      <c r="F2" s="2702"/>
      <c r="G2" s="2702"/>
      <c r="H2" s="2702"/>
      <c r="I2" s="2702"/>
      <c r="J2" s="2702"/>
      <c r="K2" s="2702"/>
      <c r="L2" s="2702"/>
      <c r="M2" s="2702"/>
      <c r="N2" s="2702"/>
      <c r="O2" s="2702"/>
      <c r="P2" s="2702"/>
      <c r="Q2" s="2702"/>
      <c r="R2" s="2702"/>
      <c r="S2" s="2702"/>
      <c r="T2" s="2702"/>
      <c r="U2" s="2702"/>
      <c r="V2" s="2703"/>
    </row>
    <row r="3" spans="1:22" s="1088" customFormat="1" ht="11.25">
      <c r="A3" s="2387" t="s">
        <v>2</v>
      </c>
      <c r="B3" s="2704"/>
      <c r="U3" s="2705"/>
      <c r="V3" s="2705"/>
    </row>
    <row r="4" spans="1:22" s="1088" customFormat="1" ht="11.25">
      <c r="A4" s="2387" t="s">
        <v>3</v>
      </c>
      <c r="B4" s="2704"/>
      <c r="U4" s="2704"/>
      <c r="V4" s="2705"/>
    </row>
    <row r="5" spans="21:22" ht="9.75" customHeight="1">
      <c r="U5" s="2706"/>
      <c r="V5" s="2700"/>
    </row>
    <row r="6" spans="2:178" s="2707" customFormat="1" ht="23.25">
      <c r="B6" s="2708" t="s">
        <v>516</v>
      </c>
      <c r="C6" s="2708"/>
      <c r="D6" s="2709"/>
      <c r="E6" s="2708"/>
      <c r="F6" s="2708"/>
      <c r="G6" s="2708"/>
      <c r="H6" s="2708"/>
      <c r="I6" s="2708"/>
      <c r="J6" s="2708"/>
      <c r="K6" s="2708"/>
      <c r="L6" s="2708"/>
      <c r="M6" s="2708"/>
      <c r="N6" s="2708"/>
      <c r="O6" s="2708"/>
      <c r="P6" s="2708"/>
      <c r="Q6" s="2708"/>
      <c r="R6" s="2708"/>
      <c r="S6" s="2708"/>
      <c r="T6" s="2708"/>
      <c r="U6" s="2708"/>
      <c r="V6" s="2710"/>
      <c r="W6" s="2708"/>
      <c r="X6" s="2708"/>
      <c r="Y6" s="2708"/>
      <c r="Z6" s="2708"/>
      <c r="AA6" s="2708"/>
      <c r="AB6" s="2708"/>
      <c r="AC6" s="2708"/>
      <c r="AD6" s="2708"/>
      <c r="AE6" s="2708"/>
      <c r="AF6" s="2708"/>
      <c r="AG6" s="2708"/>
      <c r="AH6" s="2708"/>
      <c r="AI6" s="2708"/>
      <c r="AJ6" s="2708"/>
      <c r="AK6" s="2708"/>
      <c r="AL6" s="2708"/>
      <c r="AM6" s="2708"/>
      <c r="AN6" s="2708"/>
      <c r="AO6" s="2708"/>
      <c r="AP6" s="2708"/>
      <c r="AQ6" s="2708"/>
      <c r="AR6" s="2708"/>
      <c r="AS6" s="2708"/>
      <c r="AT6" s="2708"/>
      <c r="AU6" s="2708"/>
      <c r="AV6" s="2708"/>
      <c r="AW6" s="2708"/>
      <c r="AX6" s="2708"/>
      <c r="AY6" s="2708"/>
      <c r="AZ6" s="2708"/>
      <c r="BA6" s="2708"/>
      <c r="BB6" s="2708"/>
      <c r="BC6" s="2708"/>
      <c r="BD6" s="2708"/>
      <c r="BE6" s="2708"/>
      <c r="BF6" s="2708"/>
      <c r="BG6" s="2708"/>
      <c r="BH6" s="2708"/>
      <c r="BI6" s="2708"/>
      <c r="BJ6" s="2708"/>
      <c r="BK6" s="2708"/>
      <c r="BL6" s="2708"/>
      <c r="BM6" s="2708"/>
      <c r="BN6" s="2708"/>
      <c r="BO6" s="2708"/>
      <c r="BP6" s="2708"/>
      <c r="BQ6" s="2708"/>
      <c r="BR6" s="2708"/>
      <c r="BS6" s="2708"/>
      <c r="BT6" s="2708"/>
      <c r="BU6" s="2708"/>
      <c r="BV6" s="2708"/>
      <c r="BW6" s="2708"/>
      <c r="BX6" s="2708"/>
      <c r="BY6" s="2708"/>
      <c r="BZ6" s="2708"/>
      <c r="CA6" s="2708"/>
      <c r="CB6" s="2708"/>
      <c r="CC6" s="2708"/>
      <c r="CD6" s="2708"/>
      <c r="CE6" s="2708"/>
      <c r="CF6" s="2708"/>
      <c r="CG6" s="2708"/>
      <c r="CH6" s="2708"/>
      <c r="CI6" s="2708"/>
      <c r="CJ6" s="2708"/>
      <c r="CK6" s="2708"/>
      <c r="CL6" s="2708"/>
      <c r="CM6" s="2708"/>
      <c r="CN6" s="2708"/>
      <c r="CO6" s="2708"/>
      <c r="CP6" s="2708"/>
      <c r="CQ6" s="2708"/>
      <c r="CR6" s="2708"/>
      <c r="CS6" s="2708"/>
      <c r="CT6" s="2708"/>
      <c r="CU6" s="2708"/>
      <c r="CV6" s="2708"/>
      <c r="CW6" s="2708"/>
      <c r="CX6" s="2708"/>
      <c r="CY6" s="2708"/>
      <c r="CZ6" s="2708"/>
      <c r="DA6" s="2708"/>
      <c r="DB6" s="2708"/>
      <c r="DC6" s="2708"/>
      <c r="DD6" s="2708"/>
      <c r="DE6" s="2708"/>
      <c r="DF6" s="2708"/>
      <c r="DG6" s="2708"/>
      <c r="DH6" s="2708"/>
      <c r="DI6" s="2708"/>
      <c r="DJ6" s="2708"/>
      <c r="DK6" s="2708"/>
      <c r="DL6" s="2708"/>
      <c r="DM6" s="2708"/>
      <c r="DN6" s="2708"/>
      <c r="DO6" s="2708"/>
      <c r="DP6" s="2708"/>
      <c r="DQ6" s="2708"/>
      <c r="DR6" s="2708"/>
      <c r="DS6" s="2708"/>
      <c r="DT6" s="2708"/>
      <c r="DU6" s="2708"/>
      <c r="DV6" s="2708"/>
      <c r="DW6" s="2708"/>
      <c r="DX6" s="2708"/>
      <c r="DY6" s="2708"/>
      <c r="DZ6" s="2708"/>
      <c r="EA6" s="2708"/>
      <c r="EB6" s="2708"/>
      <c r="EC6" s="2708"/>
      <c r="ED6" s="2708"/>
      <c r="EE6" s="2708"/>
      <c r="EF6" s="2708"/>
      <c r="EG6" s="2708"/>
      <c r="EH6" s="2708"/>
      <c r="EI6" s="2708"/>
      <c r="EJ6" s="2708"/>
      <c r="EK6" s="2708"/>
      <c r="EL6" s="2708"/>
      <c r="EM6" s="2708"/>
      <c r="EN6" s="2708"/>
      <c r="EO6" s="2708"/>
      <c r="EP6" s="2708"/>
      <c r="EQ6" s="2708"/>
      <c r="ER6" s="2708"/>
      <c r="ES6" s="2708"/>
      <c r="ET6" s="2708"/>
      <c r="EU6" s="2708"/>
      <c r="EV6" s="2708"/>
      <c r="EW6" s="2708"/>
      <c r="EX6" s="2708"/>
      <c r="EY6" s="2708"/>
      <c r="EZ6" s="2708"/>
      <c r="FA6" s="2708"/>
      <c r="FB6" s="2708"/>
      <c r="FC6" s="2708"/>
      <c r="FD6" s="2708"/>
      <c r="FE6" s="2708"/>
      <c r="FF6" s="2708"/>
      <c r="FG6" s="2708"/>
      <c r="FH6" s="2708"/>
      <c r="FI6" s="2708"/>
      <c r="FJ6" s="2708"/>
      <c r="FK6" s="2708"/>
      <c r="FL6" s="2708"/>
      <c r="FM6" s="2708"/>
      <c r="FN6" s="2708"/>
      <c r="FO6" s="2708"/>
      <c r="FP6" s="2708"/>
      <c r="FQ6" s="2708"/>
      <c r="FR6" s="2708"/>
      <c r="FS6" s="2708"/>
      <c r="FT6" s="2708"/>
      <c r="FU6" s="2708"/>
      <c r="FV6" s="2708"/>
    </row>
    <row r="7" spans="2:178" s="1117" customFormat="1" ht="9.75" customHeight="1">
      <c r="B7" s="1329"/>
      <c r="C7" s="1329"/>
      <c r="D7" s="1329"/>
      <c r="E7" s="1329"/>
      <c r="F7" s="1329"/>
      <c r="G7" s="1329"/>
      <c r="H7" s="1329"/>
      <c r="I7" s="1329"/>
      <c r="J7" s="1329"/>
      <c r="K7" s="1329"/>
      <c r="L7" s="1329"/>
      <c r="M7" s="1329"/>
      <c r="N7" s="1329"/>
      <c r="O7" s="1329"/>
      <c r="P7" s="1329"/>
      <c r="Q7" s="1329"/>
      <c r="R7" s="1329"/>
      <c r="S7" s="1329"/>
      <c r="T7" s="1329"/>
      <c r="U7" s="1127"/>
      <c r="V7" s="1127"/>
      <c r="W7" s="1329"/>
      <c r="X7" s="1329"/>
      <c r="Y7" s="1329"/>
      <c r="Z7" s="1329"/>
      <c r="AA7" s="1329"/>
      <c r="AB7" s="1329"/>
      <c r="AC7" s="1329"/>
      <c r="AD7" s="1329"/>
      <c r="AE7" s="1329"/>
      <c r="AF7" s="1329"/>
      <c r="AG7" s="1329"/>
      <c r="AH7" s="1329"/>
      <c r="AI7" s="1329"/>
      <c r="AJ7" s="1329"/>
      <c r="AK7" s="1329"/>
      <c r="AL7" s="1329"/>
      <c r="AM7" s="1329"/>
      <c r="AN7" s="1329"/>
      <c r="AO7" s="1329"/>
      <c r="AP7" s="1329"/>
      <c r="AQ7" s="1329"/>
      <c r="AR7" s="1329"/>
      <c r="AS7" s="1329"/>
      <c r="AT7" s="1329"/>
      <c r="AU7" s="1329"/>
      <c r="AV7" s="1329"/>
      <c r="AW7" s="1329"/>
      <c r="AX7" s="1329"/>
      <c r="AY7" s="1329"/>
      <c r="AZ7" s="1329"/>
      <c r="BA7" s="1329"/>
      <c r="BB7" s="1329"/>
      <c r="BC7" s="1329"/>
      <c r="BD7" s="1329"/>
      <c r="BE7" s="1329"/>
      <c r="BF7" s="1329"/>
      <c r="BG7" s="1329"/>
      <c r="BH7" s="1329"/>
      <c r="BI7" s="1329"/>
      <c r="BJ7" s="1329"/>
      <c r="BK7" s="1329"/>
      <c r="BL7" s="1329"/>
      <c r="BM7" s="1329"/>
      <c r="BN7" s="1329"/>
      <c r="BO7" s="1329"/>
      <c r="BP7" s="1329"/>
      <c r="BQ7" s="1329"/>
      <c r="BR7" s="1329"/>
      <c r="BS7" s="1329"/>
      <c r="BT7" s="1329"/>
      <c r="BU7" s="1329"/>
      <c r="BV7" s="1329"/>
      <c r="BW7" s="1329"/>
      <c r="BX7" s="1329"/>
      <c r="BY7" s="1329"/>
      <c r="BZ7" s="1329"/>
      <c r="CA7" s="1329"/>
      <c r="CB7" s="1329"/>
      <c r="CC7" s="1329"/>
      <c r="CD7" s="1329"/>
      <c r="CE7" s="1329"/>
      <c r="CF7" s="1329"/>
      <c r="CG7" s="1329"/>
      <c r="CH7" s="1329"/>
      <c r="CI7" s="1329"/>
      <c r="CJ7" s="1329"/>
      <c r="CK7" s="1329"/>
      <c r="CL7" s="1329"/>
      <c r="CM7" s="1329"/>
      <c r="CN7" s="1329"/>
      <c r="CO7" s="1329"/>
      <c r="CP7" s="1329"/>
      <c r="CQ7" s="1329"/>
      <c r="CR7" s="1329"/>
      <c r="CS7" s="1329"/>
      <c r="CT7" s="1329"/>
      <c r="CU7" s="1329"/>
      <c r="CV7" s="1329"/>
      <c r="CW7" s="1329"/>
      <c r="CX7" s="1329"/>
      <c r="CY7" s="1329"/>
      <c r="CZ7" s="1329"/>
      <c r="DA7" s="1329"/>
      <c r="DB7" s="1329"/>
      <c r="DC7" s="1329"/>
      <c r="DD7" s="1329"/>
      <c r="DE7" s="1329"/>
      <c r="DF7" s="1329"/>
      <c r="DG7" s="1329"/>
      <c r="DH7" s="1329"/>
      <c r="DI7" s="1329"/>
      <c r="DJ7" s="1329"/>
      <c r="DK7" s="1329"/>
      <c r="DL7" s="1329"/>
      <c r="DM7" s="1329"/>
      <c r="DN7" s="1329"/>
      <c r="DO7" s="1329"/>
      <c r="DP7" s="1329"/>
      <c r="DQ7" s="1329"/>
      <c r="DR7" s="1329"/>
      <c r="DS7" s="1329"/>
      <c r="DT7" s="1329"/>
      <c r="DU7" s="1329"/>
      <c r="DV7" s="1329"/>
      <c r="DW7" s="1329"/>
      <c r="DX7" s="1329"/>
      <c r="DY7" s="1329"/>
      <c r="DZ7" s="1329"/>
      <c r="EA7" s="1329"/>
      <c r="EB7" s="1329"/>
      <c r="EC7" s="1329"/>
      <c r="ED7" s="1329"/>
      <c r="EE7" s="1329"/>
      <c r="EF7" s="1329"/>
      <c r="EG7" s="1329"/>
      <c r="EH7" s="1329"/>
      <c r="EI7" s="1329"/>
      <c r="EJ7" s="1329"/>
      <c r="EK7" s="1329"/>
      <c r="EL7" s="1329"/>
      <c r="EM7" s="1329"/>
      <c r="EN7" s="1329"/>
      <c r="EO7" s="1329"/>
      <c r="EP7" s="1329"/>
      <c r="EQ7" s="1329"/>
      <c r="ER7" s="1329"/>
      <c r="ES7" s="1329"/>
      <c r="ET7" s="1329"/>
      <c r="EU7" s="1329"/>
      <c r="EV7" s="1329"/>
      <c r="EW7" s="1329"/>
      <c r="EX7" s="1329"/>
      <c r="EY7" s="1329"/>
      <c r="EZ7" s="1329"/>
      <c r="FA7" s="1329"/>
      <c r="FB7" s="1329"/>
      <c r="FC7" s="1329"/>
      <c r="FD7" s="1329"/>
      <c r="FE7" s="1329"/>
      <c r="FF7" s="1329"/>
      <c r="FG7" s="1329"/>
      <c r="FH7" s="1329"/>
      <c r="FI7" s="1329"/>
      <c r="FJ7" s="1329"/>
      <c r="FK7" s="1329"/>
      <c r="FL7" s="1329"/>
      <c r="FM7" s="1329"/>
      <c r="FN7" s="1329"/>
      <c r="FO7" s="1329"/>
      <c r="FP7" s="1329"/>
      <c r="FQ7" s="1329"/>
      <c r="FR7" s="1329"/>
      <c r="FS7" s="1329"/>
      <c r="FT7" s="1329"/>
      <c r="FU7" s="1329"/>
      <c r="FV7" s="1329"/>
    </row>
    <row r="8" spans="2:178" s="2711" customFormat="1" ht="23.25">
      <c r="B8" s="2708" t="s">
        <v>1</v>
      </c>
      <c r="C8" s="2709"/>
      <c r="D8" s="2709"/>
      <c r="E8" s="2709"/>
      <c r="F8" s="2709"/>
      <c r="G8" s="2709"/>
      <c r="H8" s="2709"/>
      <c r="I8" s="2709"/>
      <c r="J8" s="2709"/>
      <c r="K8" s="2709"/>
      <c r="L8" s="2709"/>
      <c r="M8" s="2709"/>
      <c r="N8" s="2709"/>
      <c r="O8" s="2709"/>
      <c r="P8" s="2709"/>
      <c r="Q8" s="2709"/>
      <c r="R8" s="2709"/>
      <c r="S8" s="2709"/>
      <c r="T8" s="2709"/>
      <c r="U8" s="2709"/>
      <c r="V8" s="2712"/>
      <c r="W8" s="2709"/>
      <c r="X8" s="2709"/>
      <c r="Y8" s="2709"/>
      <c r="Z8" s="2709"/>
      <c r="AA8" s="2709"/>
      <c r="AB8" s="2709"/>
      <c r="AC8" s="2709"/>
      <c r="AD8" s="2709"/>
      <c r="AE8" s="2709"/>
      <c r="AF8" s="2709"/>
      <c r="AG8" s="2709"/>
      <c r="AH8" s="2709"/>
      <c r="AI8" s="2709"/>
      <c r="AJ8" s="2709"/>
      <c r="AK8" s="2709"/>
      <c r="AL8" s="2709"/>
      <c r="AM8" s="2709"/>
      <c r="AN8" s="2709"/>
      <c r="AO8" s="2709"/>
      <c r="AP8" s="2709"/>
      <c r="AQ8" s="2709"/>
      <c r="AR8" s="2709"/>
      <c r="AS8" s="2709"/>
      <c r="AT8" s="2709"/>
      <c r="AU8" s="2709"/>
      <c r="AV8" s="2709"/>
      <c r="AW8" s="2709"/>
      <c r="AX8" s="2709"/>
      <c r="AY8" s="2709"/>
      <c r="AZ8" s="2709"/>
      <c r="BA8" s="2709"/>
      <c r="BB8" s="2709"/>
      <c r="BC8" s="2709"/>
      <c r="BD8" s="2709"/>
      <c r="BE8" s="2709"/>
      <c r="BF8" s="2709"/>
      <c r="BG8" s="2709"/>
      <c r="BH8" s="2709"/>
      <c r="BI8" s="2709"/>
      <c r="BJ8" s="2709"/>
      <c r="BK8" s="2709"/>
      <c r="BL8" s="2709"/>
      <c r="BM8" s="2709"/>
      <c r="BN8" s="2709"/>
      <c r="BO8" s="2709"/>
      <c r="BP8" s="2709"/>
      <c r="BQ8" s="2709"/>
      <c r="BR8" s="2709"/>
      <c r="BS8" s="2709"/>
      <c r="BT8" s="2709"/>
      <c r="BU8" s="2709"/>
      <c r="BV8" s="2709"/>
      <c r="BW8" s="2709"/>
      <c r="BX8" s="2709"/>
      <c r="BY8" s="2709"/>
      <c r="BZ8" s="2709"/>
      <c r="CA8" s="2709"/>
      <c r="CB8" s="2709"/>
      <c r="CC8" s="2709"/>
      <c r="CD8" s="2709"/>
      <c r="CE8" s="2709"/>
      <c r="CF8" s="2709"/>
      <c r="CG8" s="2709"/>
      <c r="CH8" s="2709"/>
      <c r="CI8" s="2709"/>
      <c r="CJ8" s="2709"/>
      <c r="CK8" s="2709"/>
      <c r="CL8" s="2709"/>
      <c r="CM8" s="2709"/>
      <c r="CN8" s="2709"/>
      <c r="CO8" s="2709"/>
      <c r="CP8" s="2709"/>
      <c r="CQ8" s="2709"/>
      <c r="CR8" s="2709"/>
      <c r="CS8" s="2709"/>
      <c r="CT8" s="2709"/>
      <c r="CU8" s="2709"/>
      <c r="CV8" s="2709"/>
      <c r="CW8" s="2709"/>
      <c r="CX8" s="2709"/>
      <c r="CY8" s="2709"/>
      <c r="CZ8" s="2709"/>
      <c r="DA8" s="2709"/>
      <c r="DB8" s="2709"/>
      <c r="DC8" s="2709"/>
      <c r="DD8" s="2709"/>
      <c r="DE8" s="2709"/>
      <c r="DF8" s="2709"/>
      <c r="DG8" s="2709"/>
      <c r="DH8" s="2709"/>
      <c r="DI8" s="2709"/>
      <c r="DJ8" s="2709"/>
      <c r="DK8" s="2709"/>
      <c r="DL8" s="2709"/>
      <c r="DM8" s="2709"/>
      <c r="DN8" s="2709"/>
      <c r="DO8" s="2709"/>
      <c r="DP8" s="2709"/>
      <c r="DQ8" s="2709"/>
      <c r="DR8" s="2709"/>
      <c r="DS8" s="2709"/>
      <c r="DT8" s="2709"/>
      <c r="DU8" s="2709"/>
      <c r="DV8" s="2709"/>
      <c r="DW8" s="2709"/>
      <c r="DX8" s="2709"/>
      <c r="DY8" s="2709"/>
      <c r="DZ8" s="2709"/>
      <c r="EA8" s="2709"/>
      <c r="EB8" s="2709"/>
      <c r="EC8" s="2709"/>
      <c r="ED8" s="2709"/>
      <c r="EE8" s="2709"/>
      <c r="EF8" s="2709"/>
      <c r="EG8" s="2709"/>
      <c r="EH8" s="2709"/>
      <c r="EI8" s="2709"/>
      <c r="EJ8" s="2709"/>
      <c r="EK8" s="2709"/>
      <c r="EL8" s="2709"/>
      <c r="EM8" s="2709"/>
      <c r="EN8" s="2709"/>
      <c r="EO8" s="2709"/>
      <c r="EP8" s="2709"/>
      <c r="EQ8" s="2709"/>
      <c r="ER8" s="2709"/>
      <c r="ES8" s="2709"/>
      <c r="ET8" s="2709"/>
      <c r="EU8" s="2709"/>
      <c r="EV8" s="2709"/>
      <c r="EW8" s="2709"/>
      <c r="EX8" s="2709"/>
      <c r="EY8" s="2709"/>
      <c r="EZ8" s="2709"/>
      <c r="FA8" s="2709"/>
      <c r="FB8" s="2709"/>
      <c r="FC8" s="2709"/>
      <c r="FD8" s="2709"/>
      <c r="FE8" s="2709"/>
      <c r="FF8" s="2709"/>
      <c r="FG8" s="2709"/>
      <c r="FH8" s="2709"/>
      <c r="FI8" s="2709"/>
      <c r="FJ8" s="2709"/>
      <c r="FK8" s="2709"/>
      <c r="FL8" s="2709"/>
      <c r="FM8" s="2709"/>
      <c r="FN8" s="2709"/>
      <c r="FO8" s="2709"/>
      <c r="FP8" s="2709"/>
      <c r="FQ8" s="2709"/>
      <c r="FR8" s="2709"/>
      <c r="FS8" s="2709"/>
      <c r="FT8" s="2709"/>
      <c r="FU8" s="2709"/>
      <c r="FV8" s="2709"/>
    </row>
    <row r="9" spans="2:178" s="1117" customFormat="1" ht="9.75" customHeight="1">
      <c r="B9" s="1329"/>
      <c r="C9" s="1329"/>
      <c r="D9" s="1329"/>
      <c r="E9" s="1329"/>
      <c r="F9" s="1329"/>
      <c r="G9" s="1329"/>
      <c r="H9" s="1329"/>
      <c r="I9" s="1329"/>
      <c r="J9" s="1329"/>
      <c r="K9" s="1329"/>
      <c r="L9" s="1329"/>
      <c r="M9" s="1329"/>
      <c r="N9" s="1329"/>
      <c r="O9" s="1329"/>
      <c r="P9" s="1329"/>
      <c r="Q9" s="1329"/>
      <c r="R9" s="1329"/>
      <c r="S9" s="1329"/>
      <c r="T9" s="1329"/>
      <c r="U9" s="1127"/>
      <c r="V9" s="1127"/>
      <c r="W9" s="1329"/>
      <c r="X9" s="1329"/>
      <c r="Y9" s="1329"/>
      <c r="Z9" s="1329"/>
      <c r="AA9" s="1329"/>
      <c r="AB9" s="1329"/>
      <c r="AC9" s="1329"/>
      <c r="AD9" s="1329"/>
      <c r="AE9" s="1329"/>
      <c r="AF9" s="1329"/>
      <c r="AG9" s="1329"/>
      <c r="AH9" s="1329"/>
      <c r="AI9" s="1329"/>
      <c r="AJ9" s="1329"/>
      <c r="AK9" s="1329"/>
      <c r="AL9" s="1329"/>
      <c r="AM9" s="1329"/>
      <c r="AN9" s="1329"/>
      <c r="AO9" s="1329"/>
      <c r="AP9" s="1329"/>
      <c r="AQ9" s="1329"/>
      <c r="AR9" s="1329"/>
      <c r="AS9" s="1329"/>
      <c r="AT9" s="1329"/>
      <c r="AU9" s="1329"/>
      <c r="AV9" s="1329"/>
      <c r="AW9" s="1329"/>
      <c r="AX9" s="1329"/>
      <c r="AY9" s="1329"/>
      <c r="AZ9" s="1329"/>
      <c r="BA9" s="1329"/>
      <c r="BB9" s="1329"/>
      <c r="BC9" s="1329"/>
      <c r="BD9" s="1329"/>
      <c r="BE9" s="1329"/>
      <c r="BF9" s="1329"/>
      <c r="BG9" s="1329"/>
      <c r="BH9" s="1329"/>
      <c r="BI9" s="1329"/>
      <c r="BJ9" s="1329"/>
      <c r="BK9" s="1329"/>
      <c r="BL9" s="1329"/>
      <c r="BM9" s="1329"/>
      <c r="BN9" s="1329"/>
      <c r="BO9" s="1329"/>
      <c r="BP9" s="1329"/>
      <c r="BQ9" s="1329"/>
      <c r="BR9" s="1329"/>
      <c r="BS9" s="1329"/>
      <c r="BT9" s="1329"/>
      <c r="BU9" s="1329"/>
      <c r="BV9" s="1329"/>
      <c r="BW9" s="1329"/>
      <c r="BX9" s="1329"/>
      <c r="BY9" s="1329"/>
      <c r="BZ9" s="1329"/>
      <c r="CA9" s="1329"/>
      <c r="CB9" s="1329"/>
      <c r="CC9" s="1329"/>
      <c r="CD9" s="1329"/>
      <c r="CE9" s="1329"/>
      <c r="CF9" s="1329"/>
      <c r="CG9" s="1329"/>
      <c r="CH9" s="1329"/>
      <c r="CI9" s="1329"/>
      <c r="CJ9" s="1329"/>
      <c r="CK9" s="1329"/>
      <c r="CL9" s="1329"/>
      <c r="CM9" s="1329"/>
      <c r="CN9" s="1329"/>
      <c r="CO9" s="1329"/>
      <c r="CP9" s="1329"/>
      <c r="CQ9" s="1329"/>
      <c r="CR9" s="1329"/>
      <c r="CS9" s="1329"/>
      <c r="CT9" s="1329"/>
      <c r="CU9" s="1329"/>
      <c r="CV9" s="1329"/>
      <c r="CW9" s="1329"/>
      <c r="CX9" s="1329"/>
      <c r="CY9" s="1329"/>
      <c r="CZ9" s="1329"/>
      <c r="DA9" s="1329"/>
      <c r="DB9" s="1329"/>
      <c r="DC9" s="1329"/>
      <c r="DD9" s="1329"/>
      <c r="DE9" s="1329"/>
      <c r="DF9" s="1329"/>
      <c r="DG9" s="1329"/>
      <c r="DH9" s="1329"/>
      <c r="DI9" s="1329"/>
      <c r="DJ9" s="1329"/>
      <c r="DK9" s="1329"/>
      <c r="DL9" s="1329"/>
      <c r="DM9" s="1329"/>
      <c r="DN9" s="1329"/>
      <c r="DO9" s="1329"/>
      <c r="DP9" s="1329"/>
      <c r="DQ9" s="1329"/>
      <c r="DR9" s="1329"/>
      <c r="DS9" s="1329"/>
      <c r="DT9" s="1329"/>
      <c r="DU9" s="1329"/>
      <c r="DV9" s="1329"/>
      <c r="DW9" s="1329"/>
      <c r="DX9" s="1329"/>
      <c r="DY9" s="1329"/>
      <c r="DZ9" s="1329"/>
      <c r="EA9" s="1329"/>
      <c r="EB9" s="1329"/>
      <c r="EC9" s="1329"/>
      <c r="ED9" s="1329"/>
      <c r="EE9" s="1329"/>
      <c r="EF9" s="1329"/>
      <c r="EG9" s="1329"/>
      <c r="EH9" s="1329"/>
      <c r="EI9" s="1329"/>
      <c r="EJ9" s="1329"/>
      <c r="EK9" s="1329"/>
      <c r="EL9" s="1329"/>
      <c r="EM9" s="1329"/>
      <c r="EN9" s="1329"/>
      <c r="EO9" s="1329"/>
      <c r="EP9" s="1329"/>
      <c r="EQ9" s="1329"/>
      <c r="ER9" s="1329"/>
      <c r="ES9" s="1329"/>
      <c r="ET9" s="1329"/>
      <c r="EU9" s="1329"/>
      <c r="EV9" s="1329"/>
      <c r="EW9" s="1329"/>
      <c r="EX9" s="1329"/>
      <c r="EY9" s="1329"/>
      <c r="EZ9" s="1329"/>
      <c r="FA9" s="1329"/>
      <c r="FB9" s="1329"/>
      <c r="FC9" s="1329"/>
      <c r="FD9" s="1329"/>
      <c r="FE9" s="1329"/>
      <c r="FF9" s="1329"/>
      <c r="FG9" s="1329"/>
      <c r="FH9" s="1329"/>
      <c r="FI9" s="1329"/>
      <c r="FJ9" s="1329"/>
      <c r="FK9" s="1329"/>
      <c r="FL9" s="1329"/>
      <c r="FM9" s="1329"/>
      <c r="FN9" s="1329"/>
      <c r="FO9" s="1329"/>
      <c r="FP9" s="1329"/>
      <c r="FQ9" s="1329"/>
      <c r="FR9" s="1329"/>
      <c r="FS9" s="1329"/>
      <c r="FT9" s="1329"/>
      <c r="FU9" s="1329"/>
      <c r="FV9" s="1329"/>
    </row>
    <row r="10" spans="2:178" s="2711" customFormat="1" ht="23.25">
      <c r="B10" s="2708" t="s">
        <v>517</v>
      </c>
      <c r="C10" s="2709"/>
      <c r="D10" s="2709"/>
      <c r="E10" s="2709"/>
      <c r="F10" s="2709"/>
      <c r="G10" s="2709"/>
      <c r="H10" s="2709"/>
      <c r="I10" s="2709"/>
      <c r="J10" s="2709"/>
      <c r="K10" s="2709"/>
      <c r="L10" s="2709"/>
      <c r="M10" s="2709"/>
      <c r="N10" s="2709"/>
      <c r="O10" s="2709"/>
      <c r="P10" s="2709"/>
      <c r="Q10" s="2709"/>
      <c r="R10" s="2709"/>
      <c r="S10" s="2709"/>
      <c r="T10" s="2709"/>
      <c r="U10" s="2709"/>
      <c r="V10" s="2712"/>
      <c r="W10" s="2709"/>
      <c r="X10" s="2709"/>
      <c r="Y10" s="2709"/>
      <c r="Z10" s="2709"/>
      <c r="AA10" s="2709"/>
      <c r="AB10" s="2709"/>
      <c r="AC10" s="2709"/>
      <c r="AD10" s="2709"/>
      <c r="AE10" s="2709"/>
      <c r="AF10" s="2709"/>
      <c r="AG10" s="2709"/>
      <c r="AH10" s="2709"/>
      <c r="AI10" s="2709"/>
      <c r="AJ10" s="2709"/>
      <c r="AK10" s="2709"/>
      <c r="AL10" s="2709"/>
      <c r="AM10" s="2709"/>
      <c r="AN10" s="2709"/>
      <c r="AO10" s="2709"/>
      <c r="AP10" s="2709"/>
      <c r="AQ10" s="2709"/>
      <c r="AR10" s="2709"/>
      <c r="AS10" s="2709"/>
      <c r="AT10" s="2709"/>
      <c r="AU10" s="2709"/>
      <c r="AV10" s="2709"/>
      <c r="AW10" s="2709"/>
      <c r="AX10" s="2709"/>
      <c r="AY10" s="2709"/>
      <c r="AZ10" s="2709"/>
      <c r="BA10" s="2709"/>
      <c r="BB10" s="2709"/>
      <c r="BC10" s="2709"/>
      <c r="BD10" s="2709"/>
      <c r="BE10" s="2709"/>
      <c r="BF10" s="2709"/>
      <c r="BG10" s="2709"/>
      <c r="BH10" s="2709"/>
      <c r="BI10" s="2709"/>
      <c r="BJ10" s="2709"/>
      <c r="BK10" s="2709"/>
      <c r="BL10" s="2709"/>
      <c r="BM10" s="2709"/>
      <c r="BN10" s="2709"/>
      <c r="BO10" s="2709"/>
      <c r="BP10" s="2709"/>
      <c r="BQ10" s="2709"/>
      <c r="BR10" s="2709"/>
      <c r="BS10" s="2709"/>
      <c r="BT10" s="2709"/>
      <c r="BU10" s="2709"/>
      <c r="BV10" s="2709"/>
      <c r="BW10" s="2709"/>
      <c r="BX10" s="2709"/>
      <c r="BY10" s="2709"/>
      <c r="BZ10" s="2709"/>
      <c r="CA10" s="2709"/>
      <c r="CB10" s="2709"/>
      <c r="CC10" s="2709"/>
      <c r="CD10" s="2709"/>
      <c r="CE10" s="2709"/>
      <c r="CF10" s="2709"/>
      <c r="CG10" s="2709"/>
      <c r="CH10" s="2709"/>
      <c r="CI10" s="2709"/>
      <c r="CJ10" s="2709"/>
      <c r="CK10" s="2709"/>
      <c r="CL10" s="2709"/>
      <c r="CM10" s="2709"/>
      <c r="CN10" s="2709"/>
      <c r="CO10" s="2709"/>
      <c r="CP10" s="2709"/>
      <c r="CQ10" s="2709"/>
      <c r="CR10" s="2709"/>
      <c r="CS10" s="2709"/>
      <c r="CT10" s="2709"/>
      <c r="CU10" s="2709"/>
      <c r="CV10" s="2709"/>
      <c r="CW10" s="2709"/>
      <c r="CX10" s="2709"/>
      <c r="CY10" s="2709"/>
      <c r="CZ10" s="2709"/>
      <c r="DA10" s="2709"/>
      <c r="DB10" s="2709"/>
      <c r="DC10" s="2709"/>
      <c r="DD10" s="2709"/>
      <c r="DE10" s="2709"/>
      <c r="DF10" s="2709"/>
      <c r="DG10" s="2709"/>
      <c r="DH10" s="2709"/>
      <c r="DI10" s="2709"/>
      <c r="DJ10" s="2709"/>
      <c r="DK10" s="2709"/>
      <c r="DL10" s="2709"/>
      <c r="DM10" s="2709"/>
      <c r="DN10" s="2709"/>
      <c r="DO10" s="2709"/>
      <c r="DP10" s="2709"/>
      <c r="DQ10" s="2709"/>
      <c r="DR10" s="2709"/>
      <c r="DS10" s="2709"/>
      <c r="DT10" s="2709"/>
      <c r="DU10" s="2709"/>
      <c r="DV10" s="2709"/>
      <c r="DW10" s="2709"/>
      <c r="DX10" s="2709"/>
      <c r="DY10" s="2709"/>
      <c r="DZ10" s="2709"/>
      <c r="EA10" s="2709"/>
      <c r="EB10" s="2709"/>
      <c r="EC10" s="2709"/>
      <c r="ED10" s="2709"/>
      <c r="EE10" s="2709"/>
      <c r="EF10" s="2709"/>
      <c r="EG10" s="2709"/>
      <c r="EH10" s="2709"/>
      <c r="EI10" s="2709"/>
      <c r="EJ10" s="2709"/>
      <c r="EK10" s="2709"/>
      <c r="EL10" s="2709"/>
      <c r="EM10" s="2709"/>
      <c r="EN10" s="2709"/>
      <c r="EO10" s="2709"/>
      <c r="EP10" s="2709"/>
      <c r="EQ10" s="2709"/>
      <c r="ER10" s="2709"/>
      <c r="ES10" s="2709"/>
      <c r="ET10" s="2709"/>
      <c r="EU10" s="2709"/>
      <c r="EV10" s="2709"/>
      <c r="EW10" s="2709"/>
      <c r="EX10" s="2709"/>
      <c r="EY10" s="2709"/>
      <c r="EZ10" s="2709"/>
      <c r="FA10" s="2709"/>
      <c r="FB10" s="2709"/>
      <c r="FC10" s="2709"/>
      <c r="FD10" s="2709"/>
      <c r="FE10" s="2709"/>
      <c r="FF10" s="2709"/>
      <c r="FG10" s="2709"/>
      <c r="FH10" s="2709"/>
      <c r="FI10" s="2709"/>
      <c r="FJ10" s="2709"/>
      <c r="FK10" s="2709"/>
      <c r="FL10" s="2709"/>
      <c r="FM10" s="2709"/>
      <c r="FN10" s="2709"/>
      <c r="FO10" s="2709"/>
      <c r="FP10" s="2709"/>
      <c r="FQ10" s="2709"/>
      <c r="FR10" s="2709"/>
      <c r="FS10" s="2709"/>
      <c r="FT10" s="2709"/>
      <c r="FU10" s="2709"/>
      <c r="FV10" s="2709"/>
    </row>
    <row r="11" spans="2:178" s="1117" customFormat="1" ht="9.75" customHeight="1" thickBot="1">
      <c r="B11" s="1329"/>
      <c r="C11" s="1329"/>
      <c r="D11" s="1329"/>
      <c r="E11" s="1329"/>
      <c r="F11" s="1329"/>
      <c r="G11" s="1329"/>
      <c r="H11" s="1329"/>
      <c r="I11" s="1329"/>
      <c r="J11" s="1329"/>
      <c r="K11" s="1329"/>
      <c r="L11" s="1329"/>
      <c r="M11" s="1329"/>
      <c r="N11" s="1329"/>
      <c r="O11" s="1329"/>
      <c r="P11" s="1329"/>
      <c r="Q11" s="1329"/>
      <c r="R11" s="1329"/>
      <c r="S11" s="1329"/>
      <c r="T11" s="1329"/>
      <c r="U11" s="1127"/>
      <c r="V11" s="1127"/>
      <c r="W11" s="1329"/>
      <c r="X11" s="1329"/>
      <c r="Y11" s="1329"/>
      <c r="Z11" s="1329"/>
      <c r="AA11" s="1329"/>
      <c r="AB11" s="1329"/>
      <c r="AC11" s="1329"/>
      <c r="AD11" s="1329"/>
      <c r="AE11" s="1329"/>
      <c r="AF11" s="1329"/>
      <c r="AG11" s="1329"/>
      <c r="AH11" s="1329"/>
      <c r="AI11" s="1329"/>
      <c r="AJ11" s="1329"/>
      <c r="AK11" s="1329"/>
      <c r="AL11" s="1329"/>
      <c r="AM11" s="1329"/>
      <c r="AN11" s="1329"/>
      <c r="AO11" s="1329"/>
      <c r="AP11" s="1329"/>
      <c r="AQ11" s="1329"/>
      <c r="AR11" s="1329"/>
      <c r="AS11" s="1329"/>
      <c r="AT11" s="1329"/>
      <c r="AU11" s="1329"/>
      <c r="AV11" s="1329"/>
      <c r="AW11" s="1329"/>
      <c r="AX11" s="1329"/>
      <c r="AY11" s="1329"/>
      <c r="AZ11" s="1329"/>
      <c r="BA11" s="1329"/>
      <c r="BB11" s="1329"/>
      <c r="BC11" s="1329"/>
      <c r="BD11" s="1329"/>
      <c r="BE11" s="1329"/>
      <c r="BF11" s="1329"/>
      <c r="BG11" s="1329"/>
      <c r="BH11" s="1329"/>
      <c r="BI11" s="1329"/>
      <c r="BJ11" s="1329"/>
      <c r="BK11" s="1329"/>
      <c r="BL11" s="1329"/>
      <c r="BM11" s="1329"/>
      <c r="BN11" s="1329"/>
      <c r="BO11" s="1329"/>
      <c r="BP11" s="1329"/>
      <c r="BQ11" s="1329"/>
      <c r="BR11" s="1329"/>
      <c r="BS11" s="1329"/>
      <c r="BT11" s="1329"/>
      <c r="BU11" s="1329"/>
      <c r="BV11" s="1329"/>
      <c r="BW11" s="1329"/>
      <c r="BX11" s="1329"/>
      <c r="BY11" s="1329"/>
      <c r="BZ11" s="1329"/>
      <c r="CA11" s="1329"/>
      <c r="CB11" s="1329"/>
      <c r="CC11" s="1329"/>
      <c r="CD11" s="1329"/>
      <c r="CE11" s="1329"/>
      <c r="CF11" s="1329"/>
      <c r="CG11" s="1329"/>
      <c r="CH11" s="1329"/>
      <c r="CI11" s="1329"/>
      <c r="CJ11" s="1329"/>
      <c r="CK11" s="1329"/>
      <c r="CL11" s="1329"/>
      <c r="CM11" s="1329"/>
      <c r="CN11" s="1329"/>
      <c r="CO11" s="1329"/>
      <c r="CP11" s="1329"/>
      <c r="CQ11" s="1329"/>
      <c r="CR11" s="1329"/>
      <c r="CS11" s="1329"/>
      <c r="CT11" s="1329"/>
      <c r="CU11" s="1329"/>
      <c r="CV11" s="1329"/>
      <c r="CW11" s="1329"/>
      <c r="CX11" s="1329"/>
      <c r="CY11" s="1329"/>
      <c r="CZ11" s="1329"/>
      <c r="DA11" s="1329"/>
      <c r="DB11" s="1329"/>
      <c r="DC11" s="1329"/>
      <c r="DD11" s="1329"/>
      <c r="DE11" s="1329"/>
      <c r="DF11" s="1329"/>
      <c r="DG11" s="1329"/>
      <c r="DH11" s="1329"/>
      <c r="DI11" s="1329"/>
      <c r="DJ11" s="1329"/>
      <c r="DK11" s="1329"/>
      <c r="DL11" s="1329"/>
      <c r="DM11" s="1329"/>
      <c r="DN11" s="1329"/>
      <c r="DO11" s="1329"/>
      <c r="DP11" s="1329"/>
      <c r="DQ11" s="1329"/>
      <c r="DR11" s="1329"/>
      <c r="DS11" s="1329"/>
      <c r="DT11" s="1329"/>
      <c r="DU11" s="1329"/>
      <c r="DV11" s="1329"/>
      <c r="DW11" s="1329"/>
      <c r="DX11" s="1329"/>
      <c r="DY11" s="1329"/>
      <c r="DZ11" s="1329"/>
      <c r="EA11" s="1329"/>
      <c r="EB11" s="1329"/>
      <c r="EC11" s="1329"/>
      <c r="ED11" s="1329"/>
      <c r="EE11" s="1329"/>
      <c r="EF11" s="1329"/>
      <c r="EG11" s="1329"/>
      <c r="EH11" s="1329"/>
      <c r="EI11" s="1329"/>
      <c r="EJ11" s="1329"/>
      <c r="EK11" s="1329"/>
      <c r="EL11" s="1329"/>
      <c r="EM11" s="1329"/>
      <c r="EN11" s="1329"/>
      <c r="EO11" s="1329"/>
      <c r="EP11" s="1329"/>
      <c r="EQ11" s="1329"/>
      <c r="ER11" s="1329"/>
      <c r="ES11" s="1329"/>
      <c r="ET11" s="1329"/>
      <c r="EU11" s="1329"/>
      <c r="EV11" s="1329"/>
      <c r="EW11" s="1329"/>
      <c r="EX11" s="1329"/>
      <c r="EY11" s="1329"/>
      <c r="EZ11" s="1329"/>
      <c r="FA11" s="1329"/>
      <c r="FB11" s="1329"/>
      <c r="FC11" s="1329"/>
      <c r="FD11" s="1329"/>
      <c r="FE11" s="1329"/>
      <c r="FF11" s="1329"/>
      <c r="FG11" s="1329"/>
      <c r="FH11" s="1329"/>
      <c r="FI11" s="1329"/>
      <c r="FJ11" s="1329"/>
      <c r="FK11" s="1329"/>
      <c r="FL11" s="1329"/>
      <c r="FM11" s="1329"/>
      <c r="FN11" s="1329"/>
      <c r="FO11" s="1329"/>
      <c r="FP11" s="1329"/>
      <c r="FQ11" s="1329"/>
      <c r="FR11" s="1329"/>
      <c r="FS11" s="1329"/>
      <c r="FT11" s="1329"/>
      <c r="FU11" s="1329"/>
      <c r="FV11" s="1329"/>
    </row>
    <row r="12" spans="2:177" s="1117" customFormat="1" ht="9.75" customHeight="1" thickTop="1">
      <c r="B12" s="2713"/>
      <c r="C12" s="2714"/>
      <c r="D12" s="2714"/>
      <c r="E12" s="2714"/>
      <c r="F12" s="2714"/>
      <c r="G12" s="2714"/>
      <c r="H12" s="2714"/>
      <c r="I12" s="2714"/>
      <c r="J12" s="2714"/>
      <c r="K12" s="2714"/>
      <c r="L12" s="2714"/>
      <c r="M12" s="2714"/>
      <c r="N12" s="2714"/>
      <c r="O12" s="2714"/>
      <c r="P12" s="2714"/>
      <c r="Q12" s="2714"/>
      <c r="R12" s="2714"/>
      <c r="S12" s="2714"/>
      <c r="T12" s="2714"/>
      <c r="U12" s="2715"/>
      <c r="V12" s="1329"/>
      <c r="W12" s="1329"/>
      <c r="X12" s="1329"/>
      <c r="Y12" s="1329"/>
      <c r="Z12" s="1329"/>
      <c r="AA12" s="1329"/>
      <c r="AB12" s="1329"/>
      <c r="AC12" s="1329"/>
      <c r="AD12" s="1329"/>
      <c r="AE12" s="1329"/>
      <c r="AF12" s="1329"/>
      <c r="AG12" s="1329"/>
      <c r="AH12" s="1329"/>
      <c r="AI12" s="1329"/>
      <c r="AJ12" s="1329"/>
      <c r="AK12" s="1329"/>
      <c r="AL12" s="1329"/>
      <c r="AM12" s="1329"/>
      <c r="AN12" s="1329"/>
      <c r="AO12" s="1329"/>
      <c r="AP12" s="1329"/>
      <c r="AQ12" s="1329"/>
      <c r="AR12" s="1329"/>
      <c r="AS12" s="1329"/>
      <c r="AT12" s="1329"/>
      <c r="AU12" s="1329"/>
      <c r="AV12" s="1329"/>
      <c r="AW12" s="1329"/>
      <c r="AX12" s="1329"/>
      <c r="AY12" s="1329"/>
      <c r="AZ12" s="1329"/>
      <c r="BA12" s="1329"/>
      <c r="BB12" s="1329"/>
      <c r="BC12" s="1329"/>
      <c r="BD12" s="1329"/>
      <c r="BE12" s="1329"/>
      <c r="BF12" s="1329"/>
      <c r="BG12" s="1329"/>
      <c r="BH12" s="1329"/>
      <c r="BI12" s="1329"/>
      <c r="BJ12" s="1329"/>
      <c r="BK12" s="1329"/>
      <c r="BL12" s="1329"/>
      <c r="BM12" s="1329"/>
      <c r="BN12" s="1329"/>
      <c r="BO12" s="1329"/>
      <c r="BP12" s="1329"/>
      <c r="BQ12" s="1329"/>
      <c r="BR12" s="1329"/>
      <c r="BS12" s="1329"/>
      <c r="BT12" s="1329"/>
      <c r="BU12" s="1329"/>
      <c r="BV12" s="1329"/>
      <c r="BW12" s="1329"/>
      <c r="BX12" s="1329"/>
      <c r="BY12" s="1329"/>
      <c r="BZ12" s="1329"/>
      <c r="CA12" s="1329"/>
      <c r="CB12" s="1329"/>
      <c r="CC12" s="1329"/>
      <c r="CD12" s="1329"/>
      <c r="CE12" s="1329"/>
      <c r="CF12" s="1329"/>
      <c r="CG12" s="1329"/>
      <c r="CH12" s="1329"/>
      <c r="CI12" s="1329"/>
      <c r="CJ12" s="1329"/>
      <c r="CK12" s="1329"/>
      <c r="CL12" s="1329"/>
      <c r="CM12" s="1329"/>
      <c r="CN12" s="1329"/>
      <c r="CO12" s="1329"/>
      <c r="CP12" s="1329"/>
      <c r="CQ12" s="1329"/>
      <c r="CR12" s="1329"/>
      <c r="CS12" s="1329"/>
      <c r="CT12" s="1329"/>
      <c r="CU12" s="1329"/>
      <c r="CV12" s="1329"/>
      <c r="CW12" s="1329"/>
      <c r="CX12" s="1329"/>
      <c r="CY12" s="1329"/>
      <c r="CZ12" s="1329"/>
      <c r="DA12" s="1329"/>
      <c r="DB12" s="1329"/>
      <c r="DC12" s="1329"/>
      <c r="DD12" s="1329"/>
      <c r="DE12" s="1329"/>
      <c r="DF12" s="1329"/>
      <c r="DG12" s="1329"/>
      <c r="DH12" s="1329"/>
      <c r="DI12" s="1329"/>
      <c r="DJ12" s="1329"/>
      <c r="DK12" s="1329"/>
      <c r="DL12" s="1329"/>
      <c r="DM12" s="1329"/>
      <c r="DN12" s="1329"/>
      <c r="DO12" s="1329"/>
      <c r="DP12" s="1329"/>
      <c r="DQ12" s="1329"/>
      <c r="DR12" s="1329"/>
      <c r="DS12" s="1329"/>
      <c r="DT12" s="1329"/>
      <c r="DU12" s="1329"/>
      <c r="DV12" s="1329"/>
      <c r="DW12" s="1329"/>
      <c r="DX12" s="1329"/>
      <c r="DY12" s="1329"/>
      <c r="DZ12" s="1329"/>
      <c r="EA12" s="1329"/>
      <c r="EB12" s="1329"/>
      <c r="EC12" s="1329"/>
      <c r="ED12" s="1329"/>
      <c r="EE12" s="1329"/>
      <c r="EF12" s="1329"/>
      <c r="EG12" s="1329"/>
      <c r="EH12" s="1329"/>
      <c r="EI12" s="1329"/>
      <c r="EJ12" s="1329"/>
      <c r="EK12" s="1329"/>
      <c r="EL12" s="1329"/>
      <c r="EM12" s="1329"/>
      <c r="EN12" s="1329"/>
      <c r="EO12" s="1329"/>
      <c r="EP12" s="1329"/>
      <c r="EQ12" s="1329"/>
      <c r="ER12" s="1329"/>
      <c r="ES12" s="1329"/>
      <c r="ET12" s="1329"/>
      <c r="EU12" s="1329"/>
      <c r="EV12" s="1329"/>
      <c r="EW12" s="1329"/>
      <c r="EX12" s="1329"/>
      <c r="EY12" s="1329"/>
      <c r="EZ12" s="1329"/>
      <c r="FA12" s="1329"/>
      <c r="FB12" s="1329"/>
      <c r="FC12" s="1329"/>
      <c r="FD12" s="1329"/>
      <c r="FE12" s="1329"/>
      <c r="FF12" s="1329"/>
      <c r="FG12" s="1329"/>
      <c r="FH12" s="1329"/>
      <c r="FI12" s="1329"/>
      <c r="FJ12" s="1329"/>
      <c r="FK12" s="1329"/>
      <c r="FL12" s="1329"/>
      <c r="FM12" s="1329"/>
      <c r="FN12" s="1329"/>
      <c r="FO12" s="1329"/>
      <c r="FP12" s="1329"/>
      <c r="FQ12" s="1329"/>
      <c r="FR12" s="1329"/>
      <c r="FS12" s="1329"/>
      <c r="FT12" s="1329"/>
      <c r="FU12" s="1329"/>
    </row>
    <row r="13" spans="2:177" s="1117" customFormat="1" ht="19.5">
      <c r="B13" s="1104" t="s">
        <v>524</v>
      </c>
      <c r="C13" s="2716"/>
      <c r="D13" s="2716"/>
      <c r="E13" s="2716"/>
      <c r="F13" s="2716"/>
      <c r="G13" s="2716"/>
      <c r="H13" s="2716"/>
      <c r="I13" s="2716"/>
      <c r="J13" s="2716"/>
      <c r="K13" s="2716"/>
      <c r="L13" s="2716"/>
      <c r="M13" s="2716"/>
      <c r="N13" s="2716"/>
      <c r="O13" s="2716"/>
      <c r="P13" s="2716"/>
      <c r="Q13" s="2716"/>
      <c r="R13" s="2716"/>
      <c r="S13" s="2716"/>
      <c r="T13" s="2716"/>
      <c r="U13" s="2717"/>
      <c r="V13" s="1329"/>
      <c r="W13" s="1329"/>
      <c r="X13" s="1329"/>
      <c r="Y13" s="1329"/>
      <c r="Z13" s="1329"/>
      <c r="AA13" s="1329"/>
      <c r="AB13" s="1329"/>
      <c r="AC13" s="1329"/>
      <c r="AD13" s="1329"/>
      <c r="AE13" s="1329"/>
      <c r="AF13" s="1329"/>
      <c r="AG13" s="1329"/>
      <c r="AH13" s="1329"/>
      <c r="AI13" s="1329"/>
      <c r="AJ13" s="1329"/>
      <c r="AK13" s="1329"/>
      <c r="AL13" s="1329"/>
      <c r="AM13" s="1329"/>
      <c r="AN13" s="1329"/>
      <c r="AO13" s="1329"/>
      <c r="AP13" s="1329"/>
      <c r="AQ13" s="1329"/>
      <c r="AR13" s="1329"/>
      <c r="AS13" s="1329"/>
      <c r="AT13" s="1329"/>
      <c r="AU13" s="1329"/>
      <c r="AV13" s="1329"/>
      <c r="AW13" s="1329"/>
      <c r="AX13" s="1329"/>
      <c r="AY13" s="1329"/>
      <c r="AZ13" s="1329"/>
      <c r="BA13" s="1329"/>
      <c r="BB13" s="1329"/>
      <c r="BC13" s="1329"/>
      <c r="BD13" s="1329"/>
      <c r="BE13" s="1329"/>
      <c r="BF13" s="1329"/>
      <c r="BG13" s="1329"/>
      <c r="BH13" s="1329"/>
      <c r="BI13" s="1329"/>
      <c r="BJ13" s="1329"/>
      <c r="BK13" s="1329"/>
      <c r="BL13" s="1329"/>
      <c r="BM13" s="1329"/>
      <c r="BN13" s="1329"/>
      <c r="BO13" s="1329"/>
      <c r="BP13" s="1329"/>
      <c r="BQ13" s="1329"/>
      <c r="BR13" s="1329"/>
      <c r="BS13" s="1329"/>
      <c r="BT13" s="1329"/>
      <c r="BU13" s="1329"/>
      <c r="BV13" s="1329"/>
      <c r="BW13" s="1329"/>
      <c r="BX13" s="1329"/>
      <c r="BY13" s="1329"/>
      <c r="BZ13" s="1329"/>
      <c r="CA13" s="1329"/>
      <c r="CB13" s="1329"/>
      <c r="CC13" s="1329"/>
      <c r="CD13" s="1329"/>
      <c r="CE13" s="1329"/>
      <c r="CF13" s="1329"/>
      <c r="CG13" s="1329"/>
      <c r="CH13" s="1329"/>
      <c r="CI13" s="1329"/>
      <c r="CJ13" s="1329"/>
      <c r="CK13" s="1329"/>
      <c r="CL13" s="1329"/>
      <c r="CM13" s="1329"/>
      <c r="CN13" s="1329"/>
      <c r="CO13" s="1329"/>
      <c r="CP13" s="1329"/>
      <c r="CQ13" s="1329"/>
      <c r="CR13" s="1329"/>
      <c r="CS13" s="1329"/>
      <c r="CT13" s="1329"/>
      <c r="CU13" s="1329"/>
      <c r="CV13" s="1329"/>
      <c r="CW13" s="1329"/>
      <c r="CX13" s="1329"/>
      <c r="CY13" s="1329"/>
      <c r="CZ13" s="1329"/>
      <c r="DA13" s="1329"/>
      <c r="DB13" s="1329"/>
      <c r="DC13" s="1329"/>
      <c r="DD13" s="1329"/>
      <c r="DE13" s="1329"/>
      <c r="DF13" s="1329"/>
      <c r="DG13" s="1329"/>
      <c r="DH13" s="1329"/>
      <c r="DI13" s="1329"/>
      <c r="DJ13" s="1329"/>
      <c r="DK13" s="1329"/>
      <c r="DL13" s="1329"/>
      <c r="DM13" s="1329"/>
      <c r="DN13" s="1329"/>
      <c r="DO13" s="1329"/>
      <c r="DP13" s="1329"/>
      <c r="DQ13" s="1329"/>
      <c r="DR13" s="1329"/>
      <c r="DS13" s="1329"/>
      <c r="DT13" s="1329"/>
      <c r="DU13" s="1329"/>
      <c r="DV13" s="1329"/>
      <c r="DW13" s="1329"/>
      <c r="DX13" s="1329"/>
      <c r="DY13" s="1329"/>
      <c r="DZ13" s="1329"/>
      <c r="EA13" s="1329"/>
      <c r="EB13" s="1329"/>
      <c r="EC13" s="1329"/>
      <c r="ED13" s="1329"/>
      <c r="EE13" s="1329"/>
      <c r="EF13" s="1329"/>
      <c r="EG13" s="1329"/>
      <c r="EH13" s="1329"/>
      <c r="EI13" s="1329"/>
      <c r="EJ13" s="1329"/>
      <c r="EK13" s="1329"/>
      <c r="EL13" s="1329"/>
      <c r="EM13" s="1329"/>
      <c r="EN13" s="1329"/>
      <c r="EO13" s="1329"/>
      <c r="EP13" s="1329"/>
      <c r="EQ13" s="1329"/>
      <c r="ER13" s="1329"/>
      <c r="ES13" s="1329"/>
      <c r="ET13" s="1329"/>
      <c r="EU13" s="1329"/>
      <c r="EV13" s="1329"/>
      <c r="EW13" s="1329"/>
      <c r="EX13" s="1329"/>
      <c r="EY13" s="1329"/>
      <c r="EZ13" s="1329"/>
      <c r="FA13" s="1329"/>
      <c r="FB13" s="1329"/>
      <c r="FC13" s="1329"/>
      <c r="FD13" s="1329"/>
      <c r="FE13" s="1329"/>
      <c r="FF13" s="1329"/>
      <c r="FG13" s="1329"/>
      <c r="FH13" s="1329"/>
      <c r="FI13" s="1329"/>
      <c r="FJ13" s="1329"/>
      <c r="FK13" s="1329"/>
      <c r="FL13" s="1329"/>
      <c r="FM13" s="1329"/>
      <c r="FN13" s="1329"/>
      <c r="FO13" s="1329"/>
      <c r="FP13" s="1329"/>
      <c r="FQ13" s="1329"/>
      <c r="FR13" s="1329"/>
      <c r="FS13" s="1329"/>
      <c r="FT13" s="1329"/>
      <c r="FU13" s="1329"/>
    </row>
    <row r="14" spans="2:21" s="1117" customFormat="1" ht="9.75" customHeight="1" thickBot="1">
      <c r="B14" s="1118"/>
      <c r="C14" s="1119"/>
      <c r="D14" s="1119"/>
      <c r="E14" s="1119"/>
      <c r="F14" s="1119"/>
      <c r="G14" s="1119"/>
      <c r="H14" s="1119"/>
      <c r="I14" s="1119"/>
      <c r="J14" s="1119"/>
      <c r="K14" s="1119"/>
      <c r="L14" s="1119"/>
      <c r="M14" s="1119"/>
      <c r="N14" s="1119"/>
      <c r="O14" s="1119"/>
      <c r="P14" s="1119"/>
      <c r="Q14" s="1119"/>
      <c r="R14" s="1119"/>
      <c r="S14" s="1119"/>
      <c r="T14" s="1119"/>
      <c r="U14" s="2718"/>
    </row>
    <row r="15" spans="2:21" s="2719" customFormat="1" ht="33.75" customHeight="1" thickBot="1" thickTop="1">
      <c r="B15" s="2720"/>
      <c r="C15" s="1250"/>
      <c r="D15" s="1250" t="s">
        <v>5</v>
      </c>
      <c r="E15" s="1172" t="s">
        <v>32</v>
      </c>
      <c r="F15" s="1172" t="s">
        <v>33</v>
      </c>
      <c r="G15" s="2721" t="s">
        <v>518</v>
      </c>
      <c r="H15" s="2721">
        <v>41426</v>
      </c>
      <c r="I15" s="2721">
        <v>41456</v>
      </c>
      <c r="J15" s="2721">
        <v>41487</v>
      </c>
      <c r="K15" s="2721">
        <v>41518</v>
      </c>
      <c r="L15" s="2721">
        <v>41548</v>
      </c>
      <c r="M15" s="2721">
        <v>41579</v>
      </c>
      <c r="N15" s="2721">
        <v>41609</v>
      </c>
      <c r="O15" s="2721">
        <v>41640</v>
      </c>
      <c r="P15" s="2721">
        <v>41671</v>
      </c>
      <c r="Q15" s="2721">
        <v>41699</v>
      </c>
      <c r="R15" s="2721">
        <v>41730</v>
      </c>
      <c r="S15" s="2721">
        <v>41760</v>
      </c>
      <c r="T15" s="2721">
        <v>41791</v>
      </c>
      <c r="U15" s="2722"/>
    </row>
    <row r="16" spans="2:21" s="2723" customFormat="1" ht="9.75" customHeight="1" thickTop="1">
      <c r="B16" s="2724"/>
      <c r="C16" s="2725"/>
      <c r="D16" s="2726"/>
      <c r="E16" s="2726"/>
      <c r="F16" s="2726"/>
      <c r="G16" s="2726"/>
      <c r="H16" s="2727"/>
      <c r="I16" s="2727"/>
      <c r="J16" s="2727"/>
      <c r="K16" s="2727"/>
      <c r="L16" s="2727"/>
      <c r="M16" s="2727"/>
      <c r="N16" s="2727"/>
      <c r="O16" s="2727"/>
      <c r="P16" s="2727"/>
      <c r="Q16" s="2727"/>
      <c r="R16" s="2727"/>
      <c r="S16" s="2727"/>
      <c r="T16" s="2728"/>
      <c r="U16" s="2729"/>
    </row>
    <row r="17" spans="2:21" s="2723" customFormat="1" ht="19.5" customHeight="1">
      <c r="B17" s="2724"/>
      <c r="C17" s="2730">
        <f>IF('[5]BASE'!C17=0,"",'[5]BASE'!C17)</f>
        <v>1</v>
      </c>
      <c r="D17" s="2730" t="str">
        <f>IF('[5]BASE'!D17=0,"",'[5]BASE'!D17)</f>
        <v>ABASTO - OLAVARRIA 1</v>
      </c>
      <c r="E17" s="2730">
        <f>IF('[5]BASE'!E17=0,"",'[5]BASE'!E17)</f>
        <v>500</v>
      </c>
      <c r="F17" s="2730">
        <f>IF('[5]BASE'!F17=0,"",'[5]BASE'!F17)</f>
        <v>291</v>
      </c>
      <c r="G17" s="2730" t="str">
        <f>IF('[6]BASE'!G17=0,"",'[6]BASE'!G17)</f>
        <v>B</v>
      </c>
      <c r="H17" s="2731">
        <f>IF('[5]BASE'!DR17=0,"",'[5]BASE'!DR17)</f>
      </c>
      <c r="I17" s="2731">
        <f>IF('[5]BASE'!DS17=0,"",'[5]BASE'!DS17)</f>
      </c>
      <c r="J17" s="2731">
        <f>IF('[5]BASE'!DT17=0,"",'[5]BASE'!DT17)</f>
      </c>
      <c r="K17" s="2731">
        <f>IF('[5]BASE'!DU17=0,"",'[5]BASE'!DU17)</f>
        <v>1</v>
      </c>
      <c r="L17" s="2731">
        <f>IF('[5]BASE'!DV17=0,"",'[5]BASE'!DV17)</f>
      </c>
      <c r="M17" s="2731">
        <f>IF('[5]BASE'!DW17=0,"",'[5]BASE'!DW17)</f>
        <v>3</v>
      </c>
      <c r="N17" s="2731">
        <f>IF('[5]BASE'!DX17=0,"",'[5]BASE'!DX17)</f>
      </c>
      <c r="O17" s="2731">
        <f>IF('[5]BASE'!DY17=0,"",'[5]BASE'!DY17)</f>
      </c>
      <c r="P17" s="2731">
        <f>IF('[5]BASE'!DZ17=0,"",'[5]BASE'!DZ17)</f>
      </c>
      <c r="Q17" s="2731">
        <f>IF('[5]BASE'!EA17=0,"",'[5]BASE'!EA17)</f>
      </c>
      <c r="R17" s="2731">
        <f>IF('[5]BASE'!EB17=0,"",'[5]BASE'!EB17)</f>
      </c>
      <c r="S17" s="2731">
        <f>IF('[5]BASE'!EC17=0,"",'[5]BASE'!EC17)</f>
      </c>
      <c r="T17" s="2732"/>
      <c r="U17" s="2729"/>
    </row>
    <row r="18" spans="2:21" s="2723" customFormat="1" ht="19.5" customHeight="1">
      <c r="B18" s="2724"/>
      <c r="C18" s="2730">
        <f>IF('[5]BASE'!C18=0,"",'[5]BASE'!C18)</f>
        <v>2</v>
      </c>
      <c r="D18" s="2730" t="str">
        <f>IF('[5]BASE'!D18=0,"",'[5]BASE'!D18)</f>
        <v>ABASTO - OLAVARRIA 2</v>
      </c>
      <c r="E18" s="2730">
        <f>IF('[5]BASE'!E18=0,"",'[5]BASE'!E18)</f>
        <v>500</v>
      </c>
      <c r="F18" s="2730">
        <f>IF('[5]BASE'!F18=0,"",'[5]BASE'!F18)</f>
        <v>301.9</v>
      </c>
      <c r="G18" s="2730" t="e">
        <f>IF('[6]BASE'!G18=0,"",'[6]BASE'!G18)</f>
        <v>#REF!</v>
      </c>
      <c r="H18" s="2731">
        <f>IF('[5]BASE'!DR18=0,"",'[5]BASE'!DR18)</f>
      </c>
      <c r="I18" s="2731">
        <f>IF('[5]BASE'!DS18=0,"",'[5]BASE'!DS18)</f>
      </c>
      <c r="J18" s="2731">
        <f>IF('[5]BASE'!DT18=0,"",'[5]BASE'!DT18)</f>
      </c>
      <c r="K18" s="2731">
        <f>IF('[5]BASE'!DU18=0,"",'[5]BASE'!DU18)</f>
      </c>
      <c r="L18" s="2731">
        <f>IF('[5]BASE'!DV18=0,"",'[5]BASE'!DV18)</f>
        <v>1</v>
      </c>
      <c r="M18" s="2731">
        <f>IF('[5]BASE'!DW18=0,"",'[5]BASE'!DW18)</f>
      </c>
      <c r="N18" s="2731">
        <f>IF('[5]BASE'!DX18=0,"",'[5]BASE'!DX18)</f>
      </c>
      <c r="O18" s="2731">
        <f>IF('[5]BASE'!DY18=0,"",'[5]BASE'!DY18)</f>
      </c>
      <c r="P18" s="2731">
        <f>IF('[5]BASE'!DZ18=0,"",'[5]BASE'!DZ18)</f>
      </c>
      <c r="Q18" s="2731">
        <f>IF('[5]BASE'!EA18=0,"",'[5]BASE'!EA18)</f>
      </c>
      <c r="R18" s="2731">
        <f>IF('[5]BASE'!EB18=0,"",'[5]BASE'!EB18)</f>
      </c>
      <c r="S18" s="2731">
        <f>IF('[5]BASE'!EC18=0,"",'[5]BASE'!EC18)</f>
      </c>
      <c r="T18" s="2732"/>
      <c r="U18" s="2729"/>
    </row>
    <row r="19" spans="2:21" s="2723" customFormat="1" ht="19.5" customHeight="1">
      <c r="B19" s="2724"/>
      <c r="C19" s="2730">
        <f>IF('[5]BASE'!C19=0,"",'[5]BASE'!C19)</f>
        <v>3</v>
      </c>
      <c r="D19" s="2730" t="str">
        <f>IF('[5]BASE'!D19=0,"",'[5]BASE'!D19)</f>
        <v>AGUA DEL CAJON - CHOCON OESTE</v>
      </c>
      <c r="E19" s="2730">
        <f>IF('[5]BASE'!E19=0,"",'[5]BASE'!E19)</f>
        <v>500</v>
      </c>
      <c r="F19" s="2730">
        <f>IF('[5]BASE'!F19=0,"",'[5]BASE'!F19)</f>
        <v>52</v>
      </c>
      <c r="G19" s="2730" t="e">
        <f>IF('[6]BASE'!G19=0,"",'[6]BASE'!G19)</f>
        <v>#REF!</v>
      </c>
      <c r="H19" s="2731">
        <f>IF('[5]BASE'!DR19=0,"",'[5]BASE'!DR19)</f>
      </c>
      <c r="I19" s="2731">
        <f>IF('[5]BASE'!DS19=0,"",'[5]BASE'!DS19)</f>
      </c>
      <c r="J19" s="2731">
        <f>IF('[5]BASE'!DT19=0,"",'[5]BASE'!DT19)</f>
      </c>
      <c r="K19" s="2731">
        <f>IF('[5]BASE'!DU19=0,"",'[5]BASE'!DU19)</f>
      </c>
      <c r="L19" s="2731">
        <f>IF('[5]BASE'!DV19=0,"",'[5]BASE'!DV19)</f>
      </c>
      <c r="M19" s="2731">
        <f>IF('[5]BASE'!DW19=0,"",'[5]BASE'!DW19)</f>
      </c>
      <c r="N19" s="2731">
        <f>IF('[5]BASE'!DX19=0,"",'[5]BASE'!DX19)</f>
      </c>
      <c r="O19" s="2731">
        <f>IF('[5]BASE'!DY19=0,"",'[5]BASE'!DY19)</f>
      </c>
      <c r="P19" s="2731">
        <f>IF('[5]BASE'!DZ19=0,"",'[5]BASE'!DZ19)</f>
      </c>
      <c r="Q19" s="2731">
        <f>IF('[5]BASE'!EA19=0,"",'[5]BASE'!EA19)</f>
      </c>
      <c r="R19" s="2731">
        <f>IF('[5]BASE'!EB19=0,"",'[5]BASE'!EB19)</f>
      </c>
      <c r="S19" s="2731">
        <f>IF('[5]BASE'!EC19=0,"",'[5]BASE'!EC19)</f>
      </c>
      <c r="T19" s="2732"/>
      <c r="U19" s="2729"/>
    </row>
    <row r="20" spans="2:21" s="2723" customFormat="1" ht="19.5" customHeight="1">
      <c r="B20" s="2724"/>
      <c r="C20" s="2730">
        <f>IF('[5]BASE'!C20=0,"",'[5]BASE'!C20)</f>
        <v>4</v>
      </c>
      <c r="D20" s="2730" t="str">
        <f>IF('[5]BASE'!D20=0,"",'[5]BASE'!D20)</f>
        <v>ALICURA - E.T. P.del A. 1 (5LG1)</v>
      </c>
      <c r="E20" s="2730">
        <f>IF('[5]BASE'!E20=0,"",'[5]BASE'!E20)</f>
        <v>500</v>
      </c>
      <c r="F20" s="2730">
        <f>IF('[5]BASE'!F20=0,"",'[5]BASE'!F20)</f>
        <v>76</v>
      </c>
      <c r="G20" s="2730" t="str">
        <f>IF('[6]BASE'!G20=0,"",'[6]BASE'!G20)</f>
        <v>C</v>
      </c>
      <c r="H20" s="2731">
        <f>IF('[5]BASE'!DR20=0,"",'[5]BASE'!DR20)</f>
      </c>
      <c r="I20" s="2731">
        <f>IF('[5]BASE'!DS20=0,"",'[5]BASE'!DS20)</f>
      </c>
      <c r="J20" s="2731">
        <f>IF('[5]BASE'!DT20=0,"",'[5]BASE'!DT20)</f>
      </c>
      <c r="K20" s="2731">
        <f>IF('[5]BASE'!DU20=0,"",'[5]BASE'!DU20)</f>
      </c>
      <c r="L20" s="2731">
        <f>IF('[5]BASE'!DV20=0,"",'[5]BASE'!DV20)</f>
      </c>
      <c r="M20" s="2731">
        <f>IF('[5]BASE'!DW20=0,"",'[5]BASE'!DW20)</f>
      </c>
      <c r="N20" s="2731">
        <f>IF('[5]BASE'!DX20=0,"",'[5]BASE'!DX20)</f>
      </c>
      <c r="O20" s="2731">
        <f>IF('[5]BASE'!DY20=0,"",'[5]BASE'!DY20)</f>
      </c>
      <c r="P20" s="2731">
        <f>IF('[5]BASE'!DZ20=0,"",'[5]BASE'!DZ20)</f>
      </c>
      <c r="Q20" s="2731">
        <f>IF('[5]BASE'!EA20=0,"",'[5]BASE'!EA20)</f>
      </c>
      <c r="R20" s="2731">
        <f>IF('[5]BASE'!EB20=0,"",'[5]BASE'!EB20)</f>
      </c>
      <c r="S20" s="2731">
        <f>IF('[5]BASE'!EC20=0,"",'[5]BASE'!EC20)</f>
      </c>
      <c r="T20" s="2732"/>
      <c r="U20" s="2729"/>
    </row>
    <row r="21" spans="2:21" s="2723" customFormat="1" ht="19.5" customHeight="1">
      <c r="B21" s="2724"/>
      <c r="C21" s="2730">
        <f>IF('[5]BASE'!C21=0,"",'[5]BASE'!C21)</f>
        <v>5</v>
      </c>
      <c r="D21" s="2730" t="str">
        <f>IF('[5]BASE'!D21=0,"",'[5]BASE'!D21)</f>
        <v>ALICURA - E.T. P.del A. 2 (5LG2)</v>
      </c>
      <c r="E21" s="2730">
        <f>IF('[5]BASE'!E21=0,"",'[5]BASE'!E21)</f>
        <v>500</v>
      </c>
      <c r="F21" s="2730">
        <f>IF('[5]BASE'!F21=0,"",'[5]BASE'!F21)</f>
        <v>76</v>
      </c>
      <c r="G21" s="2730" t="str">
        <f>IF('[6]BASE'!G21=0,"",'[6]BASE'!G21)</f>
        <v>C</v>
      </c>
      <c r="H21" s="2731">
        <f>IF('[5]BASE'!DR21=0,"",'[5]BASE'!DR21)</f>
        <v>1</v>
      </c>
      <c r="I21" s="2731">
        <f>IF('[5]BASE'!DS21=0,"",'[5]BASE'!DS21)</f>
      </c>
      <c r="J21" s="2731">
        <f>IF('[5]BASE'!DT21=0,"",'[5]BASE'!DT21)</f>
      </c>
      <c r="K21" s="2731">
        <f>IF('[5]BASE'!DU21=0,"",'[5]BASE'!DU21)</f>
      </c>
      <c r="L21" s="2731">
        <f>IF('[5]BASE'!DV21=0,"",'[5]BASE'!DV21)</f>
      </c>
      <c r="M21" s="2731">
        <f>IF('[5]BASE'!DW21=0,"",'[5]BASE'!DW21)</f>
      </c>
      <c r="N21" s="2731">
        <f>IF('[5]BASE'!DX21=0,"",'[5]BASE'!DX21)</f>
      </c>
      <c r="O21" s="2731">
        <f>IF('[5]BASE'!DY21=0,"",'[5]BASE'!DY21)</f>
      </c>
      <c r="P21" s="2731">
        <f>IF('[5]BASE'!DZ21=0,"",'[5]BASE'!DZ21)</f>
      </c>
      <c r="Q21" s="2731">
        <f>IF('[5]BASE'!EA21=0,"",'[5]BASE'!EA21)</f>
      </c>
      <c r="R21" s="2731">
        <f>IF('[5]BASE'!EB21=0,"",'[5]BASE'!EB21)</f>
      </c>
      <c r="S21" s="2731">
        <f>IF('[5]BASE'!EC21=0,"",'[5]BASE'!EC21)</f>
      </c>
      <c r="T21" s="2732"/>
      <c r="U21" s="2729"/>
    </row>
    <row r="22" spans="2:21" s="2723" customFormat="1" ht="19.5" customHeight="1">
      <c r="B22" s="2724"/>
      <c r="C22" s="2730">
        <f>IF('[5]BASE'!C22=0,"",'[5]BASE'!C22)</f>
        <v>6</v>
      </c>
      <c r="D22" s="2730" t="str">
        <f>IF('[5]BASE'!D22=0,"",'[5]BASE'!D22)</f>
        <v>ALMAFUERTE - EMBALSE </v>
      </c>
      <c r="E22" s="2730">
        <f>IF('[5]BASE'!E22=0,"",'[5]BASE'!E22)</f>
        <v>500</v>
      </c>
      <c r="F22" s="2730">
        <f>IF('[5]BASE'!F22=0,"",'[5]BASE'!F22)</f>
        <v>12</v>
      </c>
      <c r="G22" s="2730" t="str">
        <f>IF('[6]BASE'!G22=0,"",'[6]BASE'!G22)</f>
        <v>A</v>
      </c>
      <c r="H22" s="2731">
        <f>IF('[5]BASE'!DR22=0,"",'[5]BASE'!DR22)</f>
      </c>
      <c r="I22" s="2731">
        <f>IF('[5]BASE'!DS22=0,"",'[5]BASE'!DS22)</f>
      </c>
      <c r="J22" s="2731">
        <f>IF('[5]BASE'!DT22=0,"",'[5]BASE'!DT22)</f>
      </c>
      <c r="K22" s="2731">
        <f>IF('[5]BASE'!DU22=0,"",'[5]BASE'!DU22)</f>
      </c>
      <c r="L22" s="2731">
        <f>IF('[5]BASE'!DV22=0,"",'[5]BASE'!DV22)</f>
      </c>
      <c r="M22" s="2731">
        <f>IF('[5]BASE'!DW22=0,"",'[5]BASE'!DW22)</f>
      </c>
      <c r="N22" s="2731">
        <f>IF('[5]BASE'!DX22=0,"",'[5]BASE'!DX22)</f>
      </c>
      <c r="O22" s="2731">
        <f>IF('[5]BASE'!DY22=0,"",'[5]BASE'!DY22)</f>
      </c>
      <c r="P22" s="2731">
        <f>IF('[5]BASE'!DZ22=0,"",'[5]BASE'!DZ22)</f>
      </c>
      <c r="Q22" s="2731">
        <f>IF('[5]BASE'!EA22=0,"",'[5]BASE'!EA22)</f>
      </c>
      <c r="R22" s="2731">
        <f>IF('[5]BASE'!EB22=0,"",'[5]BASE'!EB22)</f>
      </c>
      <c r="S22" s="2731">
        <f>IF('[5]BASE'!EC22=0,"",'[5]BASE'!EC22)</f>
      </c>
      <c r="T22" s="2732"/>
      <c r="U22" s="2729"/>
    </row>
    <row r="23" spans="2:21" s="2723" customFormat="1" ht="19.5" customHeight="1">
      <c r="B23" s="2724"/>
      <c r="C23" s="2730">
        <f>IF('[5]BASE'!C23=0,"",'[5]BASE'!C23)</f>
        <v>7</v>
      </c>
      <c r="D23" s="2730" t="str">
        <f>IF('[5]BASE'!D23=0,"",'[5]BASE'!D23)</f>
        <v> ALMAFUERTE - ROSARIO OESTE</v>
      </c>
      <c r="E23" s="2730">
        <f>IF('[5]BASE'!E23=0,"",'[5]BASE'!E23)</f>
        <v>500</v>
      </c>
      <c r="F23" s="2730">
        <f>IF('[5]BASE'!F23=0,"",'[5]BASE'!F23)</f>
        <v>345</v>
      </c>
      <c r="G23" s="2730" t="str">
        <f>IF('[6]BASE'!G23=0,"",'[6]BASE'!G23)</f>
        <v>B</v>
      </c>
      <c r="H23" s="2731">
        <f>IF('[5]BASE'!DR23=0,"",'[5]BASE'!DR23)</f>
      </c>
      <c r="I23" s="2731">
        <f>IF('[5]BASE'!DS23=0,"",'[5]BASE'!DS23)</f>
      </c>
      <c r="J23" s="2731">
        <f>IF('[5]BASE'!DT23=0,"",'[5]BASE'!DT23)</f>
      </c>
      <c r="K23" s="2731">
        <f>IF('[5]BASE'!DU23=0,"",'[5]BASE'!DU23)</f>
      </c>
      <c r="L23" s="2731">
        <f>IF('[5]BASE'!DV23=0,"",'[5]BASE'!DV23)</f>
      </c>
      <c r="M23" s="2731">
        <f>IF('[5]BASE'!DW23=0,"",'[5]BASE'!DW23)</f>
      </c>
      <c r="N23" s="2731">
        <f>IF('[5]BASE'!DX23=0,"",'[5]BASE'!DX23)</f>
      </c>
      <c r="O23" s="2731">
        <f>IF('[5]BASE'!DY23=0,"",'[5]BASE'!DY23)</f>
        <v>1</v>
      </c>
      <c r="P23" s="2731">
        <f>IF('[5]BASE'!DZ23=0,"",'[5]BASE'!DZ23)</f>
      </c>
      <c r="Q23" s="2731">
        <f>IF('[5]BASE'!EA23=0,"",'[5]BASE'!EA23)</f>
        <v>1</v>
      </c>
      <c r="R23" s="2731">
        <f>IF('[5]BASE'!EB23=0,"",'[5]BASE'!EB23)</f>
      </c>
      <c r="S23" s="2731">
        <f>IF('[5]BASE'!EC23=0,"",'[5]BASE'!EC23)</f>
      </c>
      <c r="T23" s="2732"/>
      <c r="U23" s="2729"/>
    </row>
    <row r="24" spans="2:21" s="2723" customFormat="1" ht="19.5" customHeight="1">
      <c r="B24" s="2724"/>
      <c r="C24" s="2730">
        <f>IF('[5]BASE'!C24=0,"",'[5]BASE'!C24)</f>
        <v>8</v>
      </c>
      <c r="D24" s="2730" t="str">
        <f>IF('[5]BASE'!D24=0,"",'[5]BASE'!D24)</f>
        <v>BAHIA BLANCA - CHOELE CHOEL 1</v>
      </c>
      <c r="E24" s="2730">
        <f>IF('[5]BASE'!E24=0,"",'[5]BASE'!E24)</f>
        <v>500</v>
      </c>
      <c r="F24" s="2730">
        <f>IF('[5]BASE'!F24=0,"",'[5]BASE'!F24)</f>
        <v>346</v>
      </c>
      <c r="G24" s="2730" t="str">
        <f>IF('[6]BASE'!G24=0,"",'[6]BASE'!G24)</f>
        <v>B</v>
      </c>
      <c r="H24" s="2731">
        <f>IF('[5]BASE'!DR24=0,"",'[5]BASE'!DR24)</f>
        <v>1</v>
      </c>
      <c r="I24" s="2731">
        <f>IF('[5]BASE'!DS24=0,"",'[5]BASE'!DS24)</f>
      </c>
      <c r="J24" s="2731">
        <f>IF('[5]BASE'!DT24=0,"",'[5]BASE'!DT24)</f>
      </c>
      <c r="K24" s="2731">
        <f>IF('[5]BASE'!DU24=0,"",'[5]BASE'!DU24)</f>
      </c>
      <c r="L24" s="2731">
        <f>IF('[5]BASE'!DV24=0,"",'[5]BASE'!DV24)</f>
      </c>
      <c r="M24" s="2731">
        <f>IF('[5]BASE'!DW24=0,"",'[5]BASE'!DW24)</f>
      </c>
      <c r="N24" s="2731">
        <f>IF('[5]BASE'!DX24=0,"",'[5]BASE'!DX24)</f>
      </c>
      <c r="O24" s="2731">
        <f>IF('[5]BASE'!DY24=0,"",'[5]BASE'!DY24)</f>
      </c>
      <c r="P24" s="2731">
        <f>IF('[5]BASE'!DZ24=0,"",'[5]BASE'!DZ24)</f>
      </c>
      <c r="Q24" s="2731">
        <f>IF('[5]BASE'!EA24=0,"",'[5]BASE'!EA24)</f>
      </c>
      <c r="R24" s="2731">
        <f>IF('[5]BASE'!EB24=0,"",'[5]BASE'!EB24)</f>
      </c>
      <c r="S24" s="2731">
        <f>IF('[5]BASE'!EC24=0,"",'[5]BASE'!EC24)</f>
      </c>
      <c r="T24" s="2732"/>
      <c r="U24" s="2729"/>
    </row>
    <row r="25" spans="2:21" s="2723" customFormat="1" ht="19.5" customHeight="1">
      <c r="B25" s="2724"/>
      <c r="C25" s="2730">
        <f>IF('[5]BASE'!C25=0,"",'[5]BASE'!C25)</f>
        <v>9</v>
      </c>
      <c r="D25" s="2730" t="str">
        <f>IF('[5]BASE'!D25=0,"",'[5]BASE'!D25)</f>
        <v>BAHIA BLANCA - CHOELE CHOEL 2</v>
      </c>
      <c r="E25" s="2730">
        <f>IF('[5]BASE'!E25=0,"",'[5]BASE'!E25)</f>
        <v>500</v>
      </c>
      <c r="F25" s="2730">
        <f>IF('[5]BASE'!F25=0,"",'[5]BASE'!F25)</f>
        <v>348.4</v>
      </c>
      <c r="G25" s="2730" t="e">
        <f>IF('[6]BASE'!G25=0,"",'[6]BASE'!G25)</f>
        <v>#REF!</v>
      </c>
      <c r="H25" s="2731">
        <f>IF('[5]BASE'!DR25=0,"",'[5]BASE'!DR25)</f>
      </c>
      <c r="I25" s="2731">
        <f>IF('[5]BASE'!DS25=0,"",'[5]BASE'!DS25)</f>
      </c>
      <c r="J25" s="2731">
        <f>IF('[5]BASE'!DT25=0,"",'[5]BASE'!DT25)</f>
      </c>
      <c r="K25" s="2731">
        <f>IF('[5]BASE'!DU25=0,"",'[5]BASE'!DU25)</f>
      </c>
      <c r="L25" s="2731">
        <f>IF('[5]BASE'!DV25=0,"",'[5]BASE'!DV25)</f>
        <v>1</v>
      </c>
      <c r="M25" s="2731">
        <f>IF('[5]BASE'!DW25=0,"",'[5]BASE'!DW25)</f>
        <v>1</v>
      </c>
      <c r="N25" s="2731">
        <f>IF('[5]BASE'!DX25=0,"",'[5]BASE'!DX25)</f>
      </c>
      <c r="O25" s="2731">
        <f>IF('[5]BASE'!DY25=0,"",'[5]BASE'!DY25)</f>
      </c>
      <c r="P25" s="2731">
        <f>IF('[5]BASE'!DZ25=0,"",'[5]BASE'!DZ25)</f>
      </c>
      <c r="Q25" s="2731">
        <f>IF('[5]BASE'!EA25=0,"",'[5]BASE'!EA25)</f>
      </c>
      <c r="R25" s="2731">
        <f>IF('[5]BASE'!EB25=0,"",'[5]BASE'!EB25)</f>
      </c>
      <c r="S25" s="2731">
        <f>IF('[5]BASE'!EC25=0,"",'[5]BASE'!EC25)</f>
        <v>1</v>
      </c>
      <c r="T25" s="2732"/>
      <c r="U25" s="2729"/>
    </row>
    <row r="26" spans="2:21" s="2723" customFormat="1" ht="19.5" customHeight="1">
      <c r="B26" s="2724"/>
      <c r="C26" s="2730">
        <f>IF('[5]BASE'!C26=0,"",'[5]BASE'!C26)</f>
        <v>10</v>
      </c>
      <c r="D26" s="2730" t="str">
        <f>IF('[5]BASE'!D26=0,"",'[5]BASE'!D26)</f>
        <v>CERR. de la CTA - P.BAND. (A3)</v>
      </c>
      <c r="E26" s="2730">
        <f>IF('[5]BASE'!E26=0,"",'[5]BASE'!E26)</f>
        <v>500</v>
      </c>
      <c r="F26" s="2730">
        <f>IF('[5]BASE'!F26=0,"",'[5]BASE'!F26)</f>
        <v>27</v>
      </c>
      <c r="G26" s="2730" t="str">
        <f>IF('[6]BASE'!G26=0,"",'[6]BASE'!G26)</f>
        <v>C</v>
      </c>
      <c r="H26" s="2731">
        <f>IF('[5]BASE'!DR26=0,"",'[5]BASE'!DR26)</f>
      </c>
      <c r="I26" s="2731">
        <f>IF('[5]BASE'!DS26=0,"",'[5]BASE'!DS26)</f>
      </c>
      <c r="J26" s="2731">
        <f>IF('[5]BASE'!DT26=0,"",'[5]BASE'!DT26)</f>
      </c>
      <c r="K26" s="2731">
        <f>IF('[5]BASE'!DU26=0,"",'[5]BASE'!DU26)</f>
      </c>
      <c r="L26" s="2731">
        <f>IF('[5]BASE'!DV26=0,"",'[5]BASE'!DV26)</f>
      </c>
      <c r="M26" s="2731">
        <f>IF('[5]BASE'!DW26=0,"",'[5]BASE'!DW26)</f>
      </c>
      <c r="N26" s="2731">
        <f>IF('[5]BASE'!DX26=0,"",'[5]BASE'!DX26)</f>
      </c>
      <c r="O26" s="2731">
        <f>IF('[5]BASE'!DY26=0,"",'[5]BASE'!DY26)</f>
      </c>
      <c r="P26" s="2731">
        <f>IF('[5]BASE'!DZ26=0,"",'[5]BASE'!DZ26)</f>
      </c>
      <c r="Q26" s="2731">
        <f>IF('[5]BASE'!EA26=0,"",'[5]BASE'!EA26)</f>
      </c>
      <c r="R26" s="2731">
        <f>IF('[5]BASE'!EB26=0,"",'[5]BASE'!EB26)</f>
      </c>
      <c r="S26" s="2731">
        <f>IF('[5]BASE'!EC26=0,"",'[5]BASE'!EC26)</f>
      </c>
      <c r="T26" s="2732"/>
      <c r="U26" s="2729"/>
    </row>
    <row r="27" spans="2:21" s="2723" customFormat="1" ht="19.5" customHeight="1">
      <c r="B27" s="2724"/>
      <c r="C27" s="2730">
        <f>IF('[5]BASE'!C27=0,"",'[5]BASE'!C27)</f>
        <v>11</v>
      </c>
      <c r="D27" s="2730" t="str">
        <f>IF('[5]BASE'!D27=0,"",'[5]BASE'!D27)</f>
        <v>COLONIA ELIA - CAMPANA</v>
      </c>
      <c r="E27" s="2730">
        <f>IF('[5]BASE'!E27=0,"",'[5]BASE'!E27)</f>
        <v>500</v>
      </c>
      <c r="F27" s="2730">
        <f>IF('[5]BASE'!F27=0,"",'[5]BASE'!F27)</f>
        <v>194</v>
      </c>
      <c r="G27" s="2730" t="str">
        <f>IF('[6]BASE'!G27=0,"",'[6]BASE'!G27)</f>
        <v>C</v>
      </c>
      <c r="H27" s="2731">
        <f>IF('[5]BASE'!DR27=0,"",'[5]BASE'!DR27)</f>
      </c>
      <c r="I27" s="2731">
        <f>IF('[5]BASE'!DS27=0,"",'[5]BASE'!DS27)</f>
      </c>
      <c r="J27" s="2731">
        <f>IF('[5]BASE'!DT27=0,"",'[5]BASE'!DT27)</f>
        <v>1</v>
      </c>
      <c r="K27" s="2731">
        <f>IF('[5]BASE'!DU27=0,"",'[5]BASE'!DU27)</f>
      </c>
      <c r="L27" s="2731">
        <f>IF('[5]BASE'!DV27=0,"",'[5]BASE'!DV27)</f>
      </c>
      <c r="M27" s="2731">
        <f>IF('[5]BASE'!DW27=0,"",'[5]BASE'!DW27)</f>
      </c>
      <c r="N27" s="2731">
        <f>IF('[5]BASE'!DX27=0,"",'[5]BASE'!DX27)</f>
      </c>
      <c r="O27" s="2731">
        <f>IF('[5]BASE'!DY27=0,"",'[5]BASE'!DY27)</f>
      </c>
      <c r="P27" s="2731">
        <f>IF('[5]BASE'!DZ27=0,"",'[5]BASE'!DZ27)</f>
      </c>
      <c r="Q27" s="2731">
        <f>IF('[5]BASE'!EA27=0,"",'[5]BASE'!EA27)</f>
      </c>
      <c r="R27" s="2731">
        <f>IF('[5]BASE'!EB27=0,"",'[5]BASE'!EB27)</f>
      </c>
      <c r="S27" s="2731">
        <f>IF('[5]BASE'!EC27=0,"",'[5]BASE'!EC27)</f>
      </c>
      <c r="T27" s="2732"/>
      <c r="U27" s="2729"/>
    </row>
    <row r="28" spans="2:21" s="2723" customFormat="1" ht="19.5" customHeight="1">
      <c r="B28" s="2724"/>
      <c r="C28" s="2730">
        <f>IF('[5]BASE'!C28=0,"",'[5]BASE'!C28)</f>
        <v>12</v>
      </c>
      <c r="D28" s="2730" t="str">
        <f>IF('[5]BASE'!D28=0,"",'[5]BASE'!D28)</f>
        <v>CHO. W. - CHOELE CHOEL (5WH1)</v>
      </c>
      <c r="E28" s="2730">
        <f>IF('[5]BASE'!E28=0,"",'[5]BASE'!E28)</f>
        <v>500</v>
      </c>
      <c r="F28" s="2730">
        <f>IF('[5]BASE'!F28=0,"",'[5]BASE'!F28)</f>
        <v>269</v>
      </c>
      <c r="G28" s="2730" t="str">
        <f>IF('[6]BASE'!G28=0,"",'[6]BASE'!G28)</f>
        <v>B</v>
      </c>
      <c r="H28" s="2731">
        <f>IF('[5]BASE'!DR28=0,"",'[5]BASE'!DR28)</f>
      </c>
      <c r="I28" s="2731">
        <f>IF('[5]BASE'!DS28=0,"",'[5]BASE'!DS28)</f>
      </c>
      <c r="J28" s="2731">
        <f>IF('[5]BASE'!DT28=0,"",'[5]BASE'!DT28)</f>
      </c>
      <c r="K28" s="2731">
        <f>IF('[5]BASE'!DU28=0,"",'[5]BASE'!DU28)</f>
      </c>
      <c r="L28" s="2731">
        <f>IF('[5]BASE'!DV28=0,"",'[5]BASE'!DV28)</f>
      </c>
      <c r="M28" s="2731">
        <f>IF('[5]BASE'!DW28=0,"",'[5]BASE'!DW28)</f>
      </c>
      <c r="N28" s="2731">
        <f>IF('[5]BASE'!DX28=0,"",'[5]BASE'!DX28)</f>
      </c>
      <c r="O28" s="2731">
        <f>IF('[5]BASE'!DY28=0,"",'[5]BASE'!DY28)</f>
      </c>
      <c r="P28" s="2731">
        <f>IF('[5]BASE'!DZ28=0,"",'[5]BASE'!DZ28)</f>
      </c>
      <c r="Q28" s="2731">
        <f>IF('[5]BASE'!EA28=0,"",'[5]BASE'!EA28)</f>
      </c>
      <c r="R28" s="2731">
        <f>IF('[5]BASE'!EB28=0,"",'[5]BASE'!EB28)</f>
      </c>
      <c r="S28" s="2731">
        <f>IF('[5]BASE'!EC28=0,"",'[5]BASE'!EC28)</f>
      </c>
      <c r="T28" s="2732"/>
      <c r="U28" s="2729"/>
    </row>
    <row r="29" spans="2:21" s="2723" customFormat="1" ht="19.5" customHeight="1">
      <c r="B29" s="2724"/>
      <c r="C29" s="2730">
        <f>IF('[5]BASE'!C29=0,"",'[5]BASE'!C29)</f>
        <v>13</v>
      </c>
      <c r="D29" s="2730" t="str">
        <f>IF('[5]BASE'!D29=0,"",'[5]BASE'!D29)</f>
        <v>CHO.W. - CHO. 1 (5WC1)</v>
      </c>
      <c r="E29" s="2730">
        <f>IF('[5]BASE'!E29=0,"",'[5]BASE'!E29)</f>
        <v>500</v>
      </c>
      <c r="F29" s="2730">
        <f>IF('[5]BASE'!F29=0,"",'[5]BASE'!F29)</f>
        <v>4.5</v>
      </c>
      <c r="G29" s="2730" t="str">
        <f>IF('[6]BASE'!G29=0,"",'[6]BASE'!G29)</f>
        <v>C</v>
      </c>
      <c r="H29" s="2731">
        <f>IF('[5]BASE'!DR29=0,"",'[5]BASE'!DR29)</f>
      </c>
      <c r="I29" s="2731">
        <f>IF('[5]BASE'!DS29=0,"",'[5]BASE'!DS29)</f>
      </c>
      <c r="J29" s="2731">
        <f>IF('[5]BASE'!DT29=0,"",'[5]BASE'!DT29)</f>
      </c>
      <c r="K29" s="2731">
        <f>IF('[5]BASE'!DU29=0,"",'[5]BASE'!DU29)</f>
      </c>
      <c r="L29" s="2731">
        <f>IF('[5]BASE'!DV29=0,"",'[5]BASE'!DV29)</f>
      </c>
      <c r="M29" s="2731">
        <f>IF('[5]BASE'!DW29=0,"",'[5]BASE'!DW29)</f>
      </c>
      <c r="N29" s="2731">
        <f>IF('[5]BASE'!DX29=0,"",'[5]BASE'!DX29)</f>
      </c>
      <c r="O29" s="2731">
        <f>IF('[5]BASE'!DY29=0,"",'[5]BASE'!DY29)</f>
      </c>
      <c r="P29" s="2731">
        <f>IF('[5]BASE'!DZ29=0,"",'[5]BASE'!DZ29)</f>
      </c>
      <c r="Q29" s="2731">
        <f>IF('[5]BASE'!EA29=0,"",'[5]BASE'!EA29)</f>
      </c>
      <c r="R29" s="2731">
        <f>IF('[5]BASE'!EB29=0,"",'[5]BASE'!EB29)</f>
      </c>
      <c r="S29" s="2731">
        <f>IF('[5]BASE'!EC29=0,"",'[5]BASE'!EC29)</f>
      </c>
      <c r="T29" s="2732"/>
      <c r="U29" s="2729"/>
    </row>
    <row r="30" spans="2:21" s="2723" customFormat="1" ht="19.5" customHeight="1">
      <c r="B30" s="2724"/>
      <c r="C30" s="2730">
        <f>IF('[5]BASE'!C30=0,"",'[5]BASE'!C30)</f>
        <v>14</v>
      </c>
      <c r="D30" s="2730" t="str">
        <f>IF('[5]BASE'!D30=0,"",'[5]BASE'!D30)</f>
        <v>CHO.W. - CHO. 2 (5WC2)</v>
      </c>
      <c r="E30" s="2730">
        <f>IF('[5]BASE'!E30=0,"",'[5]BASE'!E30)</f>
        <v>500</v>
      </c>
      <c r="F30" s="2730">
        <f>IF('[5]BASE'!F30=0,"",'[5]BASE'!F30)</f>
        <v>4.5</v>
      </c>
      <c r="G30" s="2730" t="str">
        <f>IF('[6]BASE'!G30=0,"",'[6]BASE'!G30)</f>
        <v>C</v>
      </c>
      <c r="H30" s="2731">
        <f>IF('[5]BASE'!DR30=0,"",'[5]BASE'!DR30)</f>
      </c>
      <c r="I30" s="2731">
        <f>IF('[5]BASE'!DS30=0,"",'[5]BASE'!DS30)</f>
      </c>
      <c r="J30" s="2731">
        <f>IF('[5]BASE'!DT30=0,"",'[5]BASE'!DT30)</f>
      </c>
      <c r="K30" s="2731">
        <f>IF('[5]BASE'!DU30=0,"",'[5]BASE'!DU30)</f>
      </c>
      <c r="L30" s="2731">
        <f>IF('[5]BASE'!DV30=0,"",'[5]BASE'!DV30)</f>
      </c>
      <c r="M30" s="2731">
        <f>IF('[5]BASE'!DW30=0,"",'[5]BASE'!DW30)</f>
      </c>
      <c r="N30" s="2731">
        <f>IF('[5]BASE'!DX30=0,"",'[5]BASE'!DX30)</f>
      </c>
      <c r="O30" s="2731">
        <f>IF('[5]BASE'!DY30=0,"",'[5]BASE'!DY30)</f>
      </c>
      <c r="P30" s="2731">
        <f>IF('[5]BASE'!DZ30=0,"",'[5]BASE'!DZ30)</f>
      </c>
      <c r="Q30" s="2731">
        <f>IF('[5]BASE'!EA30=0,"",'[5]BASE'!EA30)</f>
      </c>
      <c r="R30" s="2731">
        <f>IF('[5]BASE'!EB30=0,"",'[5]BASE'!EB30)</f>
      </c>
      <c r="S30" s="2731">
        <f>IF('[5]BASE'!EC30=0,"",'[5]BASE'!EC30)</f>
      </c>
      <c r="T30" s="2732"/>
      <c r="U30" s="2729"/>
    </row>
    <row r="31" spans="2:21" s="2723" customFormat="1" ht="19.5" customHeight="1">
      <c r="B31" s="2724"/>
      <c r="C31" s="2730">
        <f>IF('[5]BASE'!C31=0,"",'[5]BASE'!C31)</f>
        <v>15</v>
      </c>
      <c r="D31" s="2730" t="str">
        <f>IF('[5]BASE'!D31=0,"",'[5]BASE'!D31)</f>
        <v>CHOCON - C.H. CHOCON 1</v>
      </c>
      <c r="E31" s="2730">
        <f>IF('[5]BASE'!E31=0,"",'[5]BASE'!E31)</f>
        <v>500</v>
      </c>
      <c r="F31" s="2730">
        <f>IF('[5]BASE'!F31=0,"",'[5]BASE'!F31)</f>
        <v>3</v>
      </c>
      <c r="G31" s="2730" t="str">
        <f>IF('[6]BASE'!G31=0,"",'[6]BASE'!G31)</f>
        <v>C</v>
      </c>
      <c r="H31" s="2731">
        <f>IF('[5]BASE'!DR31=0,"",'[5]BASE'!DR31)</f>
      </c>
      <c r="I31" s="2731">
        <f>IF('[5]BASE'!DS31=0,"",'[5]BASE'!DS31)</f>
      </c>
      <c r="J31" s="2731">
        <f>IF('[5]BASE'!DT31=0,"",'[5]BASE'!DT31)</f>
      </c>
      <c r="K31" s="2731">
        <f>IF('[5]BASE'!DU31=0,"",'[5]BASE'!DU31)</f>
      </c>
      <c r="L31" s="2731">
        <f>IF('[5]BASE'!DV31=0,"",'[5]BASE'!DV31)</f>
      </c>
      <c r="M31" s="2731">
        <f>IF('[5]BASE'!DW31=0,"",'[5]BASE'!DW31)</f>
      </c>
      <c r="N31" s="2731">
        <f>IF('[5]BASE'!DX31=0,"",'[5]BASE'!DX31)</f>
      </c>
      <c r="O31" s="2731">
        <f>IF('[5]BASE'!DY31=0,"",'[5]BASE'!DY31)</f>
      </c>
      <c r="P31" s="2731">
        <f>IF('[5]BASE'!DZ31=0,"",'[5]BASE'!DZ31)</f>
      </c>
      <c r="Q31" s="2731">
        <f>IF('[5]BASE'!EA31=0,"",'[5]BASE'!EA31)</f>
      </c>
      <c r="R31" s="2731">
        <f>IF('[5]BASE'!EB31=0,"",'[5]BASE'!EB31)</f>
      </c>
      <c r="S31" s="2731">
        <f>IF('[5]BASE'!EC31=0,"",'[5]BASE'!EC31)</f>
      </c>
      <c r="T31" s="2732"/>
      <c r="U31" s="2729"/>
    </row>
    <row r="32" spans="2:21" s="2723" customFormat="1" ht="19.5" customHeight="1">
      <c r="B32" s="2724"/>
      <c r="C32" s="2730">
        <f>IF('[5]BASE'!C32=0,"",'[5]BASE'!C32)</f>
        <v>16</v>
      </c>
      <c r="D32" s="2730" t="str">
        <f>IF('[5]BASE'!D32=0,"",'[5]BASE'!D32)</f>
        <v>CHOCON - C.H. CHOCON 2</v>
      </c>
      <c r="E32" s="2730">
        <f>IF('[5]BASE'!E32=0,"",'[5]BASE'!E32)</f>
        <v>500</v>
      </c>
      <c r="F32" s="2730">
        <f>IF('[5]BASE'!F32=0,"",'[5]BASE'!F32)</f>
        <v>3</v>
      </c>
      <c r="G32" s="2730" t="str">
        <f>IF('[6]BASE'!G32=0,"",'[6]BASE'!G32)</f>
        <v>C</v>
      </c>
      <c r="H32" s="2731">
        <f>IF('[5]BASE'!DR32=0,"",'[5]BASE'!DR32)</f>
      </c>
      <c r="I32" s="2731">
        <f>IF('[5]BASE'!DS32=0,"",'[5]BASE'!DS32)</f>
      </c>
      <c r="J32" s="2731">
        <f>IF('[5]BASE'!DT32=0,"",'[5]BASE'!DT32)</f>
      </c>
      <c r="K32" s="2731">
        <f>IF('[5]BASE'!DU32=0,"",'[5]BASE'!DU32)</f>
      </c>
      <c r="L32" s="2731">
        <f>IF('[5]BASE'!DV32=0,"",'[5]BASE'!DV32)</f>
      </c>
      <c r="M32" s="2731">
        <f>IF('[5]BASE'!DW32=0,"",'[5]BASE'!DW32)</f>
      </c>
      <c r="N32" s="2731">
        <f>IF('[5]BASE'!DX32=0,"",'[5]BASE'!DX32)</f>
      </c>
      <c r="O32" s="2731">
        <f>IF('[5]BASE'!DY32=0,"",'[5]BASE'!DY32)</f>
      </c>
      <c r="P32" s="2731">
        <f>IF('[5]BASE'!DZ32=0,"",'[5]BASE'!DZ32)</f>
      </c>
      <c r="Q32" s="2731">
        <f>IF('[5]BASE'!EA32=0,"",'[5]BASE'!EA32)</f>
      </c>
      <c r="R32" s="2731">
        <f>IF('[5]BASE'!EB32=0,"",'[5]BASE'!EB32)</f>
      </c>
      <c r="S32" s="2731">
        <f>IF('[5]BASE'!EC32=0,"",'[5]BASE'!EC32)</f>
      </c>
      <c r="T32" s="2732"/>
      <c r="U32" s="2729"/>
    </row>
    <row r="33" spans="2:21" s="2723" customFormat="1" ht="19.5" customHeight="1">
      <c r="B33" s="2724"/>
      <c r="C33" s="2730">
        <f>IF('[5]BASE'!C33=0,"",'[5]BASE'!C33)</f>
        <v>17</v>
      </c>
      <c r="D33" s="2730" t="str">
        <f>IF('[5]BASE'!D33=0,"",'[5]BASE'!D33)</f>
        <v>CHOCON - C.H. CHOCON 3</v>
      </c>
      <c r="E33" s="2730">
        <f>IF('[5]BASE'!E33=0,"",'[5]BASE'!E33)</f>
        <v>500</v>
      </c>
      <c r="F33" s="2730">
        <f>IF('[5]BASE'!F33=0,"",'[5]BASE'!F33)</f>
        <v>3</v>
      </c>
      <c r="G33" s="2730" t="str">
        <f>IF('[6]BASE'!G33=0,"",'[6]BASE'!G33)</f>
        <v>C</v>
      </c>
      <c r="H33" s="2731">
        <f>IF('[5]BASE'!DR33=0,"",'[5]BASE'!DR33)</f>
      </c>
      <c r="I33" s="2731">
        <f>IF('[5]BASE'!DS33=0,"",'[5]BASE'!DS33)</f>
      </c>
      <c r="J33" s="2731">
        <f>IF('[5]BASE'!DT33=0,"",'[5]BASE'!DT33)</f>
      </c>
      <c r="K33" s="2731">
        <f>IF('[5]BASE'!DU33=0,"",'[5]BASE'!DU33)</f>
      </c>
      <c r="L33" s="2731">
        <f>IF('[5]BASE'!DV33=0,"",'[5]BASE'!DV33)</f>
      </c>
      <c r="M33" s="2731">
        <f>IF('[5]BASE'!DW33=0,"",'[5]BASE'!DW33)</f>
      </c>
      <c r="N33" s="2731">
        <f>IF('[5]BASE'!DX33=0,"",'[5]BASE'!DX33)</f>
      </c>
      <c r="O33" s="2731">
        <f>IF('[5]BASE'!DY33=0,"",'[5]BASE'!DY33)</f>
      </c>
      <c r="P33" s="2731">
        <f>IF('[5]BASE'!DZ33=0,"",'[5]BASE'!DZ33)</f>
      </c>
      <c r="Q33" s="2731">
        <f>IF('[5]BASE'!EA33=0,"",'[5]BASE'!EA33)</f>
      </c>
      <c r="R33" s="2731">
        <f>IF('[5]BASE'!EB33=0,"",'[5]BASE'!EB33)</f>
      </c>
      <c r="S33" s="2731">
        <f>IF('[5]BASE'!EC33=0,"",'[5]BASE'!EC33)</f>
      </c>
      <c r="T33" s="2732"/>
      <c r="U33" s="2729"/>
    </row>
    <row r="34" spans="2:21" s="2723" customFormat="1" ht="19.5" customHeight="1">
      <c r="B34" s="2724"/>
      <c r="C34" s="2730">
        <f>IF('[5]BASE'!C34=0,"",'[5]BASE'!C34)</f>
        <v>18</v>
      </c>
      <c r="D34" s="2730" t="str">
        <f>IF('[5]BASE'!D34=0,"",'[5]BASE'!D34)</f>
        <v>CHOCON - PUELCHES 1</v>
      </c>
      <c r="E34" s="2730">
        <f>IF('[5]BASE'!E34=0,"",'[5]BASE'!E34)</f>
        <v>500</v>
      </c>
      <c r="F34" s="2730">
        <f>IF('[5]BASE'!F34=0,"",'[5]BASE'!F34)</f>
        <v>304</v>
      </c>
      <c r="G34" s="2730" t="str">
        <f>IF('[6]BASE'!G34=0,"",'[6]BASE'!G34)</f>
        <v>A</v>
      </c>
      <c r="H34" s="2731">
        <f>IF('[5]BASE'!DR34=0,"",'[5]BASE'!DR34)</f>
      </c>
      <c r="I34" s="2731">
        <f>IF('[5]BASE'!DS34=0,"",'[5]BASE'!DS34)</f>
      </c>
      <c r="J34" s="2731">
        <f>IF('[5]BASE'!DT34=0,"",'[5]BASE'!DT34)</f>
      </c>
      <c r="K34" s="2731">
        <f>IF('[5]BASE'!DU34=0,"",'[5]BASE'!DU34)</f>
      </c>
      <c r="L34" s="2731">
        <f>IF('[5]BASE'!DV34=0,"",'[5]BASE'!DV34)</f>
      </c>
      <c r="M34" s="2731">
        <f>IF('[5]BASE'!DW34=0,"",'[5]BASE'!DW34)</f>
      </c>
      <c r="N34" s="2731">
        <f>IF('[5]BASE'!DX34=0,"",'[5]BASE'!DX34)</f>
      </c>
      <c r="O34" s="2731">
        <f>IF('[5]BASE'!DY34=0,"",'[5]BASE'!DY34)</f>
      </c>
      <c r="P34" s="2731">
        <f>IF('[5]BASE'!DZ34=0,"",'[5]BASE'!DZ34)</f>
      </c>
      <c r="Q34" s="2731">
        <f>IF('[5]BASE'!EA34=0,"",'[5]BASE'!EA34)</f>
      </c>
      <c r="R34" s="2731">
        <f>IF('[5]BASE'!EB34=0,"",'[5]BASE'!EB34)</f>
      </c>
      <c r="S34" s="2731">
        <f>IF('[5]BASE'!EC34=0,"",'[5]BASE'!EC34)</f>
      </c>
      <c r="T34" s="2732"/>
      <c r="U34" s="2729"/>
    </row>
    <row r="35" spans="2:21" s="2723" customFormat="1" ht="19.5" customHeight="1">
      <c r="B35" s="2724"/>
      <c r="C35" s="2730">
        <f>IF('[5]BASE'!C35=0,"",'[5]BASE'!C35)</f>
        <v>19</v>
      </c>
      <c r="D35" s="2730" t="str">
        <f>IF('[5]BASE'!D35=0,"",'[5]BASE'!D35)</f>
        <v>CHOCON - PUELCHES 2</v>
      </c>
      <c r="E35" s="2730">
        <f>IF('[5]BASE'!E35=0,"",'[5]BASE'!E35)</f>
        <v>500</v>
      </c>
      <c r="F35" s="2730">
        <f>IF('[5]BASE'!F35=0,"",'[5]BASE'!F35)</f>
        <v>304</v>
      </c>
      <c r="G35" s="2730" t="str">
        <f>IF('[6]BASE'!G35=0,"",'[6]BASE'!G35)</f>
        <v>A</v>
      </c>
      <c r="H35" s="2731">
        <f>IF('[5]BASE'!DR35=0,"",'[5]BASE'!DR35)</f>
      </c>
      <c r="I35" s="2731">
        <f>IF('[5]BASE'!DS35=0,"",'[5]BASE'!DS35)</f>
      </c>
      <c r="J35" s="2731">
        <f>IF('[5]BASE'!DT35=0,"",'[5]BASE'!DT35)</f>
        <v>1</v>
      </c>
      <c r="K35" s="2731">
        <f>IF('[5]BASE'!DU35=0,"",'[5]BASE'!DU35)</f>
      </c>
      <c r="L35" s="2731">
        <f>IF('[5]BASE'!DV35=0,"",'[5]BASE'!DV35)</f>
      </c>
      <c r="M35" s="2731">
        <f>IF('[5]BASE'!DW35=0,"",'[5]BASE'!DW35)</f>
      </c>
      <c r="N35" s="2731">
        <f>IF('[5]BASE'!DX35=0,"",'[5]BASE'!DX35)</f>
      </c>
      <c r="O35" s="2731">
        <f>IF('[5]BASE'!DY35=0,"",'[5]BASE'!DY35)</f>
      </c>
      <c r="P35" s="2731">
        <f>IF('[5]BASE'!DZ35=0,"",'[5]BASE'!DZ35)</f>
      </c>
      <c r="Q35" s="2731">
        <f>IF('[5]BASE'!EA35=0,"",'[5]BASE'!EA35)</f>
      </c>
      <c r="R35" s="2731">
        <f>IF('[5]BASE'!EB35=0,"",'[5]BASE'!EB35)</f>
      </c>
      <c r="S35" s="2731">
        <f>IF('[5]BASE'!EC35=0,"",'[5]BASE'!EC35)</f>
      </c>
      <c r="T35" s="2732"/>
      <c r="U35" s="2729"/>
    </row>
    <row r="36" spans="2:21" s="2723" customFormat="1" ht="19.5" customHeight="1">
      <c r="B36" s="2724"/>
      <c r="C36" s="2730">
        <f>IF('[5]BASE'!C36=0,"",'[5]BASE'!C36)</f>
        <v>20</v>
      </c>
      <c r="D36" s="2730" t="str">
        <f>IF('[5]BASE'!D36=0,"",'[5]BASE'!D36)</f>
        <v>E.T.P.del AGUILA - CENTRAL P.del A. 1</v>
      </c>
      <c r="E36" s="2730">
        <f>IF('[5]BASE'!E36=0,"",'[5]BASE'!E36)</f>
        <v>500</v>
      </c>
      <c r="F36" s="2730">
        <f>IF('[5]BASE'!F36=0,"",'[5]BASE'!F36)</f>
        <v>5.6</v>
      </c>
      <c r="G36" s="2730" t="str">
        <f>IF('[6]BASE'!G36=0,"",'[6]BASE'!G36)</f>
        <v>C</v>
      </c>
      <c r="H36" s="2731">
        <f>IF('[5]BASE'!DR36=0,"",'[5]BASE'!DR36)</f>
      </c>
      <c r="I36" s="2731">
        <f>IF('[5]BASE'!DS36=0,"",'[5]BASE'!DS36)</f>
      </c>
      <c r="J36" s="2731">
        <f>IF('[5]BASE'!DT36=0,"",'[5]BASE'!DT36)</f>
      </c>
      <c r="K36" s="2731">
        <f>IF('[5]BASE'!DU36=0,"",'[5]BASE'!DU36)</f>
      </c>
      <c r="L36" s="2731">
        <f>IF('[5]BASE'!DV36=0,"",'[5]BASE'!DV36)</f>
      </c>
      <c r="M36" s="2731">
        <f>IF('[5]BASE'!DW36=0,"",'[5]BASE'!DW36)</f>
      </c>
      <c r="N36" s="2731">
        <f>IF('[5]BASE'!DX36=0,"",'[5]BASE'!DX36)</f>
      </c>
      <c r="O36" s="2731">
        <f>IF('[5]BASE'!DY36=0,"",'[5]BASE'!DY36)</f>
      </c>
      <c r="P36" s="2731">
        <f>IF('[5]BASE'!DZ36=0,"",'[5]BASE'!DZ36)</f>
      </c>
      <c r="Q36" s="2731">
        <f>IF('[5]BASE'!EA36=0,"",'[5]BASE'!EA36)</f>
      </c>
      <c r="R36" s="2731">
        <f>IF('[5]BASE'!EB36=0,"",'[5]BASE'!EB36)</f>
      </c>
      <c r="S36" s="2731">
        <f>IF('[5]BASE'!EC36=0,"",'[5]BASE'!EC36)</f>
      </c>
      <c r="T36" s="2732"/>
      <c r="U36" s="2729"/>
    </row>
    <row r="37" spans="2:21" s="2723" customFormat="1" ht="19.5" customHeight="1">
      <c r="B37" s="2724"/>
      <c r="C37" s="2730">
        <f>IF('[5]BASE'!C37=0,"",'[5]BASE'!C37)</f>
        <v>21</v>
      </c>
      <c r="D37" s="2730" t="str">
        <f>IF('[5]BASE'!D37=0,"",'[5]BASE'!D37)</f>
        <v>E.T.P.del AGUILA - CENTRAL P.del A. 2</v>
      </c>
      <c r="E37" s="2730">
        <f>IF('[5]BASE'!E37=0,"",'[5]BASE'!E37)</f>
        <v>500</v>
      </c>
      <c r="F37" s="2730">
        <f>IF('[5]BASE'!F37=0,"",'[5]BASE'!F37)</f>
        <v>5.6</v>
      </c>
      <c r="G37" s="2730" t="str">
        <f>IF('[6]BASE'!G37=0,"",'[6]BASE'!G37)</f>
        <v>C</v>
      </c>
      <c r="H37" s="2731">
        <f>IF('[5]BASE'!DR37=0,"",'[5]BASE'!DR37)</f>
      </c>
      <c r="I37" s="2731">
        <f>IF('[5]BASE'!DS37=0,"",'[5]BASE'!DS37)</f>
      </c>
      <c r="J37" s="2731">
        <f>IF('[5]BASE'!DT37=0,"",'[5]BASE'!DT37)</f>
      </c>
      <c r="K37" s="2731">
        <f>IF('[5]BASE'!DU37=0,"",'[5]BASE'!DU37)</f>
      </c>
      <c r="L37" s="2731">
        <f>IF('[5]BASE'!DV37=0,"",'[5]BASE'!DV37)</f>
      </c>
      <c r="M37" s="2731">
        <f>IF('[5]BASE'!DW37=0,"",'[5]BASE'!DW37)</f>
      </c>
      <c r="N37" s="2731">
        <f>IF('[5]BASE'!DX37=0,"",'[5]BASE'!DX37)</f>
      </c>
      <c r="O37" s="2731">
        <f>IF('[5]BASE'!DY37=0,"",'[5]BASE'!DY37)</f>
      </c>
      <c r="P37" s="2731">
        <f>IF('[5]BASE'!DZ37=0,"",'[5]BASE'!DZ37)</f>
      </c>
      <c r="Q37" s="2731">
        <f>IF('[5]BASE'!EA37=0,"",'[5]BASE'!EA37)</f>
      </c>
      <c r="R37" s="2731">
        <f>IF('[5]BASE'!EB37=0,"",'[5]BASE'!EB37)</f>
      </c>
      <c r="S37" s="2731">
        <f>IF('[5]BASE'!EC37=0,"",'[5]BASE'!EC37)</f>
      </c>
      <c r="T37" s="2732"/>
      <c r="U37" s="2729"/>
    </row>
    <row r="38" spans="2:21" s="2723" customFormat="1" ht="19.5" customHeight="1">
      <c r="B38" s="2724"/>
      <c r="C38" s="2730">
        <f>IF('[5]BASE'!C38=0,"",'[5]BASE'!C38)</f>
        <v>22</v>
      </c>
      <c r="D38" s="2730" t="str">
        <f>IF('[5]BASE'!D38=0,"",'[5]BASE'!D38)</f>
        <v>EL BRACHO - RECREO(5)</v>
      </c>
      <c r="E38" s="2730">
        <f>IF('[5]BASE'!E38=0,"",'[5]BASE'!E38)</f>
        <v>500</v>
      </c>
      <c r="F38" s="2730">
        <f>IF('[5]BASE'!F38=0,"",'[5]BASE'!F38)</f>
        <v>255</v>
      </c>
      <c r="G38" s="2730" t="str">
        <f>IF('[6]BASE'!G38=0,"",'[6]BASE'!G38)</f>
        <v>C</v>
      </c>
      <c r="H38" s="2731">
        <f>IF('[5]BASE'!DR38=0,"",'[5]BASE'!DR38)</f>
      </c>
      <c r="I38" s="2731">
        <f>IF('[5]BASE'!DS38=0,"",'[5]BASE'!DS38)</f>
      </c>
      <c r="J38" s="2731">
        <f>IF('[5]BASE'!DT38=0,"",'[5]BASE'!DT38)</f>
      </c>
      <c r="K38" s="2731">
        <f>IF('[5]BASE'!DU38=0,"",'[5]BASE'!DU38)</f>
      </c>
      <c r="L38" s="2731">
        <f>IF('[5]BASE'!DV38=0,"",'[5]BASE'!DV38)</f>
        <v>1</v>
      </c>
      <c r="M38" s="2731">
        <f>IF('[5]BASE'!DW38=0,"",'[5]BASE'!DW38)</f>
      </c>
      <c r="N38" s="2731">
        <f>IF('[5]BASE'!DX38=0,"",'[5]BASE'!DX38)</f>
      </c>
      <c r="O38" s="2731">
        <f>IF('[5]BASE'!DY38=0,"",'[5]BASE'!DY38)</f>
      </c>
      <c r="P38" s="2731">
        <f>IF('[5]BASE'!DZ38=0,"",'[5]BASE'!DZ38)</f>
      </c>
      <c r="Q38" s="2731">
        <f>IF('[5]BASE'!EA38=0,"",'[5]BASE'!EA38)</f>
      </c>
      <c r="R38" s="2731">
        <f>IF('[5]BASE'!EB38=0,"",'[5]BASE'!EB38)</f>
      </c>
      <c r="S38" s="2731">
        <f>IF('[5]BASE'!EC38=0,"",'[5]BASE'!EC38)</f>
      </c>
      <c r="T38" s="2732"/>
      <c r="U38" s="2729"/>
    </row>
    <row r="39" spans="2:21" s="2723" customFormat="1" ht="19.5" customHeight="1">
      <c r="B39" s="2724"/>
      <c r="C39" s="2730">
        <f>IF('[5]BASE'!C39=0,"",'[5]BASE'!C39)</f>
        <v>23</v>
      </c>
      <c r="D39" s="2730" t="str">
        <f>IF('[5]BASE'!D39=0,"",'[5]BASE'!D39)</f>
        <v>EZEIZA - ABASTO 1</v>
      </c>
      <c r="E39" s="2730">
        <f>IF('[5]BASE'!E39=0,"",'[5]BASE'!E39)</f>
        <v>500</v>
      </c>
      <c r="F39" s="2730">
        <f>IF('[5]BASE'!F39=0,"",'[5]BASE'!F39)</f>
        <v>58</v>
      </c>
      <c r="G39" s="2730" t="str">
        <f>IF('[6]BASE'!G39=0,"",'[6]BASE'!G39)</f>
        <v>C</v>
      </c>
      <c r="H39" s="2731">
        <f>IF('[5]BASE'!DR39=0,"",'[5]BASE'!DR39)</f>
      </c>
      <c r="I39" s="2731">
        <f>IF('[5]BASE'!DS39=0,"",'[5]BASE'!DS39)</f>
      </c>
      <c r="J39" s="2731">
        <f>IF('[5]BASE'!DT39=0,"",'[5]BASE'!DT39)</f>
      </c>
      <c r="K39" s="2731">
        <f>IF('[5]BASE'!DU39=0,"",'[5]BASE'!DU39)</f>
      </c>
      <c r="L39" s="2731">
        <f>IF('[5]BASE'!DV39=0,"",'[5]BASE'!DV39)</f>
      </c>
      <c r="M39" s="2731">
        <f>IF('[5]BASE'!DW39=0,"",'[5]BASE'!DW39)</f>
      </c>
      <c r="N39" s="2731">
        <f>IF('[5]BASE'!DX39=0,"",'[5]BASE'!DX39)</f>
      </c>
      <c r="O39" s="2731">
        <f>IF('[5]BASE'!DY39=0,"",'[5]BASE'!DY39)</f>
      </c>
      <c r="P39" s="2731">
        <f>IF('[5]BASE'!DZ39=0,"",'[5]BASE'!DZ39)</f>
      </c>
      <c r="Q39" s="2731">
        <f>IF('[5]BASE'!EA39=0,"",'[5]BASE'!EA39)</f>
      </c>
      <c r="R39" s="2731">
        <f>IF('[5]BASE'!EB39=0,"",'[5]BASE'!EB39)</f>
      </c>
      <c r="S39" s="2731">
        <f>IF('[5]BASE'!EC39=0,"",'[5]BASE'!EC39)</f>
      </c>
      <c r="T39" s="2732"/>
      <c r="U39" s="2729"/>
    </row>
    <row r="40" spans="2:21" s="2723" customFormat="1" ht="19.5" customHeight="1">
      <c r="B40" s="2724"/>
      <c r="C40" s="2730">
        <f>IF('[5]BASE'!C40=0,"",'[5]BASE'!C40)</f>
        <v>24</v>
      </c>
      <c r="D40" s="2730" t="str">
        <f>IF('[5]BASE'!D40=0,"",'[5]BASE'!D40)</f>
        <v>EZEIZA - ABASTO 2</v>
      </c>
      <c r="E40" s="2730">
        <f>IF('[5]BASE'!E40=0,"",'[5]BASE'!E40)</f>
        <v>500</v>
      </c>
      <c r="F40" s="2730">
        <f>IF('[5]BASE'!F40=0,"",'[5]BASE'!F40)</f>
        <v>58</v>
      </c>
      <c r="G40" s="2730" t="str">
        <f>IF('[6]BASE'!G40=0,"",'[6]BASE'!G40)</f>
        <v>C</v>
      </c>
      <c r="H40" s="2731">
        <f>IF('[5]BASE'!DR40=0,"",'[5]BASE'!DR40)</f>
      </c>
      <c r="I40" s="2731">
        <f>IF('[5]BASE'!DS40=0,"",'[5]BASE'!DS40)</f>
      </c>
      <c r="J40" s="2731">
        <f>IF('[5]BASE'!DT40=0,"",'[5]BASE'!DT40)</f>
      </c>
      <c r="K40" s="2731">
        <f>IF('[5]BASE'!DU40=0,"",'[5]BASE'!DU40)</f>
      </c>
      <c r="L40" s="2731">
        <f>IF('[5]BASE'!DV40=0,"",'[5]BASE'!DV40)</f>
      </c>
      <c r="M40" s="2731">
        <f>IF('[5]BASE'!DW40=0,"",'[5]BASE'!DW40)</f>
      </c>
      <c r="N40" s="2731">
        <f>IF('[5]BASE'!DX40=0,"",'[5]BASE'!DX40)</f>
      </c>
      <c r="O40" s="2731">
        <f>IF('[5]BASE'!DY40=0,"",'[5]BASE'!DY40)</f>
      </c>
      <c r="P40" s="2731">
        <f>IF('[5]BASE'!DZ40=0,"",'[5]BASE'!DZ40)</f>
        <v>1</v>
      </c>
      <c r="Q40" s="2731">
        <f>IF('[5]BASE'!EA40=0,"",'[5]BASE'!EA40)</f>
      </c>
      <c r="R40" s="2731">
        <f>IF('[5]BASE'!EB40=0,"",'[5]BASE'!EB40)</f>
      </c>
      <c r="S40" s="2731">
        <f>IF('[5]BASE'!EC40=0,"",'[5]BASE'!EC40)</f>
      </c>
      <c r="T40" s="2732"/>
      <c r="U40" s="2729"/>
    </row>
    <row r="41" spans="2:21" s="2723" customFormat="1" ht="19.5" customHeight="1">
      <c r="B41" s="2724"/>
      <c r="C41" s="2730">
        <f>IF('[5]BASE'!C41=0,"",'[5]BASE'!C41)</f>
        <v>25</v>
      </c>
      <c r="D41" s="2730" t="str">
        <f>IF('[5]BASE'!D41=0,"",'[5]BASE'!D41)</f>
        <v>EZEIZA - RODRIGUEZ 1</v>
      </c>
      <c r="E41" s="2730">
        <f>IF('[5]BASE'!E41=0,"",'[5]BASE'!E41)</f>
        <v>500</v>
      </c>
      <c r="F41" s="2730">
        <f>IF('[5]BASE'!F41=0,"",'[5]BASE'!F41)</f>
        <v>53</v>
      </c>
      <c r="G41" s="2730" t="str">
        <f>IF('[6]BASE'!G41=0,"",'[6]BASE'!G41)</f>
        <v>C</v>
      </c>
      <c r="H41" s="2731">
        <f>IF('[5]BASE'!DR41=0,"",'[5]BASE'!DR41)</f>
      </c>
      <c r="I41" s="2731">
        <f>IF('[5]BASE'!DS41=0,"",'[5]BASE'!DS41)</f>
      </c>
      <c r="J41" s="2731">
        <f>IF('[5]BASE'!DT41=0,"",'[5]BASE'!DT41)</f>
      </c>
      <c r="K41" s="2731">
        <f>IF('[5]BASE'!DU41=0,"",'[5]BASE'!DU41)</f>
      </c>
      <c r="L41" s="2731">
        <f>IF('[5]BASE'!DV41=0,"",'[5]BASE'!DV41)</f>
      </c>
      <c r="M41" s="2731">
        <f>IF('[5]BASE'!DW41=0,"",'[5]BASE'!DW41)</f>
      </c>
      <c r="N41" s="2731">
        <f>IF('[5]BASE'!DX41=0,"",'[5]BASE'!DX41)</f>
      </c>
      <c r="O41" s="2731">
        <f>IF('[5]BASE'!DY41=0,"",'[5]BASE'!DY41)</f>
      </c>
      <c r="P41" s="2731">
        <f>IF('[5]BASE'!DZ41=0,"",'[5]BASE'!DZ41)</f>
      </c>
      <c r="Q41" s="2731">
        <f>IF('[5]BASE'!EA41=0,"",'[5]BASE'!EA41)</f>
      </c>
      <c r="R41" s="2731">
        <f>IF('[5]BASE'!EB41=0,"",'[5]BASE'!EB41)</f>
      </c>
      <c r="S41" s="2731">
        <f>IF('[5]BASE'!EC41=0,"",'[5]BASE'!EC41)</f>
      </c>
      <c r="T41" s="2732"/>
      <c r="U41" s="2729"/>
    </row>
    <row r="42" spans="2:21" s="2723" customFormat="1" ht="19.5" customHeight="1">
      <c r="B42" s="2724"/>
      <c r="C42" s="2730">
        <f>IF('[5]BASE'!C42=0,"",'[5]BASE'!C42)</f>
        <v>26</v>
      </c>
      <c r="D42" s="2730" t="str">
        <f>IF('[5]BASE'!D42=0,"",'[5]BASE'!D42)</f>
        <v>EZEIZA - RODRIGUEZ 2</v>
      </c>
      <c r="E42" s="2730">
        <f>IF('[5]BASE'!E42=0,"",'[5]BASE'!E42)</f>
        <v>500</v>
      </c>
      <c r="F42" s="2730">
        <f>IF('[5]BASE'!F42=0,"",'[5]BASE'!F42)</f>
        <v>53</v>
      </c>
      <c r="G42" s="2730" t="str">
        <f>IF('[6]BASE'!G42=0,"",'[6]BASE'!G42)</f>
        <v>C</v>
      </c>
      <c r="H42" s="2731">
        <f>IF('[5]BASE'!DR42=0,"",'[5]BASE'!DR42)</f>
      </c>
      <c r="I42" s="2731">
        <f>IF('[5]BASE'!DS42=0,"",'[5]BASE'!DS42)</f>
      </c>
      <c r="J42" s="2731">
        <f>IF('[5]BASE'!DT42=0,"",'[5]BASE'!DT42)</f>
      </c>
      <c r="K42" s="2731">
        <f>IF('[5]BASE'!DU42=0,"",'[5]BASE'!DU42)</f>
      </c>
      <c r="L42" s="2731">
        <f>IF('[5]BASE'!DV42=0,"",'[5]BASE'!DV42)</f>
      </c>
      <c r="M42" s="2731">
        <f>IF('[5]BASE'!DW42=0,"",'[5]BASE'!DW42)</f>
      </c>
      <c r="N42" s="2731">
        <f>IF('[5]BASE'!DX42=0,"",'[5]BASE'!DX42)</f>
      </c>
      <c r="O42" s="2731">
        <f>IF('[5]BASE'!DY42=0,"",'[5]BASE'!DY42)</f>
      </c>
      <c r="P42" s="2731">
        <f>IF('[5]BASE'!DZ42=0,"",'[5]BASE'!DZ42)</f>
      </c>
      <c r="Q42" s="2731">
        <f>IF('[5]BASE'!EA42=0,"",'[5]BASE'!EA42)</f>
      </c>
      <c r="R42" s="2731">
        <f>IF('[5]BASE'!EB42=0,"",'[5]BASE'!EB42)</f>
      </c>
      <c r="S42" s="2731">
        <f>IF('[5]BASE'!EC42=0,"",'[5]BASE'!EC42)</f>
      </c>
      <c r="T42" s="2732"/>
      <c r="U42" s="2729"/>
    </row>
    <row r="43" spans="2:21" s="2723" customFormat="1" ht="19.5" customHeight="1">
      <c r="B43" s="2724"/>
      <c r="C43" s="2730">
        <f>IF('[5]BASE'!C43=0,"",'[5]BASE'!C43)</f>
        <v>27</v>
      </c>
      <c r="D43" s="2730" t="str">
        <f>IF('[5]BASE'!D43=0,"",'[5]BASE'!D43)</f>
        <v>EZEIZA- HENDERSON 1</v>
      </c>
      <c r="E43" s="2730">
        <f>IF('[5]BASE'!E43=0,"",'[5]BASE'!E43)</f>
        <v>500</v>
      </c>
      <c r="F43" s="2730">
        <f>IF('[5]BASE'!F43=0,"",'[5]BASE'!F43)</f>
        <v>313</v>
      </c>
      <c r="G43" s="2730" t="str">
        <f>IF('[6]BASE'!G43=0,"",'[6]BASE'!G43)</f>
        <v>A</v>
      </c>
      <c r="H43" s="2731">
        <f>IF('[5]BASE'!DR43=0,"",'[5]BASE'!DR43)</f>
      </c>
      <c r="I43" s="2731">
        <f>IF('[5]BASE'!DS43=0,"",'[5]BASE'!DS43)</f>
      </c>
      <c r="J43" s="2731">
        <f>IF('[5]BASE'!DT43=0,"",'[5]BASE'!DT43)</f>
        <v>1</v>
      </c>
      <c r="K43" s="2731">
        <f>IF('[5]BASE'!DU43=0,"",'[5]BASE'!DU43)</f>
      </c>
      <c r="L43" s="2731">
        <f>IF('[5]BASE'!DV43=0,"",'[5]BASE'!DV43)</f>
      </c>
      <c r="M43" s="2731">
        <f>IF('[5]BASE'!DW43=0,"",'[5]BASE'!DW43)</f>
      </c>
      <c r="N43" s="2731">
        <f>IF('[5]BASE'!DX43=0,"",'[5]BASE'!DX43)</f>
        <v>1</v>
      </c>
      <c r="O43" s="2731">
        <f>IF('[5]BASE'!DY43=0,"",'[5]BASE'!DY43)</f>
      </c>
      <c r="P43" s="2731">
        <f>IF('[5]BASE'!DZ43=0,"",'[5]BASE'!DZ43)</f>
      </c>
      <c r="Q43" s="2731">
        <f>IF('[5]BASE'!EA43=0,"",'[5]BASE'!EA43)</f>
      </c>
      <c r="R43" s="2731">
        <f>IF('[5]BASE'!EB43=0,"",'[5]BASE'!EB43)</f>
      </c>
      <c r="S43" s="2731">
        <f>IF('[5]BASE'!EC43=0,"",'[5]BASE'!EC43)</f>
      </c>
      <c r="T43" s="2732"/>
      <c r="U43" s="2729"/>
    </row>
    <row r="44" spans="2:21" s="2723" customFormat="1" ht="19.5" customHeight="1">
      <c r="B44" s="2724"/>
      <c r="C44" s="2730">
        <f>IF('[5]BASE'!C44=0,"",'[5]BASE'!C44)</f>
        <v>28</v>
      </c>
      <c r="D44" s="2730" t="str">
        <f>IF('[5]BASE'!D44=0,"",'[5]BASE'!D44)</f>
        <v>EZEIZA - HENDERSON 2</v>
      </c>
      <c r="E44" s="2730">
        <f>IF('[5]BASE'!E44=0,"",'[5]BASE'!E44)</f>
        <v>500</v>
      </c>
      <c r="F44" s="2730">
        <f>IF('[5]BASE'!F44=0,"",'[5]BASE'!F44)</f>
        <v>313</v>
      </c>
      <c r="G44" s="2730" t="str">
        <f>IF('[6]BASE'!G44=0,"",'[6]BASE'!G44)</f>
        <v>A</v>
      </c>
      <c r="H44" s="2731">
        <f>IF('[5]BASE'!DR44=0,"",'[5]BASE'!DR44)</f>
      </c>
      <c r="I44" s="2731">
        <f>IF('[5]BASE'!DS44=0,"",'[5]BASE'!DS44)</f>
      </c>
      <c r="J44" s="2731">
        <f>IF('[5]BASE'!DT44=0,"",'[5]BASE'!DT44)</f>
        <v>1</v>
      </c>
      <c r="K44" s="2731">
        <f>IF('[5]BASE'!DU44=0,"",'[5]BASE'!DU44)</f>
      </c>
      <c r="L44" s="2731">
        <f>IF('[5]BASE'!DV44=0,"",'[5]BASE'!DV44)</f>
      </c>
      <c r="M44" s="2731">
        <f>IF('[5]BASE'!DW44=0,"",'[5]BASE'!DW44)</f>
      </c>
      <c r="N44" s="2731">
        <f>IF('[5]BASE'!DX44=0,"",'[5]BASE'!DX44)</f>
      </c>
      <c r="O44" s="2731">
        <f>IF('[5]BASE'!DY44=0,"",'[5]BASE'!DY44)</f>
      </c>
      <c r="P44" s="2731">
        <f>IF('[5]BASE'!DZ44=0,"",'[5]BASE'!DZ44)</f>
      </c>
      <c r="Q44" s="2731">
        <f>IF('[5]BASE'!EA44=0,"",'[5]BASE'!EA44)</f>
      </c>
      <c r="R44" s="2731">
        <f>IF('[5]BASE'!EB44=0,"",'[5]BASE'!EB44)</f>
      </c>
      <c r="S44" s="2731">
        <f>IF('[5]BASE'!EC44=0,"",'[5]BASE'!EC44)</f>
      </c>
      <c r="T44" s="2732"/>
      <c r="U44" s="2729"/>
    </row>
    <row r="45" spans="2:21" s="2723" customFormat="1" ht="19.5" customHeight="1">
      <c r="B45" s="2724"/>
      <c r="C45" s="2730">
        <f>IF('[5]BASE'!C45=0,"",'[5]BASE'!C45)</f>
        <v>29</v>
      </c>
      <c r="D45" s="2730" t="str">
        <f>IF('[5]BASE'!D45=0,"",'[5]BASE'!D45)</f>
        <v>GRAL. RODRIGUEZ - CAMPANA </v>
      </c>
      <c r="E45" s="2730">
        <f>IF('[5]BASE'!E45=0,"",'[5]BASE'!E45)</f>
        <v>500</v>
      </c>
      <c r="F45" s="2730">
        <f>IF('[5]BASE'!F45=0,"",'[5]BASE'!F45)</f>
        <v>42</v>
      </c>
      <c r="G45" s="2730" t="str">
        <f>IF('[6]BASE'!G45=0,"",'[6]BASE'!G45)</f>
        <v>B</v>
      </c>
      <c r="H45" s="2731">
        <f>IF('[5]BASE'!DR45=0,"",'[5]BASE'!DR45)</f>
      </c>
      <c r="I45" s="2731">
        <f>IF('[5]BASE'!DS45=0,"",'[5]BASE'!DS45)</f>
      </c>
      <c r="J45" s="2731">
        <f>IF('[5]BASE'!DT45=0,"",'[5]BASE'!DT45)</f>
      </c>
      <c r="K45" s="2731">
        <f>IF('[5]BASE'!DU45=0,"",'[5]BASE'!DU45)</f>
      </c>
      <c r="L45" s="2731">
        <f>IF('[5]BASE'!DV45=0,"",'[5]BASE'!DV45)</f>
      </c>
      <c r="M45" s="2731">
        <f>IF('[5]BASE'!DW45=0,"",'[5]BASE'!DW45)</f>
      </c>
      <c r="N45" s="2731">
        <f>IF('[5]BASE'!DX45=0,"",'[5]BASE'!DX45)</f>
      </c>
      <c r="O45" s="2731">
        <f>IF('[5]BASE'!DY45=0,"",'[5]BASE'!DY45)</f>
      </c>
      <c r="P45" s="2731">
        <f>IF('[5]BASE'!DZ45=0,"",'[5]BASE'!DZ45)</f>
      </c>
      <c r="Q45" s="2731">
        <f>IF('[5]BASE'!EA45=0,"",'[5]BASE'!EA45)</f>
      </c>
      <c r="R45" s="2731">
        <f>IF('[5]BASE'!EB45=0,"",'[5]BASE'!EB45)</f>
      </c>
      <c r="S45" s="2731">
        <f>IF('[5]BASE'!EC45=0,"",'[5]BASE'!EC45)</f>
      </c>
      <c r="T45" s="2732"/>
      <c r="U45" s="2729"/>
    </row>
    <row r="46" spans="2:21" s="2723" customFormat="1" ht="19.5" customHeight="1">
      <c r="B46" s="2724"/>
      <c r="C46" s="2730">
        <f>IF('[5]BASE'!C46=0,"",'[5]BASE'!C46)</f>
        <v>30</v>
      </c>
      <c r="D46" s="2730" t="str">
        <f>IF('[5]BASE'!D46=0,"",'[5]BASE'!D46)</f>
        <v>GRAL. RODRIGUEZ- ROSARIO OESTE </v>
      </c>
      <c r="E46" s="2730">
        <f>IF('[5]BASE'!E46=0,"",'[5]BASE'!E46)</f>
        <v>500</v>
      </c>
      <c r="F46" s="2730">
        <f>IF('[5]BASE'!F46=0,"",'[5]BASE'!F46)</f>
        <v>258</v>
      </c>
      <c r="G46" s="2730" t="str">
        <f>IF('[6]BASE'!G46=0,"",'[6]BASE'!G46)</f>
        <v>C</v>
      </c>
      <c r="H46" s="2731" t="str">
        <f>IF('[5]BASE'!DR46=0,"",'[5]BASE'!DR46)</f>
        <v>XXXX</v>
      </c>
      <c r="I46" s="2731" t="str">
        <f>IF('[5]BASE'!DS46=0,"",'[5]BASE'!DS46)</f>
        <v>XXXX</v>
      </c>
      <c r="J46" s="2731" t="str">
        <f>IF('[5]BASE'!DT46=0,"",'[5]BASE'!DT46)</f>
        <v>XXXX</v>
      </c>
      <c r="K46" s="2731" t="str">
        <f>IF('[5]BASE'!DU46=0,"",'[5]BASE'!DU46)</f>
        <v>XXXX</v>
      </c>
      <c r="L46" s="2731" t="str">
        <f>IF('[5]BASE'!DV46=0,"",'[5]BASE'!DV46)</f>
        <v>XXXX</v>
      </c>
      <c r="M46" s="2731" t="str">
        <f>IF('[5]BASE'!DW46=0,"",'[5]BASE'!DW46)</f>
        <v>XXXX</v>
      </c>
      <c r="N46" s="2731" t="str">
        <f>IF('[5]BASE'!DX46=0,"",'[5]BASE'!DX46)</f>
        <v>XXXX</v>
      </c>
      <c r="O46" s="2731" t="str">
        <f>IF('[5]BASE'!DY46=0,"",'[5]BASE'!DY46)</f>
        <v>XXXX</v>
      </c>
      <c r="P46" s="2731" t="str">
        <f>IF('[5]BASE'!DZ46=0,"",'[5]BASE'!DZ46)</f>
        <v>XXXX</v>
      </c>
      <c r="Q46" s="2731" t="str">
        <f>IF('[5]BASE'!EA46=0,"",'[5]BASE'!EA46)</f>
        <v>XXXX</v>
      </c>
      <c r="R46" s="2731" t="str">
        <f>IF('[5]BASE'!EB46=0,"",'[5]BASE'!EB46)</f>
        <v>XXXX</v>
      </c>
      <c r="S46" s="2731" t="str">
        <f>IF('[5]BASE'!EC46=0,"",'[5]BASE'!EC46)</f>
        <v>XXXX</v>
      </c>
      <c r="T46" s="2732"/>
      <c r="U46" s="2729"/>
    </row>
    <row r="47" spans="2:21" s="2723" customFormat="1" ht="19.5" customHeight="1">
      <c r="B47" s="2724"/>
      <c r="C47" s="2730">
        <f>IF('[5]BASE'!C47=0,"",'[5]BASE'!C47)</f>
        <v>31</v>
      </c>
      <c r="D47" s="2730" t="str">
        <f>IF('[5]BASE'!D47=0,"",'[5]BASE'!D47)</f>
        <v>MALVINAS ARG. - ALMAFUERTE </v>
      </c>
      <c r="E47" s="2730">
        <f>IF('[5]BASE'!E47=0,"",'[5]BASE'!E47)</f>
        <v>500</v>
      </c>
      <c r="F47" s="2730">
        <f>IF('[5]BASE'!F47=0,"",'[5]BASE'!F47)</f>
        <v>105</v>
      </c>
      <c r="G47" s="2730" t="str">
        <f>IF('[6]BASE'!G47=0,"",'[6]BASE'!G47)</f>
        <v>B</v>
      </c>
      <c r="H47" s="2731">
        <f>IF('[5]BASE'!DR47=0,"",'[5]BASE'!DR47)</f>
      </c>
      <c r="I47" s="2731">
        <f>IF('[5]BASE'!DS47=0,"",'[5]BASE'!DS47)</f>
      </c>
      <c r="J47" s="2731">
        <f>IF('[5]BASE'!DT47=0,"",'[5]BASE'!DT47)</f>
      </c>
      <c r="K47" s="2731">
        <f>IF('[5]BASE'!DU47=0,"",'[5]BASE'!DU47)</f>
      </c>
      <c r="L47" s="2731">
        <f>IF('[5]BASE'!DV47=0,"",'[5]BASE'!DV47)</f>
      </c>
      <c r="M47" s="2731">
        <f>IF('[5]BASE'!DW47=0,"",'[5]BASE'!DW47)</f>
      </c>
      <c r="N47" s="2731">
        <f>IF('[5]BASE'!DX47=0,"",'[5]BASE'!DX47)</f>
      </c>
      <c r="O47" s="2731">
        <f>IF('[5]BASE'!DY47=0,"",'[5]BASE'!DY47)</f>
      </c>
      <c r="P47" s="2731">
        <f>IF('[5]BASE'!DZ47=0,"",'[5]BASE'!DZ47)</f>
      </c>
      <c r="Q47" s="2731">
        <f>IF('[5]BASE'!EA47=0,"",'[5]BASE'!EA47)</f>
      </c>
      <c r="R47" s="2731">
        <f>IF('[5]BASE'!EB47=0,"",'[5]BASE'!EB47)</f>
      </c>
      <c r="S47" s="2731">
        <f>IF('[5]BASE'!EC47=0,"",'[5]BASE'!EC47)</f>
      </c>
      <c r="T47" s="2732"/>
      <c r="U47" s="2729"/>
    </row>
    <row r="48" spans="2:21" s="2723" customFormat="1" ht="19.5" customHeight="1">
      <c r="B48" s="2724"/>
      <c r="C48" s="2730">
        <f>IF('[5]BASE'!C48=0,"",'[5]BASE'!C48)</f>
        <v>32</v>
      </c>
      <c r="D48" s="2730" t="str">
        <f>IF('[5]BASE'!D48=0,"",'[5]BASE'!D48)</f>
        <v>OLAVARRIA - BAHIA BLANCA 1</v>
      </c>
      <c r="E48" s="2730">
        <f>IF('[5]BASE'!E48=0,"",'[5]BASE'!E48)</f>
        <v>500</v>
      </c>
      <c r="F48" s="2730">
        <f>IF('[5]BASE'!F48=0,"",'[5]BASE'!F48)</f>
        <v>255</v>
      </c>
      <c r="G48" s="2730" t="str">
        <f>IF('[6]BASE'!G48=0,"",'[6]BASE'!G48)</f>
        <v>B</v>
      </c>
      <c r="H48" s="2731">
        <f>IF('[5]BASE'!DR48=0,"",'[5]BASE'!DR48)</f>
      </c>
      <c r="I48" s="2731">
        <f>IF('[5]BASE'!DS48=0,"",'[5]BASE'!DS48)</f>
      </c>
      <c r="J48" s="2731">
        <f>IF('[5]BASE'!DT48=0,"",'[5]BASE'!DT48)</f>
      </c>
      <c r="K48" s="2731">
        <f>IF('[5]BASE'!DU48=0,"",'[5]BASE'!DU48)</f>
      </c>
      <c r="L48" s="2731">
        <f>IF('[5]BASE'!DV48=0,"",'[5]BASE'!DV48)</f>
      </c>
      <c r="M48" s="2731">
        <f>IF('[5]BASE'!DW48=0,"",'[5]BASE'!DW48)</f>
      </c>
      <c r="N48" s="2731">
        <f>IF('[5]BASE'!DX48=0,"",'[5]BASE'!DX48)</f>
        <v>1</v>
      </c>
      <c r="O48" s="2731">
        <f>IF('[5]BASE'!DY48=0,"",'[5]BASE'!DY48)</f>
      </c>
      <c r="P48" s="2731">
        <f>IF('[5]BASE'!DZ48=0,"",'[5]BASE'!DZ48)</f>
      </c>
      <c r="Q48" s="2731">
        <f>IF('[5]BASE'!EA48=0,"",'[5]BASE'!EA48)</f>
      </c>
      <c r="R48" s="2731">
        <f>IF('[5]BASE'!EB48=0,"",'[5]BASE'!EB48)</f>
      </c>
      <c r="S48" s="2731">
        <f>IF('[5]BASE'!EC48=0,"",'[5]BASE'!EC48)</f>
      </c>
      <c r="T48" s="2732"/>
      <c r="U48" s="2729"/>
    </row>
    <row r="49" spans="2:21" s="2723" customFormat="1" ht="19.5" customHeight="1">
      <c r="B49" s="2724"/>
      <c r="C49" s="2730">
        <f>IF('[5]BASE'!C49=0,"",'[5]BASE'!C49)</f>
        <v>33</v>
      </c>
      <c r="D49" s="2730" t="str">
        <f>IF('[5]BASE'!D49=0,"",'[5]BASE'!D49)</f>
        <v>OLAVARRIA - BAHIA BLANCA 2</v>
      </c>
      <c r="E49" s="2730">
        <f>IF('[5]BASE'!E49=0,"",'[5]BASE'!E49)</f>
        <v>500</v>
      </c>
      <c r="F49" s="2730">
        <f>IF('[5]BASE'!F49=0,"",'[5]BASE'!F49)</f>
        <v>254.8</v>
      </c>
      <c r="G49" s="2730" t="e">
        <f>IF('[6]BASE'!G49=0,"",'[6]BASE'!G49)</f>
        <v>#REF!</v>
      </c>
      <c r="H49" s="2731">
        <f>IF('[5]BASE'!DR49=0,"",'[5]BASE'!DR49)</f>
      </c>
      <c r="I49" s="2731">
        <f>IF('[5]BASE'!DS49=0,"",'[5]BASE'!DS49)</f>
      </c>
      <c r="J49" s="2731">
        <f>IF('[5]BASE'!DT49=0,"",'[5]BASE'!DT49)</f>
      </c>
      <c r="K49" s="2731">
        <f>IF('[5]BASE'!DU49=0,"",'[5]BASE'!DU49)</f>
      </c>
      <c r="L49" s="2731">
        <f>IF('[5]BASE'!DV49=0,"",'[5]BASE'!DV49)</f>
      </c>
      <c r="M49" s="2731">
        <f>IF('[5]BASE'!DW49=0,"",'[5]BASE'!DW49)</f>
      </c>
      <c r="N49" s="2731">
        <f>IF('[5]BASE'!DX49=0,"",'[5]BASE'!DX49)</f>
      </c>
      <c r="O49" s="2731">
        <f>IF('[5]BASE'!DY49=0,"",'[5]BASE'!DY49)</f>
      </c>
      <c r="P49" s="2731">
        <f>IF('[5]BASE'!DZ49=0,"",'[5]BASE'!DZ49)</f>
        <v>1</v>
      </c>
      <c r="Q49" s="2731">
        <f>IF('[5]BASE'!EA49=0,"",'[5]BASE'!EA49)</f>
      </c>
      <c r="R49" s="2731">
        <f>IF('[5]BASE'!EB49=0,"",'[5]BASE'!EB49)</f>
      </c>
      <c r="S49" s="2731">
        <f>IF('[5]BASE'!EC49=0,"",'[5]BASE'!EC49)</f>
      </c>
      <c r="T49" s="2732"/>
      <c r="U49" s="2729"/>
    </row>
    <row r="50" spans="2:21" s="2723" customFormat="1" ht="19.5" customHeight="1">
      <c r="B50" s="2724"/>
      <c r="C50" s="2730">
        <f>IF('[5]BASE'!C50=0,"",'[5]BASE'!C50)</f>
        <v>34</v>
      </c>
      <c r="D50" s="2730" t="str">
        <f>IF('[5]BASE'!D50=0,"",'[5]BASE'!D50)</f>
        <v>P.del AGUILA  - CHOELE CHOEL</v>
      </c>
      <c r="E50" s="2730">
        <f>IF('[5]BASE'!E50=0,"",'[5]BASE'!E50)</f>
        <v>500</v>
      </c>
      <c r="F50" s="2730">
        <f>IF('[5]BASE'!F50=0,"",'[5]BASE'!F50)</f>
        <v>386.7</v>
      </c>
      <c r="G50" s="2730" t="e">
        <f>IF('[6]BASE'!G50=0,"",'[6]BASE'!G50)</f>
        <v>#REF!</v>
      </c>
      <c r="H50" s="2731">
        <f>IF('[5]BASE'!DR50=0,"",'[5]BASE'!DR50)</f>
      </c>
      <c r="I50" s="2731">
        <f>IF('[5]BASE'!DS50=0,"",'[5]BASE'!DS50)</f>
      </c>
      <c r="J50" s="2731">
        <f>IF('[5]BASE'!DT50=0,"",'[5]BASE'!DT50)</f>
      </c>
      <c r="K50" s="2731">
        <f>IF('[5]BASE'!DU50=0,"",'[5]BASE'!DU50)</f>
      </c>
      <c r="L50" s="2731">
        <f>IF('[5]BASE'!DV50=0,"",'[5]BASE'!DV50)</f>
      </c>
      <c r="M50" s="2731">
        <f>IF('[5]BASE'!DW50=0,"",'[5]BASE'!DW50)</f>
      </c>
      <c r="N50" s="2731">
        <f>IF('[5]BASE'!DX50=0,"",'[5]BASE'!DX50)</f>
      </c>
      <c r="O50" s="2731">
        <f>IF('[5]BASE'!DY50=0,"",'[5]BASE'!DY50)</f>
      </c>
      <c r="P50" s="2731">
        <f>IF('[5]BASE'!DZ50=0,"",'[5]BASE'!DZ50)</f>
      </c>
      <c r="Q50" s="2731">
        <f>IF('[5]BASE'!EA50=0,"",'[5]BASE'!EA50)</f>
      </c>
      <c r="R50" s="2731">
        <f>IF('[5]BASE'!EB50=0,"",'[5]BASE'!EB50)</f>
      </c>
      <c r="S50" s="2731">
        <f>IF('[5]BASE'!EC50=0,"",'[5]BASE'!EC50)</f>
      </c>
      <c r="T50" s="2732"/>
      <c r="U50" s="2729"/>
    </row>
    <row r="51" spans="2:21" s="2723" customFormat="1" ht="19.5" customHeight="1">
      <c r="B51" s="2724"/>
      <c r="C51" s="2730">
        <f>IF('[5]BASE'!C51=0,"",'[5]BASE'!C51)</f>
        <v>35</v>
      </c>
      <c r="D51" s="2730" t="str">
        <f>IF('[5]BASE'!D51=0,"",'[5]BASE'!D51)</f>
        <v>P.del AGUILA  - CHO. W. 1 (5GW1)</v>
      </c>
      <c r="E51" s="2730">
        <f>IF('[5]BASE'!E51=0,"",'[5]BASE'!E51)</f>
        <v>500</v>
      </c>
      <c r="F51" s="2730">
        <f>IF('[5]BASE'!F51=0,"",'[5]BASE'!F51)</f>
        <v>165</v>
      </c>
      <c r="G51" s="2730" t="str">
        <f>IF('[6]BASE'!G51=0,"",'[6]BASE'!G51)</f>
        <v>A</v>
      </c>
      <c r="H51" s="2731">
        <f>IF('[5]BASE'!DR51=0,"",'[5]BASE'!DR51)</f>
      </c>
      <c r="I51" s="2731">
        <f>IF('[5]BASE'!DS51=0,"",'[5]BASE'!DS51)</f>
      </c>
      <c r="J51" s="2731">
        <f>IF('[5]BASE'!DT51=0,"",'[5]BASE'!DT51)</f>
      </c>
      <c r="K51" s="2731">
        <f>IF('[5]BASE'!DU51=0,"",'[5]BASE'!DU51)</f>
      </c>
      <c r="L51" s="2731">
        <f>IF('[5]BASE'!DV51=0,"",'[5]BASE'!DV51)</f>
      </c>
      <c r="M51" s="2731">
        <f>IF('[5]BASE'!DW51=0,"",'[5]BASE'!DW51)</f>
      </c>
      <c r="N51" s="2731">
        <f>IF('[5]BASE'!DX51=0,"",'[5]BASE'!DX51)</f>
      </c>
      <c r="O51" s="2731">
        <f>IF('[5]BASE'!DY51=0,"",'[5]BASE'!DY51)</f>
      </c>
      <c r="P51" s="2731">
        <f>IF('[5]BASE'!DZ51=0,"",'[5]BASE'!DZ51)</f>
      </c>
      <c r="Q51" s="2731">
        <f>IF('[5]BASE'!EA51=0,"",'[5]BASE'!EA51)</f>
      </c>
      <c r="R51" s="2731">
        <f>IF('[5]BASE'!EB51=0,"",'[5]BASE'!EB51)</f>
      </c>
      <c r="S51" s="2731">
        <f>IF('[5]BASE'!EC51=0,"",'[5]BASE'!EC51)</f>
      </c>
      <c r="T51" s="2732"/>
      <c r="U51" s="2729"/>
    </row>
    <row r="52" spans="2:21" s="2723" customFormat="1" ht="19.5" customHeight="1">
      <c r="B52" s="2724"/>
      <c r="C52" s="2730">
        <f>IF('[5]BASE'!C52=0,"",'[5]BASE'!C52)</f>
        <v>36</v>
      </c>
      <c r="D52" s="2730" t="str">
        <f>IF('[5]BASE'!D52=0,"",'[5]BASE'!D52)</f>
        <v>P.del AGUILA  - CHO. W. 2 (5GW2)</v>
      </c>
      <c r="E52" s="2730">
        <f>IF('[5]BASE'!E52=0,"",'[5]BASE'!E52)</f>
        <v>500</v>
      </c>
      <c r="F52" s="2730">
        <f>IF('[5]BASE'!F52=0,"",'[5]BASE'!F52)</f>
        <v>170</v>
      </c>
      <c r="G52" s="2730" t="str">
        <f>IF('[6]BASE'!G52=0,"",'[6]BASE'!G52)</f>
        <v>A</v>
      </c>
      <c r="H52" s="2731">
        <f>IF('[5]BASE'!DR52=0,"",'[5]BASE'!DR52)</f>
      </c>
      <c r="I52" s="2731">
        <f>IF('[5]BASE'!DS52=0,"",'[5]BASE'!DS52)</f>
      </c>
      <c r="J52" s="2731">
        <f>IF('[5]BASE'!DT52=0,"",'[5]BASE'!DT52)</f>
      </c>
      <c r="K52" s="2731">
        <f>IF('[5]BASE'!DU52=0,"",'[5]BASE'!DU52)</f>
      </c>
      <c r="L52" s="2731">
        <f>IF('[5]BASE'!DV52=0,"",'[5]BASE'!DV52)</f>
      </c>
      <c r="M52" s="2731">
        <f>IF('[5]BASE'!DW52=0,"",'[5]BASE'!DW52)</f>
      </c>
      <c r="N52" s="2731">
        <f>IF('[5]BASE'!DX52=0,"",'[5]BASE'!DX52)</f>
      </c>
      <c r="O52" s="2731">
        <f>IF('[5]BASE'!DY52=0,"",'[5]BASE'!DY52)</f>
      </c>
      <c r="P52" s="2731">
        <f>IF('[5]BASE'!DZ52=0,"",'[5]BASE'!DZ52)</f>
      </c>
      <c r="Q52" s="2731">
        <f>IF('[5]BASE'!EA52=0,"",'[5]BASE'!EA52)</f>
      </c>
      <c r="R52" s="2731">
        <f>IF('[5]BASE'!EB52=0,"",'[5]BASE'!EB52)</f>
      </c>
      <c r="S52" s="2731">
        <f>IF('[5]BASE'!EC52=0,"",'[5]BASE'!EC52)</f>
      </c>
      <c r="T52" s="2732"/>
      <c r="U52" s="2729"/>
    </row>
    <row r="53" spans="2:21" s="2723" customFormat="1" ht="19.5" customHeight="1">
      <c r="B53" s="2724"/>
      <c r="C53" s="2730">
        <f>IF('[5]BASE'!C53=0,"",'[5]BASE'!C53)</f>
        <v>37</v>
      </c>
      <c r="D53" s="2730" t="str">
        <f>IF('[5]BASE'!D53=0,"",'[5]BASE'!D53)</f>
        <v>PUELCHES - HENDERSON 1 (B1)</v>
      </c>
      <c r="E53" s="2730">
        <f>IF('[5]BASE'!E53=0,"",'[5]BASE'!E53)</f>
        <v>500</v>
      </c>
      <c r="F53" s="2730">
        <f>IF('[5]BASE'!F53=0,"",'[5]BASE'!F53)</f>
        <v>421</v>
      </c>
      <c r="G53" s="2730" t="str">
        <f>IF('[6]BASE'!G53=0,"",'[6]BASE'!G53)</f>
        <v>A</v>
      </c>
      <c r="H53" s="2731">
        <f>IF('[5]BASE'!DR53=0,"",'[5]BASE'!DR53)</f>
      </c>
      <c r="I53" s="2731">
        <f>IF('[5]BASE'!DS53=0,"",'[5]BASE'!DS53)</f>
      </c>
      <c r="J53" s="2731">
        <f>IF('[5]BASE'!DT53=0,"",'[5]BASE'!DT53)</f>
      </c>
      <c r="K53" s="2731">
        <f>IF('[5]BASE'!DU53=0,"",'[5]BASE'!DU53)</f>
      </c>
      <c r="L53" s="2731">
        <f>IF('[5]BASE'!DV53=0,"",'[5]BASE'!DV53)</f>
      </c>
      <c r="M53" s="2731">
        <f>IF('[5]BASE'!DW53=0,"",'[5]BASE'!DW53)</f>
      </c>
      <c r="N53" s="2731">
        <f>IF('[5]BASE'!DX53=0,"",'[5]BASE'!DX53)</f>
      </c>
      <c r="O53" s="2731">
        <f>IF('[5]BASE'!DY53=0,"",'[5]BASE'!DY53)</f>
      </c>
      <c r="P53" s="2731">
        <f>IF('[5]BASE'!DZ53=0,"",'[5]BASE'!DZ53)</f>
      </c>
      <c r="Q53" s="2731">
        <f>IF('[5]BASE'!EA53=0,"",'[5]BASE'!EA53)</f>
      </c>
      <c r="R53" s="2731">
        <f>IF('[5]BASE'!EB53=0,"",'[5]BASE'!EB53)</f>
      </c>
      <c r="S53" s="2731">
        <f>IF('[5]BASE'!EC53=0,"",'[5]BASE'!EC53)</f>
      </c>
      <c r="T53" s="2732"/>
      <c r="U53" s="2729"/>
    </row>
    <row r="54" spans="2:21" s="2723" customFormat="1" ht="19.5" customHeight="1">
      <c r="B54" s="2724"/>
      <c r="C54" s="2730">
        <f>IF('[5]BASE'!C54=0,"",'[5]BASE'!C54)</f>
        <v>38</v>
      </c>
      <c r="D54" s="2730" t="str">
        <f>IF('[5]BASE'!D54=0,"",'[5]BASE'!D54)</f>
        <v>PUELCHES - HENDERSON 2 (B2)</v>
      </c>
      <c r="E54" s="2730">
        <f>IF('[5]BASE'!E54=0,"",'[5]BASE'!E54)</f>
        <v>500</v>
      </c>
      <c r="F54" s="2730">
        <f>IF('[5]BASE'!F54=0,"",'[5]BASE'!F54)</f>
        <v>421</v>
      </c>
      <c r="G54" s="2730" t="str">
        <f>IF('[6]BASE'!G54=0,"",'[6]BASE'!G54)</f>
        <v>A</v>
      </c>
      <c r="H54" s="2731" t="str">
        <f>IF('[5]BASE'!DR54=0,"",'[5]BASE'!DR54)</f>
        <v>XXXX</v>
      </c>
      <c r="I54" s="2731" t="str">
        <f>IF('[5]BASE'!DS54=0,"",'[5]BASE'!DS54)</f>
        <v>XXXX</v>
      </c>
      <c r="J54" s="2731" t="str">
        <f>IF('[5]BASE'!DT54=0,"",'[5]BASE'!DT54)</f>
        <v>XXXX</v>
      </c>
      <c r="K54" s="2731" t="str">
        <f>IF('[5]BASE'!DU54=0,"",'[5]BASE'!DU54)</f>
        <v>XXXX</v>
      </c>
      <c r="L54" s="2731" t="str">
        <f>IF('[5]BASE'!DV54=0,"",'[5]BASE'!DV54)</f>
        <v>XXXX</v>
      </c>
      <c r="M54" s="2731" t="str">
        <f>IF('[5]BASE'!DW54=0,"",'[5]BASE'!DW54)</f>
        <v>XXXX</v>
      </c>
      <c r="N54" s="2731" t="str">
        <f>IF('[5]BASE'!DX54=0,"",'[5]BASE'!DX54)</f>
        <v>XXXX</v>
      </c>
      <c r="O54" s="2731" t="str">
        <f>IF('[5]BASE'!DY54=0,"",'[5]BASE'!DY54)</f>
        <v>XXXX</v>
      </c>
      <c r="P54" s="2731" t="str">
        <f>IF('[5]BASE'!DZ54=0,"",'[5]BASE'!DZ54)</f>
        <v>XXXX</v>
      </c>
      <c r="Q54" s="2731" t="str">
        <f>IF('[5]BASE'!EA54=0,"",'[5]BASE'!EA54)</f>
        <v>XXXX</v>
      </c>
      <c r="R54" s="2731" t="str">
        <f>IF('[5]BASE'!EB54=0,"",'[5]BASE'!EB54)</f>
        <v>XXXX</v>
      </c>
      <c r="S54" s="2731" t="str">
        <f>IF('[5]BASE'!EC54=0,"",'[5]BASE'!EC54)</f>
        <v>XXXX</v>
      </c>
      <c r="T54" s="2732"/>
      <c r="U54" s="2729"/>
    </row>
    <row r="55" spans="2:21" s="2723" customFormat="1" ht="19.5" customHeight="1">
      <c r="B55" s="2724"/>
      <c r="C55" s="2730">
        <f>IF('[5]BASE'!C55=0,"",'[5]BASE'!C55)</f>
        <v>39</v>
      </c>
      <c r="D55" s="2730" t="str">
        <f>IF('[5]BASE'!D55=0,"",'[5]BASE'!D55)</f>
        <v>RECREO - MALVINAS ARG. </v>
      </c>
      <c r="E55" s="2730">
        <f>IF('[5]BASE'!E55=0,"",'[5]BASE'!E55)</f>
        <v>500</v>
      </c>
      <c r="F55" s="2730">
        <f>IF('[5]BASE'!F55=0,"",'[5]BASE'!F55)</f>
        <v>259</v>
      </c>
      <c r="G55" s="2730" t="str">
        <f>IF('[6]BASE'!G55=0,"",'[6]BASE'!G55)</f>
        <v>C</v>
      </c>
      <c r="H55" s="2731">
        <f>IF('[5]BASE'!DR55=0,"",'[5]BASE'!DR55)</f>
      </c>
      <c r="I55" s="2731">
        <f>IF('[5]BASE'!DS55=0,"",'[5]BASE'!DS55)</f>
      </c>
      <c r="J55" s="2731">
        <f>IF('[5]BASE'!DT55=0,"",'[5]BASE'!DT55)</f>
      </c>
      <c r="K55" s="2731">
        <f>IF('[5]BASE'!DU55=0,"",'[5]BASE'!DU55)</f>
      </c>
      <c r="L55" s="2731">
        <f>IF('[5]BASE'!DV55=0,"",'[5]BASE'!DV55)</f>
      </c>
      <c r="M55" s="2731">
        <f>IF('[5]BASE'!DW55=0,"",'[5]BASE'!DW55)</f>
      </c>
      <c r="N55" s="2731">
        <f>IF('[5]BASE'!DX55=0,"",'[5]BASE'!DX55)</f>
      </c>
      <c r="O55" s="2731">
        <f>IF('[5]BASE'!DY55=0,"",'[5]BASE'!DY55)</f>
      </c>
      <c r="P55" s="2731">
        <f>IF('[5]BASE'!DZ55=0,"",'[5]BASE'!DZ55)</f>
      </c>
      <c r="Q55" s="2731">
        <f>IF('[5]BASE'!EA55=0,"",'[5]BASE'!EA55)</f>
      </c>
      <c r="R55" s="2731">
        <f>IF('[5]BASE'!EB55=0,"",'[5]BASE'!EB55)</f>
      </c>
      <c r="S55" s="2731">
        <f>IF('[5]BASE'!EC55=0,"",'[5]BASE'!EC55)</f>
      </c>
      <c r="T55" s="2732"/>
      <c r="U55" s="2729"/>
    </row>
    <row r="56" spans="2:21" s="2723" customFormat="1" ht="19.5" customHeight="1">
      <c r="B56" s="2724"/>
      <c r="C56" s="2730">
        <f>IF('[5]BASE'!C56=0,"",'[5]BASE'!C56)</f>
        <v>40</v>
      </c>
      <c r="D56" s="2730" t="str">
        <f>IF('[5]BASE'!D56=0,"",'[5]BASE'!D56)</f>
        <v>RIO GRANDE - EMBALSE</v>
      </c>
      <c r="E56" s="2730">
        <f>IF('[5]BASE'!E56=0,"",'[5]BASE'!E56)</f>
        <v>500</v>
      </c>
      <c r="F56" s="2730">
        <f>IF('[5]BASE'!F56=0,"",'[5]BASE'!F56)</f>
        <v>30</v>
      </c>
      <c r="G56" s="2730" t="str">
        <f>IF('[6]BASE'!G56=0,"",'[6]BASE'!G56)</f>
        <v>B</v>
      </c>
      <c r="H56" s="2731">
        <f>IF('[5]BASE'!DR56=0,"",'[5]BASE'!DR56)</f>
      </c>
      <c r="I56" s="2731">
        <f>IF('[5]BASE'!DS56=0,"",'[5]BASE'!DS56)</f>
      </c>
      <c r="J56" s="2731">
        <f>IF('[5]BASE'!DT56=0,"",'[5]BASE'!DT56)</f>
      </c>
      <c r="K56" s="2731">
        <f>IF('[5]BASE'!DU56=0,"",'[5]BASE'!DU56)</f>
      </c>
      <c r="L56" s="2731">
        <f>IF('[5]BASE'!DV56=0,"",'[5]BASE'!DV56)</f>
      </c>
      <c r="M56" s="2731">
        <f>IF('[5]BASE'!DW56=0,"",'[5]BASE'!DW56)</f>
        <v>1</v>
      </c>
      <c r="N56" s="2731">
        <f>IF('[5]BASE'!DX56=0,"",'[5]BASE'!DX56)</f>
      </c>
      <c r="O56" s="2731">
        <f>IF('[5]BASE'!DY56=0,"",'[5]BASE'!DY56)</f>
      </c>
      <c r="P56" s="2731">
        <f>IF('[5]BASE'!DZ56=0,"",'[5]BASE'!DZ56)</f>
      </c>
      <c r="Q56" s="2731">
        <f>IF('[5]BASE'!EA56=0,"",'[5]BASE'!EA56)</f>
      </c>
      <c r="R56" s="2731">
        <f>IF('[5]BASE'!EB56=0,"",'[5]BASE'!EB56)</f>
      </c>
      <c r="S56" s="2731">
        <f>IF('[5]BASE'!EC56=0,"",'[5]BASE'!EC56)</f>
      </c>
      <c r="T56" s="2732"/>
      <c r="U56" s="2729"/>
    </row>
    <row r="57" spans="2:21" s="2723" customFormat="1" ht="19.5" customHeight="1">
      <c r="B57" s="2724"/>
      <c r="C57" s="2730">
        <f>IF('[5]BASE'!C57=0,"",'[5]BASE'!C57)</f>
        <v>41</v>
      </c>
      <c r="D57" s="2730" t="str">
        <f>IF('[5]BASE'!D57=0,"",'[5]BASE'!D57)</f>
        <v>RIO GRANDE - GRAN MENDOZA</v>
      </c>
      <c r="E57" s="2730">
        <f>IF('[5]BASE'!E57=0,"",'[5]BASE'!E57)</f>
        <v>500</v>
      </c>
      <c r="F57" s="2730">
        <f>IF('[5]BASE'!F57=0,"",'[5]BASE'!F57)</f>
        <v>407</v>
      </c>
      <c r="G57" s="2730" t="str">
        <f>IF('[6]BASE'!G57=0,"",'[6]BASE'!G57)</f>
        <v>B</v>
      </c>
      <c r="H57" s="2731" t="str">
        <f>IF('[5]BASE'!DR57=0,"",'[5]BASE'!DR57)</f>
        <v>XXXX</v>
      </c>
      <c r="I57" s="2731" t="str">
        <f>IF('[5]BASE'!DS57=0,"",'[5]BASE'!DS57)</f>
        <v>XXXX</v>
      </c>
      <c r="J57" s="2731" t="str">
        <f>IF('[5]BASE'!DT57=0,"",'[5]BASE'!DT57)</f>
        <v>XXXX</v>
      </c>
      <c r="K57" s="2731" t="str">
        <f>IF('[5]BASE'!DU57=0,"",'[5]BASE'!DU57)</f>
        <v>XXXX</v>
      </c>
      <c r="L57" s="2731" t="str">
        <f>IF('[5]BASE'!DV57=0,"",'[5]BASE'!DV57)</f>
        <v>XXXX</v>
      </c>
      <c r="M57" s="2731" t="str">
        <f>IF('[5]BASE'!DW57=0,"",'[5]BASE'!DW57)</f>
        <v>XXXX</v>
      </c>
      <c r="N57" s="2731" t="str">
        <f>IF('[5]BASE'!DX57=0,"",'[5]BASE'!DX57)</f>
        <v>XXXX</v>
      </c>
      <c r="O57" s="2731" t="str">
        <f>IF('[5]BASE'!DY57=0,"",'[5]BASE'!DY57)</f>
        <v>XXXX</v>
      </c>
      <c r="P57" s="2731" t="str">
        <f>IF('[5]BASE'!DZ57=0,"",'[5]BASE'!DZ57)</f>
        <v>XXXX</v>
      </c>
      <c r="Q57" s="2731" t="str">
        <f>IF('[5]BASE'!EA57=0,"",'[5]BASE'!EA57)</f>
        <v>XXXX</v>
      </c>
      <c r="R57" s="2731" t="str">
        <f>IF('[5]BASE'!EB57=0,"",'[5]BASE'!EB57)</f>
        <v>XXXX</v>
      </c>
      <c r="S57" s="2731" t="str">
        <f>IF('[5]BASE'!EC57=0,"",'[5]BASE'!EC57)</f>
        <v>XXXX</v>
      </c>
      <c r="T57" s="2732"/>
      <c r="U57" s="2729"/>
    </row>
    <row r="58" spans="2:21" s="2723" customFormat="1" ht="19.5" customHeight="1">
      <c r="B58" s="2724"/>
      <c r="C58" s="2730">
        <f>IF('[5]BASE'!C58=0,"",'[5]BASE'!C58)</f>
        <v>42</v>
      </c>
      <c r="D58" s="2730" t="str">
        <f>IF('[5]BASE'!D58=0,"",'[5]BASE'!D58)</f>
        <v>RIO GRANDE - LUJAN</v>
      </c>
      <c r="E58" s="2730">
        <f>IF('[5]BASE'!E58=0,"",'[5]BASE'!E58)</f>
        <v>500</v>
      </c>
      <c r="F58" s="2730">
        <f>IF('[5]BASE'!F58=0,"",'[5]BASE'!F58)</f>
        <v>150</v>
      </c>
      <c r="G58" s="2730" t="str">
        <f>IF('[6]BASE'!G58=0,"",'[6]BASE'!G58)</f>
        <v>A</v>
      </c>
      <c r="H58" s="2731">
        <f>IF('[5]BASE'!DR58=0,"",'[5]BASE'!DR58)</f>
      </c>
      <c r="I58" s="2731">
        <f>IF('[5]BASE'!DS58=0,"",'[5]BASE'!DS58)</f>
      </c>
      <c r="J58" s="2731">
        <f>IF('[5]BASE'!DT58=0,"",'[5]BASE'!DT58)</f>
      </c>
      <c r="K58" s="2731">
        <f>IF('[5]BASE'!DU58=0,"",'[5]BASE'!DU58)</f>
      </c>
      <c r="L58" s="2731">
        <f>IF('[5]BASE'!DV58=0,"",'[5]BASE'!DV58)</f>
      </c>
      <c r="M58" s="2731">
        <f>IF('[5]BASE'!DW58=0,"",'[5]BASE'!DW58)</f>
      </c>
      <c r="N58" s="2731">
        <f>IF('[5]BASE'!DX58=0,"",'[5]BASE'!DX58)</f>
      </c>
      <c r="O58" s="2731">
        <f>IF('[5]BASE'!DY58=0,"",'[5]BASE'!DY58)</f>
      </c>
      <c r="P58" s="2731">
        <f>IF('[5]BASE'!DZ58=0,"",'[5]BASE'!DZ58)</f>
      </c>
      <c r="Q58" s="2731">
        <f>IF('[5]BASE'!EA58=0,"",'[5]BASE'!EA58)</f>
      </c>
      <c r="R58" s="2731">
        <f>IF('[5]BASE'!EB58=0,"",'[5]BASE'!EB58)</f>
      </c>
      <c r="S58" s="2731">
        <f>IF('[5]BASE'!EC58=0,"",'[5]BASE'!EC58)</f>
      </c>
      <c r="T58" s="2732"/>
      <c r="U58" s="2729"/>
    </row>
    <row r="59" spans="2:21" s="2723" customFormat="1" ht="19.5" customHeight="1">
      <c r="B59" s="2724"/>
      <c r="C59" s="2730">
        <f>IF('[5]BASE'!C59=0,"",'[5]BASE'!C59)</f>
        <v>43</v>
      </c>
      <c r="D59" s="2730" t="str">
        <f>IF('[5]BASE'!D59=0,"",'[5]BASE'!D59)</f>
        <v>LUJAN - GRAN MENDOZA</v>
      </c>
      <c r="E59" s="2730">
        <f>IF('[5]BASE'!E59=0,"",'[5]BASE'!E59)</f>
        <v>500</v>
      </c>
      <c r="F59" s="2730">
        <f>IF('[5]BASE'!F59=0,"",'[5]BASE'!F59)</f>
        <v>257</v>
      </c>
      <c r="G59" s="2730" t="str">
        <f>IF('[6]BASE'!G59=0,"",'[6]BASE'!G59)</f>
        <v>B</v>
      </c>
      <c r="H59" s="2731">
        <f>IF('[5]BASE'!DR59=0,"",'[5]BASE'!DR59)</f>
      </c>
      <c r="I59" s="2731">
        <f>IF('[5]BASE'!DS59=0,"",'[5]BASE'!DS59)</f>
      </c>
      <c r="J59" s="2731">
        <f>IF('[5]BASE'!DT59=0,"",'[5]BASE'!DT59)</f>
      </c>
      <c r="K59" s="2731">
        <f>IF('[5]BASE'!DU59=0,"",'[5]BASE'!DU59)</f>
      </c>
      <c r="L59" s="2731">
        <f>IF('[5]BASE'!DV59=0,"",'[5]BASE'!DV59)</f>
      </c>
      <c r="M59" s="2731">
        <f>IF('[5]BASE'!DW59=0,"",'[5]BASE'!DW59)</f>
      </c>
      <c r="N59" s="2731">
        <f>IF('[5]BASE'!DX59=0,"",'[5]BASE'!DX59)</f>
      </c>
      <c r="O59" s="2731">
        <f>IF('[5]BASE'!DY59=0,"",'[5]BASE'!DY59)</f>
      </c>
      <c r="P59" s="2731">
        <f>IF('[5]BASE'!DZ59=0,"",'[5]BASE'!DZ59)</f>
      </c>
      <c r="Q59" s="2731">
        <f>IF('[5]BASE'!EA59=0,"",'[5]BASE'!EA59)</f>
      </c>
      <c r="R59" s="2731">
        <f>IF('[5]BASE'!EB59=0,"",'[5]BASE'!EB59)</f>
      </c>
      <c r="S59" s="2731">
        <f>IF('[5]BASE'!EC59=0,"",'[5]BASE'!EC59)</f>
      </c>
      <c r="T59" s="2732"/>
      <c r="U59" s="2729"/>
    </row>
    <row r="60" spans="2:21" s="2723" customFormat="1" ht="19.5" customHeight="1">
      <c r="B60" s="2724"/>
      <c r="C60" s="2730">
        <f>IF('[5]BASE'!C60=0,"",'[5]BASE'!C60)</f>
        <v>44</v>
      </c>
      <c r="D60" s="2730" t="str">
        <f>IF('[5]BASE'!D60=0,"",'[5]BASE'!D60)</f>
        <v>ROMANG - RESISTENCIA</v>
      </c>
      <c r="E60" s="2730">
        <f>IF('[5]BASE'!E60=0,"",'[5]BASE'!E60)</f>
        <v>500</v>
      </c>
      <c r="F60" s="2730">
        <f>IF('[5]BASE'!F60=0,"",'[5]BASE'!F60)</f>
        <v>256</v>
      </c>
      <c r="G60" s="2730" t="str">
        <f>IF('[6]BASE'!G60=0,"",'[6]BASE'!G60)</f>
        <v>A</v>
      </c>
      <c r="H60" s="2731">
        <f>IF('[5]BASE'!DR60=0,"",'[5]BASE'!DR60)</f>
      </c>
      <c r="I60" s="2731">
        <f>IF('[5]BASE'!DS60=0,"",'[5]BASE'!DS60)</f>
      </c>
      <c r="J60" s="2731">
        <f>IF('[5]BASE'!DT60=0,"",'[5]BASE'!DT60)</f>
        <v>1</v>
      </c>
      <c r="K60" s="2731">
        <f>IF('[5]BASE'!DU60=0,"",'[5]BASE'!DU60)</f>
      </c>
      <c r="L60" s="2731">
        <f>IF('[5]BASE'!DV60=0,"",'[5]BASE'!DV60)</f>
      </c>
      <c r="M60" s="2731">
        <f>IF('[5]BASE'!DW60=0,"",'[5]BASE'!DW60)</f>
      </c>
      <c r="N60" s="2731">
        <f>IF('[5]BASE'!DX60=0,"",'[5]BASE'!DX60)</f>
        <v>1</v>
      </c>
      <c r="O60" s="2731">
        <f>IF('[5]BASE'!DY60=0,"",'[5]BASE'!DY60)</f>
      </c>
      <c r="P60" s="2731">
        <f>IF('[5]BASE'!DZ60=0,"",'[5]BASE'!DZ60)</f>
      </c>
      <c r="Q60" s="2731">
        <f>IF('[5]BASE'!EA60=0,"",'[5]BASE'!EA60)</f>
      </c>
      <c r="R60" s="2731">
        <f>IF('[5]BASE'!EB60=0,"",'[5]BASE'!EB60)</f>
      </c>
      <c r="S60" s="2731">
        <f>IF('[5]BASE'!EC60=0,"",'[5]BASE'!EC60)</f>
      </c>
      <c r="T60" s="2732"/>
      <c r="U60" s="2729"/>
    </row>
    <row r="61" spans="2:21" s="2723" customFormat="1" ht="19.5" customHeight="1">
      <c r="B61" s="2724"/>
      <c r="C61" s="2730">
        <f>IF('[5]BASE'!C61=0,"",'[5]BASE'!C61)</f>
        <v>45</v>
      </c>
      <c r="D61" s="2730" t="str">
        <f>IF('[5]BASE'!D61=0,"",'[5]BASE'!D61)</f>
        <v>ROSARIO OESTE -SANTO TOME</v>
      </c>
      <c r="E61" s="2730">
        <f>IF('[5]BASE'!E61=0,"",'[5]BASE'!E61)</f>
        <v>500</v>
      </c>
      <c r="F61" s="2730">
        <f>IF('[5]BASE'!F61=0,"",'[5]BASE'!F61)</f>
        <v>159</v>
      </c>
      <c r="G61" s="2730" t="str">
        <f>IF('[6]BASE'!G61=0,"",'[6]BASE'!G61)</f>
        <v>C</v>
      </c>
      <c r="H61" s="2731" t="str">
        <f>IF('[5]BASE'!DR61=0,"",'[5]BASE'!DR61)</f>
        <v>XXXX</v>
      </c>
      <c r="I61" s="2731" t="str">
        <f>IF('[5]BASE'!DS61=0,"",'[5]BASE'!DS61)</f>
        <v>XXXX</v>
      </c>
      <c r="J61" s="2731" t="str">
        <f>IF('[5]BASE'!DT61=0,"",'[5]BASE'!DT61)</f>
        <v>XXXX</v>
      </c>
      <c r="K61" s="2731" t="str">
        <f>IF('[5]BASE'!DU61=0,"",'[5]BASE'!DU61)</f>
        <v>XXXX</v>
      </c>
      <c r="L61" s="2731" t="str">
        <f>IF('[5]BASE'!DV61=0,"",'[5]BASE'!DV61)</f>
        <v>XXXX</v>
      </c>
      <c r="M61" s="2731" t="str">
        <f>IF('[5]BASE'!DW61=0,"",'[5]BASE'!DW61)</f>
        <v>XXXX</v>
      </c>
      <c r="N61" s="2731" t="str">
        <f>IF('[5]BASE'!DX61=0,"",'[5]BASE'!DX61)</f>
        <v>XXXX</v>
      </c>
      <c r="O61" s="2731" t="str">
        <f>IF('[5]BASE'!DY61=0,"",'[5]BASE'!DY61)</f>
        <v>XXXX</v>
      </c>
      <c r="P61" s="2731" t="str">
        <f>IF('[5]BASE'!DZ61=0,"",'[5]BASE'!DZ61)</f>
        <v>XXXX</v>
      </c>
      <c r="Q61" s="2731" t="str">
        <f>IF('[5]BASE'!EA61=0,"",'[5]BASE'!EA61)</f>
        <v>XXXX</v>
      </c>
      <c r="R61" s="2731" t="str">
        <f>IF('[5]BASE'!EB61=0,"",'[5]BASE'!EB61)</f>
        <v>XXXX</v>
      </c>
      <c r="S61" s="2731" t="str">
        <f>IF('[5]BASE'!EC61=0,"",'[5]BASE'!EC61)</f>
        <v>XXXX</v>
      </c>
      <c r="T61" s="2732"/>
      <c r="U61" s="2729"/>
    </row>
    <row r="62" spans="2:21" s="2723" customFormat="1" ht="19.5" customHeight="1">
      <c r="B62" s="2724"/>
      <c r="C62" s="2730">
        <f>IF('[5]BASE'!C62=0,"",'[5]BASE'!C62)</f>
      </c>
      <c r="D62" s="2730" t="str">
        <f>IF('[5]BASE'!D62=0,"",'[5]BASE'!D62)</f>
        <v>ROSARIO OESTE - RIO CORONDA</v>
      </c>
      <c r="E62" s="2730">
        <f>IF('[5]BASE'!E62=0,"",'[5]BASE'!E62)</f>
        <v>500</v>
      </c>
      <c r="F62" s="2730">
        <f>IF('[5]BASE'!F62=0,"",'[5]BASE'!F62)</f>
        <v>64.99</v>
      </c>
      <c r="G62" s="2730" t="str">
        <f>IF('[6]BASE'!G62=0,"",'[6]BASE'!G62)</f>
        <v>C</v>
      </c>
      <c r="H62" s="2731">
        <f>IF('[5]BASE'!DR62=0,"",'[5]BASE'!DR62)</f>
      </c>
      <c r="I62" s="2731">
        <f>IF('[5]BASE'!DS62=0,"",'[5]BASE'!DS62)</f>
      </c>
      <c r="J62" s="2731">
        <f>IF('[5]BASE'!DT62=0,"",'[5]BASE'!DT62)</f>
      </c>
      <c r="K62" s="2731">
        <f>IF('[5]BASE'!DU62=0,"",'[5]BASE'!DU62)</f>
      </c>
      <c r="L62" s="2731">
        <f>IF('[5]BASE'!DV62=0,"",'[5]BASE'!DV62)</f>
      </c>
      <c r="M62" s="2731">
        <f>IF('[5]BASE'!DW62=0,"",'[5]BASE'!DW62)</f>
      </c>
      <c r="N62" s="2731">
        <f>IF('[5]BASE'!DX62=0,"",'[5]BASE'!DX62)</f>
      </c>
      <c r="O62" s="2731">
        <f>IF('[5]BASE'!DY62=0,"",'[5]BASE'!DY62)</f>
        <v>1</v>
      </c>
      <c r="P62" s="2731">
        <f>IF('[5]BASE'!DZ62=0,"",'[5]BASE'!DZ62)</f>
      </c>
      <c r="Q62" s="2731">
        <f>IF('[5]BASE'!EA62=0,"",'[5]BASE'!EA62)</f>
      </c>
      <c r="R62" s="2731">
        <f>IF('[5]BASE'!EB62=0,"",'[5]BASE'!EB62)</f>
      </c>
      <c r="S62" s="2731">
        <f>IF('[5]BASE'!EC62=0,"",'[5]BASE'!EC62)</f>
      </c>
      <c r="T62" s="2732"/>
      <c r="U62" s="2729"/>
    </row>
    <row r="63" spans="2:21" s="2723" customFormat="1" ht="19.5" customHeight="1">
      <c r="B63" s="2724"/>
      <c r="C63" s="2730">
        <f>IF('[5]BASE'!C63=0,"",'[5]BASE'!C63)</f>
      </c>
      <c r="D63" s="2730" t="str">
        <f>IF('[5]BASE'!D63=0,"",'[5]BASE'!D63)</f>
        <v>RIO CORONDA - SANTO TOME</v>
      </c>
      <c r="E63" s="2730">
        <f>IF('[5]BASE'!E63=0,"",'[5]BASE'!E63)</f>
        <v>500</v>
      </c>
      <c r="F63" s="2730">
        <f>IF('[5]BASE'!F63=0,"",'[5]BASE'!F63)</f>
        <v>137.94</v>
      </c>
      <c r="G63" s="2730" t="str">
        <f>IF('[6]BASE'!G63=0,"",'[6]BASE'!G63)</f>
        <v>A</v>
      </c>
      <c r="H63" s="2731">
        <f>IF('[5]BASE'!DR63=0,"",'[5]BASE'!DR63)</f>
      </c>
      <c r="I63" s="2731">
        <f>IF('[5]BASE'!DS63=0,"",'[5]BASE'!DS63)</f>
      </c>
      <c r="J63" s="2731">
        <f>IF('[5]BASE'!DT63=0,"",'[5]BASE'!DT63)</f>
      </c>
      <c r="K63" s="2731">
        <f>IF('[5]BASE'!DU63=0,"",'[5]BASE'!DU63)</f>
      </c>
      <c r="L63" s="2731">
        <f>IF('[5]BASE'!DV63=0,"",'[5]BASE'!DV63)</f>
      </c>
      <c r="M63" s="2731">
        <f>IF('[5]BASE'!DW63=0,"",'[5]BASE'!DW63)</f>
      </c>
      <c r="N63" s="2731">
        <f>IF('[5]BASE'!DX63=0,"",'[5]BASE'!DX63)</f>
      </c>
      <c r="O63" s="2731">
        <f>IF('[5]BASE'!DY63=0,"",'[5]BASE'!DY63)</f>
      </c>
      <c r="P63" s="2731">
        <f>IF('[5]BASE'!DZ63=0,"",'[5]BASE'!DZ63)</f>
      </c>
      <c r="Q63" s="2731">
        <f>IF('[5]BASE'!EA63=0,"",'[5]BASE'!EA63)</f>
      </c>
      <c r="R63" s="2731">
        <f>IF('[5]BASE'!EB63=0,"",'[5]BASE'!EB63)</f>
      </c>
      <c r="S63" s="2731">
        <f>IF('[5]BASE'!EC63=0,"",'[5]BASE'!EC63)</f>
      </c>
      <c r="T63" s="2732"/>
      <c r="U63" s="2729"/>
    </row>
    <row r="64" spans="2:21" s="2723" customFormat="1" ht="19.5" customHeight="1">
      <c r="B64" s="2724"/>
      <c r="C64" s="2730">
        <f>IF('[5]BASE'!C64=0,"",'[5]BASE'!C64)</f>
        <v>46</v>
      </c>
      <c r="D64" s="2730" t="str">
        <f>IF('[5]BASE'!D64=0,"",'[5]BASE'!D64)</f>
        <v>SALTO GRANDE - SANTO TOME </v>
      </c>
      <c r="E64" s="2730">
        <f>IF('[5]BASE'!E64=0,"",'[5]BASE'!E64)</f>
        <v>500</v>
      </c>
      <c r="F64" s="2730">
        <f>IF('[5]BASE'!F64=0,"",'[5]BASE'!F64)</f>
        <v>289</v>
      </c>
      <c r="G64" s="2730" t="str">
        <f>IF('[6]BASE'!G64=0,"",'[6]BASE'!G64)</f>
        <v>C</v>
      </c>
      <c r="H64" s="2731">
        <f>IF('[5]BASE'!DR64=0,"",'[5]BASE'!DR64)</f>
      </c>
      <c r="I64" s="2731">
        <f>IF('[5]BASE'!DS64=0,"",'[5]BASE'!DS64)</f>
        <v>1</v>
      </c>
      <c r="J64" s="2731">
        <f>IF('[5]BASE'!DT64=0,"",'[5]BASE'!DT64)</f>
      </c>
      <c r="K64" s="2731">
        <f>IF('[5]BASE'!DU64=0,"",'[5]BASE'!DU64)</f>
      </c>
      <c r="L64" s="2731">
        <f>IF('[5]BASE'!DV64=0,"",'[5]BASE'!DV64)</f>
      </c>
      <c r="M64" s="2731">
        <f>IF('[5]BASE'!DW64=0,"",'[5]BASE'!DW64)</f>
      </c>
      <c r="N64" s="2731">
        <f>IF('[5]BASE'!DX64=0,"",'[5]BASE'!DX64)</f>
      </c>
      <c r="O64" s="2731">
        <f>IF('[5]BASE'!DY64=0,"",'[5]BASE'!DY64)</f>
      </c>
      <c r="P64" s="2731">
        <f>IF('[5]BASE'!DZ64=0,"",'[5]BASE'!DZ64)</f>
      </c>
      <c r="Q64" s="2731">
        <f>IF('[5]BASE'!EA64=0,"",'[5]BASE'!EA64)</f>
      </c>
      <c r="R64" s="2731">
        <f>IF('[5]BASE'!EB64=0,"",'[5]BASE'!EB64)</f>
      </c>
      <c r="S64" s="2731">
        <f>IF('[5]BASE'!EC64=0,"",'[5]BASE'!EC64)</f>
      </c>
      <c r="T64" s="2732"/>
      <c r="U64" s="2729"/>
    </row>
    <row r="65" spans="2:21" s="2723" customFormat="1" ht="19.5" customHeight="1">
      <c r="B65" s="2724"/>
      <c r="C65" s="2730">
        <f>IF('[5]BASE'!C65=0,"",'[5]BASE'!C65)</f>
        <v>47</v>
      </c>
      <c r="D65" s="2730" t="str">
        <f>IF('[5]BASE'!D65=0,"",'[5]BASE'!D65)</f>
        <v>SANTO TOME - ROMANG </v>
      </c>
      <c r="E65" s="2730">
        <f>IF('[5]BASE'!E65=0,"",'[5]BASE'!E65)</f>
        <v>500</v>
      </c>
      <c r="F65" s="2730">
        <f>IF('[5]BASE'!F65=0,"",'[5]BASE'!F65)</f>
        <v>270</v>
      </c>
      <c r="G65" s="2730" t="str">
        <f>IF('[6]BASE'!G65=0,"",'[6]BASE'!G65)</f>
        <v>C</v>
      </c>
      <c r="H65" s="2731">
        <f>IF('[5]BASE'!DR65=0,"",'[5]BASE'!DR65)</f>
      </c>
      <c r="I65" s="2731">
        <f>IF('[5]BASE'!DS65=0,"",'[5]BASE'!DS65)</f>
      </c>
      <c r="J65" s="2731">
        <f>IF('[5]BASE'!DT65=0,"",'[5]BASE'!DT65)</f>
      </c>
      <c r="K65" s="2731">
        <f>IF('[5]BASE'!DU65=0,"",'[5]BASE'!DU65)</f>
      </c>
      <c r="L65" s="2731">
        <f>IF('[5]BASE'!DV65=0,"",'[5]BASE'!DV65)</f>
      </c>
      <c r="M65" s="2731">
        <f>IF('[5]BASE'!DW65=0,"",'[5]BASE'!DW65)</f>
      </c>
      <c r="N65" s="2731">
        <f>IF('[5]BASE'!DX65=0,"",'[5]BASE'!DX65)</f>
      </c>
      <c r="O65" s="2731">
        <f>IF('[5]BASE'!DY65=0,"",'[5]BASE'!DY65)</f>
      </c>
      <c r="P65" s="2731">
        <f>IF('[5]BASE'!DZ65=0,"",'[5]BASE'!DZ65)</f>
      </c>
      <c r="Q65" s="2731">
        <f>IF('[5]BASE'!EA65=0,"",'[5]BASE'!EA65)</f>
      </c>
      <c r="R65" s="2731">
        <f>IF('[5]BASE'!EB65=0,"",'[5]BASE'!EB65)</f>
      </c>
      <c r="S65" s="2731">
        <f>IF('[5]BASE'!EC65=0,"",'[5]BASE'!EC65)</f>
      </c>
      <c r="T65" s="2732"/>
      <c r="U65" s="2729"/>
    </row>
    <row r="66" spans="2:21" s="2723" customFormat="1" ht="19.5" customHeight="1">
      <c r="B66" s="2724"/>
      <c r="C66" s="2730">
        <f>IF('[5]BASE'!C66=0,"",'[5]BASE'!C66)</f>
      </c>
      <c r="D66" s="2730">
        <f>IF('[5]BASE'!D66=0,"",'[5]BASE'!D66)</f>
      </c>
      <c r="E66" s="2730">
        <f>IF('[5]BASE'!E66=0,"",'[5]BASE'!E66)</f>
      </c>
      <c r="F66" s="2730">
        <f>IF('[5]BASE'!F66=0,"",'[5]BASE'!F66)</f>
      </c>
      <c r="G66" s="2730" t="str">
        <f>IF('[6]BASE'!G66=0,"",'[6]BASE'!G66)</f>
        <v>C</v>
      </c>
      <c r="H66" s="2731">
        <f>IF('[5]BASE'!DR66=0,"",'[5]BASE'!DR66)</f>
      </c>
      <c r="I66" s="2731">
        <f>IF('[5]BASE'!DS66=0,"",'[5]BASE'!DS66)</f>
      </c>
      <c r="J66" s="2731">
        <f>IF('[5]BASE'!DT66=0,"",'[5]BASE'!DT66)</f>
      </c>
      <c r="K66" s="2731">
        <f>IF('[5]BASE'!DU66=0,"",'[5]BASE'!DU66)</f>
      </c>
      <c r="L66" s="2731">
        <f>IF('[5]BASE'!DV66=0,"",'[5]BASE'!DV66)</f>
      </c>
      <c r="M66" s="2731">
        <f>IF('[5]BASE'!DW66=0,"",'[5]BASE'!DW66)</f>
      </c>
      <c r="N66" s="2731">
        <f>IF('[5]BASE'!DX66=0,"",'[5]BASE'!DX66)</f>
      </c>
      <c r="O66" s="2731">
        <f>IF('[5]BASE'!DY66=0,"",'[5]BASE'!DY66)</f>
      </c>
      <c r="P66" s="2731">
        <f>IF('[5]BASE'!DZ66=0,"",'[5]BASE'!DZ66)</f>
      </c>
      <c r="Q66" s="2731">
        <f>IF('[5]BASE'!EA66=0,"",'[5]BASE'!EA66)</f>
      </c>
      <c r="R66" s="2731">
        <f>IF('[5]BASE'!EB66=0,"",'[5]BASE'!EB66)</f>
      </c>
      <c r="S66" s="2731">
        <f>IF('[5]BASE'!EC66=0,"",'[5]BASE'!EC66)</f>
      </c>
      <c r="T66" s="2732"/>
      <c r="U66" s="2729"/>
    </row>
    <row r="67" spans="2:21" s="2723" customFormat="1" ht="19.5" customHeight="1">
      <c r="B67" s="2724"/>
      <c r="C67" s="2730">
        <f>IF('[5]BASE'!C67=0,"",'[5]BASE'!C67)</f>
        <v>48</v>
      </c>
      <c r="D67" s="2730" t="str">
        <f>IF('[5]BASE'!D67=0,"",'[5]BASE'!D67)</f>
        <v>GRAL. RODRIGUEZ - VILLA  LIA 1</v>
      </c>
      <c r="E67" s="2730">
        <f>IF('[5]BASE'!E67=0,"",'[5]BASE'!E67)</f>
        <v>220</v>
      </c>
      <c r="F67" s="2730">
        <f>IF('[5]BASE'!F67=0,"",'[5]BASE'!F67)</f>
        <v>61</v>
      </c>
      <c r="G67" s="2730" t="str">
        <f>IF('[6]BASE'!G67=0,"",'[6]BASE'!G67)</f>
        <v>C</v>
      </c>
      <c r="H67" s="2731">
        <f>IF('[5]BASE'!DR67=0,"",'[5]BASE'!DR67)</f>
      </c>
      <c r="I67" s="2731">
        <f>IF('[5]BASE'!DS67=0,"",'[5]BASE'!DS67)</f>
      </c>
      <c r="J67" s="2731">
        <f>IF('[5]BASE'!DT67=0,"",'[5]BASE'!DT67)</f>
      </c>
      <c r="K67" s="2731">
        <f>IF('[5]BASE'!DU67=0,"",'[5]BASE'!DU67)</f>
      </c>
      <c r="L67" s="2731">
        <f>IF('[5]BASE'!DV67=0,"",'[5]BASE'!DV67)</f>
      </c>
      <c r="M67" s="2731">
        <f>IF('[5]BASE'!DW67=0,"",'[5]BASE'!DW67)</f>
      </c>
      <c r="N67" s="2731">
        <f>IF('[5]BASE'!DX67=0,"",'[5]BASE'!DX67)</f>
      </c>
      <c r="O67" s="2731">
        <f>IF('[5]BASE'!DY67=0,"",'[5]BASE'!DY67)</f>
      </c>
      <c r="P67" s="2731">
        <f>IF('[5]BASE'!DZ67=0,"",'[5]BASE'!DZ67)</f>
      </c>
      <c r="Q67" s="2731">
        <f>IF('[5]BASE'!EA67=0,"",'[5]BASE'!EA67)</f>
      </c>
      <c r="R67" s="2731">
        <f>IF('[5]BASE'!EB67=0,"",'[5]BASE'!EB67)</f>
      </c>
      <c r="S67" s="2731">
        <f>IF('[5]BASE'!EC67=0,"",'[5]BASE'!EC67)</f>
      </c>
      <c r="T67" s="2732"/>
      <c r="U67" s="2729"/>
    </row>
    <row r="68" spans="2:21" s="2723" customFormat="1" ht="19.5" customHeight="1">
      <c r="B68" s="2724"/>
      <c r="C68" s="2730">
        <f>IF('[5]BASE'!C68=0,"",'[5]BASE'!C68)</f>
        <v>49</v>
      </c>
      <c r="D68" s="2730" t="str">
        <f>IF('[5]BASE'!D68=0,"",'[5]BASE'!D68)</f>
        <v>GRAL. RODRIGUEZ - VILLA  LIA 2</v>
      </c>
      <c r="E68" s="2730">
        <f>IF('[5]BASE'!E68=0,"",'[5]BASE'!E68)</f>
        <v>220</v>
      </c>
      <c r="F68" s="2730">
        <f>IF('[5]BASE'!F68=0,"",'[5]BASE'!F68)</f>
        <v>61</v>
      </c>
      <c r="G68" s="2730" t="str">
        <f>IF('[6]BASE'!G68=0,"",'[6]BASE'!G68)</f>
        <v>C</v>
      </c>
      <c r="H68" s="2731">
        <f>IF('[5]BASE'!DR68=0,"",'[5]BASE'!DR68)</f>
      </c>
      <c r="I68" s="2731">
        <f>IF('[5]BASE'!DS68=0,"",'[5]BASE'!DS68)</f>
      </c>
      <c r="J68" s="2731">
        <f>IF('[5]BASE'!DT68=0,"",'[5]BASE'!DT68)</f>
      </c>
      <c r="K68" s="2731">
        <f>IF('[5]BASE'!DU68=0,"",'[5]BASE'!DU68)</f>
      </c>
      <c r="L68" s="2731">
        <f>IF('[5]BASE'!DV68=0,"",'[5]BASE'!DV68)</f>
      </c>
      <c r="M68" s="2731">
        <f>IF('[5]BASE'!DW68=0,"",'[5]BASE'!DW68)</f>
      </c>
      <c r="N68" s="2731">
        <f>IF('[5]BASE'!DX68=0,"",'[5]BASE'!DX68)</f>
      </c>
      <c r="O68" s="2731">
        <f>IF('[5]BASE'!DY68=0,"",'[5]BASE'!DY68)</f>
      </c>
      <c r="P68" s="2731">
        <f>IF('[5]BASE'!DZ68=0,"",'[5]BASE'!DZ68)</f>
      </c>
      <c r="Q68" s="2731">
        <f>IF('[5]BASE'!EA68=0,"",'[5]BASE'!EA68)</f>
      </c>
      <c r="R68" s="2731">
        <f>IF('[5]BASE'!EB68=0,"",'[5]BASE'!EB68)</f>
      </c>
      <c r="S68" s="2731">
        <f>IF('[5]BASE'!EC68=0,"",'[5]BASE'!EC68)</f>
      </c>
      <c r="T68" s="2732"/>
      <c r="U68" s="2729"/>
    </row>
    <row r="69" spans="2:21" s="2723" customFormat="1" ht="19.5" customHeight="1">
      <c r="B69" s="2724"/>
      <c r="C69" s="2730">
        <f>IF('[5]BASE'!C69=0,"",'[5]BASE'!C69)</f>
        <v>50</v>
      </c>
      <c r="D69" s="2730" t="str">
        <f>IF('[5]BASE'!D69=0,"",'[5]BASE'!D69)</f>
        <v>RAMALLO - SAN NICOLAS (2)</v>
      </c>
      <c r="E69" s="2730">
        <f>IF('[5]BASE'!E69=0,"",'[5]BASE'!E69)</f>
        <v>220</v>
      </c>
      <c r="F69" s="2730">
        <f>IF('[5]BASE'!F69=0,"",'[5]BASE'!F69)</f>
        <v>6</v>
      </c>
      <c r="G69" s="2730" t="str">
        <f>IF('[6]BASE'!G69=0,"",'[6]BASE'!G69)</f>
        <v>C</v>
      </c>
      <c r="H69" s="2731">
        <f>IF('[5]BASE'!DR69=0,"",'[5]BASE'!DR69)</f>
      </c>
      <c r="I69" s="2731">
        <f>IF('[5]BASE'!DS69=0,"",'[5]BASE'!DS69)</f>
        <v>1</v>
      </c>
      <c r="J69" s="2731">
        <f>IF('[5]BASE'!DT69=0,"",'[5]BASE'!DT69)</f>
      </c>
      <c r="K69" s="2731">
        <f>IF('[5]BASE'!DU69=0,"",'[5]BASE'!DU69)</f>
      </c>
      <c r="L69" s="2731">
        <f>IF('[5]BASE'!DV69=0,"",'[5]BASE'!DV69)</f>
      </c>
      <c r="M69" s="2731">
        <f>IF('[5]BASE'!DW69=0,"",'[5]BASE'!DW69)</f>
      </c>
      <c r="N69" s="2731">
        <f>IF('[5]BASE'!DX69=0,"",'[5]BASE'!DX69)</f>
      </c>
      <c r="O69" s="2731">
        <f>IF('[5]BASE'!DY69=0,"",'[5]BASE'!DY69)</f>
      </c>
      <c r="P69" s="2731">
        <f>IF('[5]BASE'!DZ69=0,"",'[5]BASE'!DZ69)</f>
      </c>
      <c r="Q69" s="2731">
        <f>IF('[5]BASE'!EA69=0,"",'[5]BASE'!EA69)</f>
      </c>
      <c r="R69" s="2731">
        <f>IF('[5]BASE'!EB69=0,"",'[5]BASE'!EB69)</f>
      </c>
      <c r="S69" s="2731">
        <f>IF('[5]BASE'!EC69=0,"",'[5]BASE'!EC69)</f>
      </c>
      <c r="T69" s="2732"/>
      <c r="U69" s="2729"/>
    </row>
    <row r="70" spans="2:21" s="2723" customFormat="1" ht="19.5" customHeight="1">
      <c r="B70" s="2724"/>
      <c r="C70" s="2730">
        <f>IF('[5]BASE'!C70=0,"",'[5]BASE'!C70)</f>
        <v>51</v>
      </c>
      <c r="D70" s="2730" t="str">
        <f>IF('[5]BASE'!D70=0,"",'[5]BASE'!D70)</f>
        <v>RAMALLO - SAN NICOLAS (1)</v>
      </c>
      <c r="E70" s="2730">
        <f>IF('[5]BASE'!E70=0,"",'[5]BASE'!E70)</f>
        <v>220</v>
      </c>
      <c r="F70" s="2730">
        <f>IF('[5]BASE'!F70=0,"",'[5]BASE'!F70)</f>
        <v>6</v>
      </c>
      <c r="G70" s="2730" t="str">
        <f>IF('[6]BASE'!G70=0,"",'[6]BASE'!G70)</f>
        <v>C</v>
      </c>
      <c r="H70" s="2731">
        <f>IF('[5]BASE'!DR70=0,"",'[5]BASE'!DR70)</f>
      </c>
      <c r="I70" s="2731">
        <f>IF('[5]BASE'!DS70=0,"",'[5]BASE'!DS70)</f>
      </c>
      <c r="J70" s="2731">
        <f>IF('[5]BASE'!DT70=0,"",'[5]BASE'!DT70)</f>
      </c>
      <c r="K70" s="2731">
        <f>IF('[5]BASE'!DU70=0,"",'[5]BASE'!DU70)</f>
      </c>
      <c r="L70" s="2731">
        <f>IF('[5]BASE'!DV70=0,"",'[5]BASE'!DV70)</f>
      </c>
      <c r="M70" s="2731">
        <f>IF('[5]BASE'!DW70=0,"",'[5]BASE'!DW70)</f>
      </c>
      <c r="N70" s="2731">
        <f>IF('[5]BASE'!DX70=0,"",'[5]BASE'!DX70)</f>
      </c>
      <c r="O70" s="2731">
        <f>IF('[5]BASE'!DY70=0,"",'[5]BASE'!DY70)</f>
      </c>
      <c r="P70" s="2731">
        <f>IF('[5]BASE'!DZ70=0,"",'[5]BASE'!DZ70)</f>
      </c>
      <c r="Q70" s="2731">
        <f>IF('[5]BASE'!EA70=0,"",'[5]BASE'!EA70)</f>
      </c>
      <c r="R70" s="2731">
        <f>IF('[5]BASE'!EB70=0,"",'[5]BASE'!EB70)</f>
      </c>
      <c r="S70" s="2731">
        <f>IF('[5]BASE'!EC70=0,"",'[5]BASE'!EC70)</f>
      </c>
      <c r="T70" s="2732"/>
      <c r="U70" s="2729"/>
    </row>
    <row r="71" spans="2:21" s="2723" customFormat="1" ht="19.5" customHeight="1">
      <c r="B71" s="2724"/>
      <c r="C71" s="2730">
        <f>IF('[5]BASE'!C71=0,"",'[5]BASE'!C71)</f>
        <v>52</v>
      </c>
      <c r="D71" s="2730" t="str">
        <f>IF('[5]BASE'!D71=0,"",'[5]BASE'!D71)</f>
        <v>RAMALLO - VILLA LIA  1</v>
      </c>
      <c r="E71" s="2730">
        <f>IF('[5]BASE'!E71=0,"",'[5]BASE'!E71)</f>
        <v>220</v>
      </c>
      <c r="F71" s="2730">
        <f>IF('[5]BASE'!F71=0,"",'[5]BASE'!F71)</f>
        <v>114</v>
      </c>
      <c r="G71" s="2730" t="str">
        <f>IF('[6]BASE'!G71=0,"",'[6]BASE'!G71)</f>
        <v>C</v>
      </c>
      <c r="H71" s="2731">
        <f>IF('[5]BASE'!DR71=0,"",'[5]BASE'!DR71)</f>
      </c>
      <c r="I71" s="2731">
        <f>IF('[5]BASE'!DS71=0,"",'[5]BASE'!DS71)</f>
      </c>
      <c r="J71" s="2731">
        <f>IF('[5]BASE'!DT71=0,"",'[5]BASE'!DT71)</f>
      </c>
      <c r="K71" s="2731">
        <f>IF('[5]BASE'!DU71=0,"",'[5]BASE'!DU71)</f>
      </c>
      <c r="L71" s="2731">
        <f>IF('[5]BASE'!DV71=0,"",'[5]BASE'!DV71)</f>
      </c>
      <c r="M71" s="2731">
        <f>IF('[5]BASE'!DW71=0,"",'[5]BASE'!DW71)</f>
      </c>
      <c r="N71" s="2731">
        <f>IF('[5]BASE'!DX71=0,"",'[5]BASE'!DX71)</f>
      </c>
      <c r="O71" s="2731">
        <f>IF('[5]BASE'!DY71=0,"",'[5]BASE'!DY71)</f>
        <v>1</v>
      </c>
      <c r="P71" s="2731">
        <f>IF('[5]BASE'!DZ71=0,"",'[5]BASE'!DZ71)</f>
      </c>
      <c r="Q71" s="2731">
        <f>IF('[5]BASE'!EA71=0,"",'[5]BASE'!EA71)</f>
      </c>
      <c r="R71" s="2731">
        <f>IF('[5]BASE'!EB71=0,"",'[5]BASE'!EB71)</f>
      </c>
      <c r="S71" s="2731">
        <f>IF('[5]BASE'!EC71=0,"",'[5]BASE'!EC71)</f>
      </c>
      <c r="T71" s="2732"/>
      <c r="U71" s="2729"/>
    </row>
    <row r="72" spans="2:21" s="2723" customFormat="1" ht="19.5" customHeight="1">
      <c r="B72" s="2724"/>
      <c r="C72" s="2730">
        <f>IF('[5]BASE'!C72=0,"",'[5]BASE'!C72)</f>
        <v>53</v>
      </c>
      <c r="D72" s="2730" t="str">
        <f>IF('[5]BASE'!D72=0,"",'[5]BASE'!D72)</f>
        <v>RAMALLO - VILLA LIA  2</v>
      </c>
      <c r="E72" s="2730">
        <f>IF('[5]BASE'!E72=0,"",'[5]BASE'!E72)</f>
        <v>220</v>
      </c>
      <c r="F72" s="2730">
        <f>IF('[5]BASE'!F72=0,"",'[5]BASE'!F72)</f>
        <v>114</v>
      </c>
      <c r="G72" s="2730" t="str">
        <f>IF('[6]BASE'!G72=0,"",'[6]BASE'!G72)</f>
        <v>C</v>
      </c>
      <c r="H72" s="2731">
        <f>IF('[5]BASE'!DR72=0,"",'[5]BASE'!DR72)</f>
      </c>
      <c r="I72" s="2731">
        <f>IF('[5]BASE'!DS72=0,"",'[5]BASE'!DS72)</f>
      </c>
      <c r="J72" s="2731">
        <f>IF('[5]BASE'!DT72=0,"",'[5]BASE'!DT72)</f>
      </c>
      <c r="K72" s="2731">
        <f>IF('[5]BASE'!DU72=0,"",'[5]BASE'!DU72)</f>
      </c>
      <c r="L72" s="2731">
        <f>IF('[5]BASE'!DV72=0,"",'[5]BASE'!DV72)</f>
      </c>
      <c r="M72" s="2731">
        <f>IF('[5]BASE'!DW72=0,"",'[5]BASE'!DW72)</f>
      </c>
      <c r="N72" s="2731">
        <f>IF('[5]BASE'!DX72=0,"",'[5]BASE'!DX72)</f>
        <v>1</v>
      </c>
      <c r="O72" s="2731">
        <f>IF('[5]BASE'!DY72=0,"",'[5]BASE'!DY72)</f>
      </c>
      <c r="P72" s="2731">
        <f>IF('[5]BASE'!DZ72=0,"",'[5]BASE'!DZ72)</f>
      </c>
      <c r="Q72" s="2731">
        <f>IF('[5]BASE'!EA72=0,"",'[5]BASE'!EA72)</f>
      </c>
      <c r="R72" s="2731">
        <f>IF('[5]BASE'!EB72=0,"",'[5]BASE'!EB72)</f>
      </c>
      <c r="S72" s="2731">
        <f>IF('[5]BASE'!EC72=0,"",'[5]BASE'!EC72)</f>
      </c>
      <c r="T72" s="2732"/>
      <c r="U72" s="2729"/>
    </row>
    <row r="73" spans="2:21" s="2723" customFormat="1" ht="19.5" customHeight="1">
      <c r="B73" s="2724"/>
      <c r="C73" s="2730">
        <f>IF('[5]BASE'!C73=0,"",'[5]BASE'!C73)</f>
        <v>54</v>
      </c>
      <c r="D73" s="2730" t="str">
        <f>IF('[5]BASE'!D73=0,"",'[5]BASE'!D73)</f>
        <v>ROSARIO OESTE - RAMALLO  1</v>
      </c>
      <c r="E73" s="2730">
        <f>IF('[5]BASE'!E73=0,"",'[5]BASE'!E73)</f>
        <v>220</v>
      </c>
      <c r="F73" s="2730">
        <f>IF('[5]BASE'!F73=0,"",'[5]BASE'!F73)</f>
        <v>77</v>
      </c>
      <c r="G73" s="2730" t="str">
        <f>IF('[6]BASE'!G73=0,"",'[6]BASE'!G73)</f>
        <v>C</v>
      </c>
      <c r="H73" s="2731">
        <f>IF('[5]BASE'!DR73=0,"",'[5]BASE'!DR73)</f>
      </c>
      <c r="I73" s="2731">
        <f>IF('[5]BASE'!DS73=0,"",'[5]BASE'!DS73)</f>
      </c>
      <c r="J73" s="2731">
        <f>IF('[5]BASE'!DT73=0,"",'[5]BASE'!DT73)</f>
      </c>
      <c r="K73" s="2731">
        <f>IF('[5]BASE'!DU73=0,"",'[5]BASE'!DU73)</f>
      </c>
      <c r="L73" s="2731">
        <f>IF('[5]BASE'!DV73=0,"",'[5]BASE'!DV73)</f>
      </c>
      <c r="M73" s="2731">
        <f>IF('[5]BASE'!DW73=0,"",'[5]BASE'!DW73)</f>
        <v>1</v>
      </c>
      <c r="N73" s="2731">
        <f>IF('[5]BASE'!DX73=0,"",'[5]BASE'!DX73)</f>
      </c>
      <c r="O73" s="2731">
        <f>IF('[5]BASE'!DY73=0,"",'[5]BASE'!DY73)</f>
      </c>
      <c r="P73" s="2731">
        <f>IF('[5]BASE'!DZ73=0,"",'[5]BASE'!DZ73)</f>
      </c>
      <c r="Q73" s="2731">
        <f>IF('[5]BASE'!EA73=0,"",'[5]BASE'!EA73)</f>
      </c>
      <c r="R73" s="2731">
        <f>IF('[5]BASE'!EB73=0,"",'[5]BASE'!EB73)</f>
      </c>
      <c r="S73" s="2731">
        <f>IF('[5]BASE'!EC73=0,"",'[5]BASE'!EC73)</f>
      </c>
      <c r="T73" s="2732"/>
      <c r="U73" s="2729"/>
    </row>
    <row r="74" spans="2:21" s="2723" customFormat="1" ht="19.5" customHeight="1">
      <c r="B74" s="2724"/>
      <c r="C74" s="2730">
        <f>IF('[5]BASE'!C74=0,"",'[5]BASE'!C74)</f>
        <v>55</v>
      </c>
      <c r="D74" s="2730" t="str">
        <f>IF('[5]BASE'!D74=0,"",'[5]BASE'!D74)</f>
        <v>ROSARIO OESTE - RAMALLO  2</v>
      </c>
      <c r="E74" s="2730">
        <f>IF('[5]BASE'!E74=0,"",'[5]BASE'!E74)</f>
        <v>220</v>
      </c>
      <c r="F74" s="2730">
        <f>IF('[5]BASE'!F74=0,"",'[5]BASE'!F74)</f>
        <v>77</v>
      </c>
      <c r="G74" s="2730" t="str">
        <f>IF('[6]BASE'!G74=0,"",'[6]BASE'!G74)</f>
        <v>C</v>
      </c>
      <c r="H74" s="2731">
        <f>IF('[5]BASE'!DR74=0,"",'[5]BASE'!DR74)</f>
      </c>
      <c r="I74" s="2731">
        <f>IF('[5]BASE'!DS74=0,"",'[5]BASE'!DS74)</f>
      </c>
      <c r="J74" s="2731">
        <f>IF('[5]BASE'!DT74=0,"",'[5]BASE'!DT74)</f>
      </c>
      <c r="K74" s="2731">
        <f>IF('[5]BASE'!DU74=0,"",'[5]BASE'!DU74)</f>
      </c>
      <c r="L74" s="2731">
        <f>IF('[5]BASE'!DV74=0,"",'[5]BASE'!DV74)</f>
      </c>
      <c r="M74" s="2731">
        <f>IF('[5]BASE'!DW74=0,"",'[5]BASE'!DW74)</f>
      </c>
      <c r="N74" s="2731">
        <f>IF('[5]BASE'!DX74=0,"",'[5]BASE'!DX74)</f>
      </c>
      <c r="O74" s="2731">
        <f>IF('[5]BASE'!DY74=0,"",'[5]BASE'!DY74)</f>
      </c>
      <c r="P74" s="2731">
        <f>IF('[5]BASE'!DZ74=0,"",'[5]BASE'!DZ74)</f>
      </c>
      <c r="Q74" s="2731">
        <f>IF('[5]BASE'!EA74=0,"",'[5]BASE'!EA74)</f>
      </c>
      <c r="R74" s="2731">
        <f>IF('[5]BASE'!EB74=0,"",'[5]BASE'!EB74)</f>
      </c>
      <c r="S74" s="2731">
        <f>IF('[5]BASE'!EC74=0,"",'[5]BASE'!EC74)</f>
      </c>
      <c r="T74" s="2732"/>
      <c r="U74" s="2729"/>
    </row>
    <row r="75" spans="2:21" s="2723" customFormat="1" ht="19.5" customHeight="1">
      <c r="B75" s="2724"/>
      <c r="C75" s="2730">
        <f>IF('[5]BASE'!C75=0,"",'[5]BASE'!C75)</f>
        <v>56</v>
      </c>
      <c r="D75" s="2730" t="str">
        <f>IF('[5]BASE'!D75=0,"",'[5]BASE'!D75)</f>
        <v>VILLA LIA - ATUCHA 1</v>
      </c>
      <c r="E75" s="2730">
        <f>IF('[5]BASE'!E75=0,"",'[5]BASE'!E75)</f>
        <v>220</v>
      </c>
      <c r="F75" s="2730">
        <f>IF('[5]BASE'!F75=0,"",'[5]BASE'!F75)</f>
        <v>26</v>
      </c>
      <c r="G75" s="2730" t="str">
        <f>IF('[6]BASE'!G75=0,"",'[6]BASE'!G75)</f>
        <v>C</v>
      </c>
      <c r="H75" s="2731">
        <f>IF('[5]BASE'!DR75=0,"",'[5]BASE'!DR75)</f>
      </c>
      <c r="I75" s="2731">
        <f>IF('[5]BASE'!DS75=0,"",'[5]BASE'!DS75)</f>
      </c>
      <c r="J75" s="2731">
        <f>IF('[5]BASE'!DT75=0,"",'[5]BASE'!DT75)</f>
      </c>
      <c r="K75" s="2731">
        <f>IF('[5]BASE'!DU75=0,"",'[5]BASE'!DU75)</f>
      </c>
      <c r="L75" s="2731">
        <f>IF('[5]BASE'!DV75=0,"",'[5]BASE'!DV75)</f>
      </c>
      <c r="M75" s="2731">
        <f>IF('[5]BASE'!DW75=0,"",'[5]BASE'!DW75)</f>
      </c>
      <c r="N75" s="2731">
        <f>IF('[5]BASE'!DX75=0,"",'[5]BASE'!DX75)</f>
      </c>
      <c r="O75" s="2731">
        <f>IF('[5]BASE'!DY75=0,"",'[5]BASE'!DY75)</f>
      </c>
      <c r="P75" s="2731">
        <f>IF('[5]BASE'!DZ75=0,"",'[5]BASE'!DZ75)</f>
      </c>
      <c r="Q75" s="2731">
        <f>IF('[5]BASE'!EA75=0,"",'[5]BASE'!EA75)</f>
      </c>
      <c r="R75" s="2731">
        <f>IF('[5]BASE'!EB75=0,"",'[5]BASE'!EB75)</f>
      </c>
      <c r="S75" s="2731">
        <f>IF('[5]BASE'!EC75=0,"",'[5]BASE'!EC75)</f>
      </c>
      <c r="T75" s="2732"/>
      <c r="U75" s="2729"/>
    </row>
    <row r="76" spans="2:21" s="2723" customFormat="1" ht="19.5" customHeight="1">
      <c r="B76" s="2724"/>
      <c r="C76" s="2730">
        <f>IF('[5]BASE'!C76=0,"",'[5]BASE'!C76)</f>
        <v>57</v>
      </c>
      <c r="D76" s="2730" t="str">
        <f>IF('[5]BASE'!D76=0,"",'[5]BASE'!D76)</f>
        <v>VILLA LIA - ATUCHA 2</v>
      </c>
      <c r="E76" s="2730">
        <f>IF('[5]BASE'!E76=0,"",'[5]BASE'!E76)</f>
        <v>220</v>
      </c>
      <c r="F76" s="2730">
        <f>IF('[5]BASE'!F76=0,"",'[5]BASE'!F76)</f>
        <v>26</v>
      </c>
      <c r="G76" s="2730" t="str">
        <f>IF('[6]BASE'!G76=0,"",'[6]BASE'!G76)</f>
        <v>C</v>
      </c>
      <c r="H76" s="2731">
        <f>IF('[5]BASE'!DR76=0,"",'[5]BASE'!DR76)</f>
        <v>1</v>
      </c>
      <c r="I76" s="2731">
        <f>IF('[5]BASE'!DS76=0,"",'[5]BASE'!DS76)</f>
      </c>
      <c r="J76" s="2731">
        <f>IF('[5]BASE'!DT76=0,"",'[5]BASE'!DT76)</f>
      </c>
      <c r="K76" s="2731">
        <f>IF('[5]BASE'!DU76=0,"",'[5]BASE'!DU76)</f>
      </c>
      <c r="L76" s="2731">
        <f>IF('[5]BASE'!DV76=0,"",'[5]BASE'!DV76)</f>
      </c>
      <c r="M76" s="2731">
        <f>IF('[5]BASE'!DW76=0,"",'[5]BASE'!DW76)</f>
      </c>
      <c r="N76" s="2731">
        <f>IF('[5]BASE'!DX76=0,"",'[5]BASE'!DX76)</f>
      </c>
      <c r="O76" s="2731">
        <f>IF('[5]BASE'!DY76=0,"",'[5]BASE'!DY76)</f>
      </c>
      <c r="P76" s="2731">
        <f>IF('[5]BASE'!DZ76=0,"",'[5]BASE'!DZ76)</f>
      </c>
      <c r="Q76" s="2731">
        <f>IF('[5]BASE'!EA76=0,"",'[5]BASE'!EA76)</f>
      </c>
      <c r="R76" s="2731">
        <f>IF('[5]BASE'!EB76=0,"",'[5]BASE'!EB76)</f>
      </c>
      <c r="S76" s="2731">
        <f>IF('[5]BASE'!EC76=0,"",'[5]BASE'!EC76)</f>
      </c>
      <c r="T76" s="2732"/>
      <c r="U76" s="2729"/>
    </row>
    <row r="77" spans="2:21" s="2723" customFormat="1" ht="19.5" customHeight="1">
      <c r="B77" s="2724"/>
      <c r="C77" s="2730">
        <f>IF('[5]BASE'!C77=0,"",'[5]BASE'!C77)</f>
      </c>
      <c r="D77" s="2730">
        <f>IF('[5]BASE'!D77=0,"",'[5]BASE'!D77)</f>
      </c>
      <c r="E77" s="2730">
        <f>IF('[5]BASE'!E77=0,"",'[5]BASE'!E77)</f>
      </c>
      <c r="F77" s="2730">
        <f>IF('[5]BASE'!F77=0,"",'[5]BASE'!F77)</f>
      </c>
      <c r="G77" s="2730" t="str">
        <f>IF('[6]BASE'!G77=0,"",'[6]BASE'!G77)</f>
        <v>C</v>
      </c>
      <c r="H77" s="2731">
        <f>IF('[5]BASE'!DR77=0,"",'[5]BASE'!DR77)</f>
      </c>
      <c r="I77" s="2731">
        <f>IF('[5]BASE'!DS77=0,"",'[5]BASE'!DS77)</f>
      </c>
      <c r="J77" s="2731">
        <f>IF('[5]BASE'!DT77=0,"",'[5]BASE'!DT77)</f>
      </c>
      <c r="K77" s="2731">
        <f>IF('[5]BASE'!DU77=0,"",'[5]BASE'!DU77)</f>
      </c>
      <c r="L77" s="2731">
        <f>IF('[5]BASE'!DV77=0,"",'[5]BASE'!DV77)</f>
      </c>
      <c r="M77" s="2731">
        <f>IF('[5]BASE'!DW77=0,"",'[5]BASE'!DW77)</f>
      </c>
      <c r="N77" s="2731">
        <f>IF('[5]BASE'!DX77=0,"",'[5]BASE'!DX77)</f>
      </c>
      <c r="O77" s="2731">
        <f>IF('[5]BASE'!DY77=0,"",'[5]BASE'!DY77)</f>
      </c>
      <c r="P77" s="2731">
        <f>IF('[5]BASE'!DZ77=0,"",'[5]BASE'!DZ77)</f>
      </c>
      <c r="Q77" s="2731">
        <f>IF('[5]BASE'!EA77=0,"",'[5]BASE'!EA77)</f>
      </c>
      <c r="R77" s="2731">
        <f>IF('[5]BASE'!EB77=0,"",'[5]BASE'!EB77)</f>
      </c>
      <c r="S77" s="2731">
        <f>IF('[5]BASE'!EC77=0,"",'[5]BASE'!EC77)</f>
      </c>
      <c r="T77" s="2732"/>
      <c r="U77" s="2729"/>
    </row>
    <row r="78" spans="2:21" s="2723" customFormat="1" ht="19.5" customHeight="1">
      <c r="B78" s="2724"/>
      <c r="C78" s="2730">
        <f>IF('[5]BASE'!C78=0,"",'[5]BASE'!C78)</f>
        <v>58</v>
      </c>
      <c r="D78" s="2730" t="str">
        <f>IF('[5]BASE'!D78=0,"",'[5]BASE'!D78)</f>
        <v>GRAL RODRIGUEZ - RAMALLO</v>
      </c>
      <c r="E78" s="2730">
        <f>IF('[5]BASE'!E78=0,"",'[5]BASE'!E78)</f>
        <v>500</v>
      </c>
      <c r="F78" s="2730">
        <f>IF('[5]BASE'!F78=0,"",'[5]BASE'!F78)</f>
        <v>183.9</v>
      </c>
      <c r="G78" s="2730" t="str">
        <f>IF('[6]BASE'!G78=0,"",'[6]BASE'!G78)</f>
        <v>A</v>
      </c>
      <c r="H78" s="2731">
        <f>IF('[5]BASE'!DR78=0,"",'[5]BASE'!DR78)</f>
      </c>
      <c r="I78" s="2731">
        <f>IF('[5]BASE'!DS78=0,"",'[5]BASE'!DS78)</f>
      </c>
      <c r="J78" s="2731">
        <f>IF('[5]BASE'!DT78=0,"",'[5]BASE'!DT78)</f>
      </c>
      <c r="K78" s="2731">
        <f>IF('[5]BASE'!DU78=0,"",'[5]BASE'!DU78)</f>
      </c>
      <c r="L78" s="2731">
        <f>IF('[5]BASE'!DV78=0,"",'[5]BASE'!DV78)</f>
      </c>
      <c r="M78" s="2731">
        <f>IF('[5]BASE'!DW78=0,"",'[5]BASE'!DW78)</f>
      </c>
      <c r="N78" s="2731">
        <f>IF('[5]BASE'!DX78=0,"",'[5]BASE'!DX78)</f>
      </c>
      <c r="O78" s="2731">
        <f>IF('[5]BASE'!DY78=0,"",'[5]BASE'!DY78)</f>
      </c>
      <c r="P78" s="2731">
        <f>IF('[5]BASE'!DZ78=0,"",'[5]BASE'!DZ78)</f>
      </c>
      <c r="Q78" s="2731">
        <f>IF('[5]BASE'!EA78=0,"",'[5]BASE'!EA78)</f>
      </c>
      <c r="R78" s="2731">
        <f>IF('[5]BASE'!EB78=0,"",'[5]BASE'!EB78)</f>
      </c>
      <c r="S78" s="2731">
        <f>IF('[5]BASE'!EC78=0,"",'[5]BASE'!EC78)</f>
      </c>
      <c r="T78" s="2732"/>
      <c r="U78" s="2729"/>
    </row>
    <row r="79" spans="2:21" s="2723" customFormat="1" ht="19.5" customHeight="1">
      <c r="B79" s="2724"/>
      <c r="C79" s="2730">
        <f>IF('[5]BASE'!C79=0,"",'[5]BASE'!C79)</f>
        <v>59</v>
      </c>
      <c r="D79" s="2730" t="str">
        <f>IF('[5]BASE'!D79=0,"",'[5]BASE'!D79)</f>
        <v>RAMALLO - ROSARIO OESTE</v>
      </c>
      <c r="E79" s="2730">
        <f>IF('[5]BASE'!E79=0,"",'[5]BASE'!E79)</f>
        <v>500</v>
      </c>
      <c r="F79" s="2730">
        <f>IF('[5]BASE'!F79=0,"",'[5]BASE'!F79)</f>
        <v>77</v>
      </c>
      <c r="G79" s="2730" t="str">
        <f>IF('[6]BASE'!G79=0,"",'[6]BASE'!G79)</f>
        <v>A</v>
      </c>
      <c r="H79" s="2731">
        <f>IF('[5]BASE'!DR79=0,"",'[5]BASE'!DR79)</f>
      </c>
      <c r="I79" s="2731">
        <f>IF('[5]BASE'!DS79=0,"",'[5]BASE'!DS79)</f>
      </c>
      <c r="J79" s="2731">
        <f>IF('[5]BASE'!DT79=0,"",'[5]BASE'!DT79)</f>
      </c>
      <c r="K79" s="2731">
        <f>IF('[5]BASE'!DU79=0,"",'[5]BASE'!DU79)</f>
      </c>
      <c r="L79" s="2731">
        <f>IF('[5]BASE'!DV79=0,"",'[5]BASE'!DV79)</f>
      </c>
      <c r="M79" s="2731">
        <f>IF('[5]BASE'!DW79=0,"",'[5]BASE'!DW79)</f>
      </c>
      <c r="N79" s="2731">
        <f>IF('[5]BASE'!DX79=0,"",'[5]BASE'!DX79)</f>
        <v>1</v>
      </c>
      <c r="O79" s="2731">
        <f>IF('[5]BASE'!DY79=0,"",'[5]BASE'!DY79)</f>
        <v>1</v>
      </c>
      <c r="P79" s="2731">
        <f>IF('[5]BASE'!DZ79=0,"",'[5]BASE'!DZ79)</f>
      </c>
      <c r="Q79" s="2731">
        <f>IF('[5]BASE'!EA79=0,"",'[5]BASE'!EA79)</f>
        <v>1</v>
      </c>
      <c r="R79" s="2731">
        <f>IF('[5]BASE'!EB79=0,"",'[5]BASE'!EB79)</f>
      </c>
      <c r="S79" s="2731">
        <f>IF('[5]BASE'!EC79=0,"",'[5]BASE'!EC79)</f>
      </c>
      <c r="T79" s="2732"/>
      <c r="U79" s="2729"/>
    </row>
    <row r="80" spans="2:21" s="2723" customFormat="1" ht="19.5" customHeight="1">
      <c r="B80" s="2724"/>
      <c r="C80" s="2730">
        <f>IF('[5]BASE'!C80=0,"",'[5]BASE'!C80)</f>
        <v>60</v>
      </c>
      <c r="D80" s="2730" t="str">
        <f>IF('[5]BASE'!D80=0,"",'[5]BASE'!D80)</f>
        <v>MACACHIN - HENDERSON</v>
      </c>
      <c r="E80" s="2730">
        <f>IF('[5]BASE'!E80=0,"",'[5]BASE'!E80)</f>
        <v>500</v>
      </c>
      <c r="F80" s="2730">
        <f>IF('[5]BASE'!F80=0,"",'[5]BASE'!F80)</f>
        <v>194</v>
      </c>
      <c r="G80" s="2730" t="str">
        <f>IF('[6]BASE'!G80=0,"",'[6]BASE'!G80)</f>
        <v>A</v>
      </c>
      <c r="H80" s="2731">
        <f>IF('[5]BASE'!DR80=0,"",'[5]BASE'!DR80)</f>
      </c>
      <c r="I80" s="2731">
        <f>IF('[5]BASE'!DS80=0,"",'[5]BASE'!DS80)</f>
        <v>1</v>
      </c>
      <c r="J80" s="2731">
        <f>IF('[5]BASE'!DT80=0,"",'[5]BASE'!DT80)</f>
      </c>
      <c r="K80" s="2731">
        <f>IF('[5]BASE'!DU80=0,"",'[5]BASE'!DU80)</f>
      </c>
      <c r="L80" s="2731">
        <f>IF('[5]BASE'!DV80=0,"",'[5]BASE'!DV80)</f>
      </c>
      <c r="M80" s="2731">
        <f>IF('[5]BASE'!DW80=0,"",'[5]BASE'!DW80)</f>
      </c>
      <c r="N80" s="2731">
        <f>IF('[5]BASE'!DX80=0,"",'[5]BASE'!DX80)</f>
      </c>
      <c r="O80" s="2731">
        <f>IF('[5]BASE'!DY80=0,"",'[5]BASE'!DY80)</f>
      </c>
      <c r="P80" s="2731">
        <f>IF('[5]BASE'!DZ80=0,"",'[5]BASE'!DZ80)</f>
      </c>
      <c r="Q80" s="2731">
        <f>IF('[5]BASE'!EA80=0,"",'[5]BASE'!EA80)</f>
      </c>
      <c r="R80" s="2731">
        <f>IF('[5]BASE'!EB80=0,"",'[5]BASE'!EB80)</f>
      </c>
      <c r="S80" s="2731">
        <f>IF('[5]BASE'!EC80=0,"",'[5]BASE'!EC80)</f>
      </c>
      <c r="T80" s="2732"/>
      <c r="U80" s="2729"/>
    </row>
    <row r="81" spans="2:21" s="2723" customFormat="1" ht="19.5" customHeight="1">
      <c r="B81" s="2724"/>
      <c r="C81" s="2730">
        <f>IF('[5]BASE'!C81=0,"",'[5]BASE'!C81)</f>
        <v>61</v>
      </c>
      <c r="D81" s="2730" t="str">
        <f>IF('[5]BASE'!D81=0,"",'[5]BASE'!D81)</f>
        <v>PUELCHES - MACACHIN</v>
      </c>
      <c r="E81" s="2730">
        <f>IF('[5]BASE'!E81=0,"",'[5]BASE'!E81)</f>
        <v>500</v>
      </c>
      <c r="F81" s="2730">
        <f>IF('[5]BASE'!F81=0,"",'[5]BASE'!F81)</f>
        <v>227</v>
      </c>
      <c r="G81" s="2730" t="str">
        <f>IF('[6]BASE'!G81=0,"",'[6]BASE'!G81)</f>
        <v>A</v>
      </c>
      <c r="H81" s="2731">
        <f>IF('[5]BASE'!DR81=0,"",'[5]BASE'!DR81)</f>
      </c>
      <c r="I81" s="2731">
        <f>IF('[5]BASE'!DS81=0,"",'[5]BASE'!DS81)</f>
      </c>
      <c r="J81" s="2731">
        <f>IF('[5]BASE'!DT81=0,"",'[5]BASE'!DT81)</f>
      </c>
      <c r="K81" s="2731">
        <f>IF('[5]BASE'!DU81=0,"",'[5]BASE'!DU81)</f>
      </c>
      <c r="L81" s="2731">
        <f>IF('[5]BASE'!DV81=0,"",'[5]BASE'!DV81)</f>
      </c>
      <c r="M81" s="2731">
        <f>IF('[5]BASE'!DW81=0,"",'[5]BASE'!DW81)</f>
      </c>
      <c r="N81" s="2731">
        <f>IF('[5]BASE'!DX81=0,"",'[5]BASE'!DX81)</f>
      </c>
      <c r="O81" s="2731">
        <f>IF('[5]BASE'!DY81=0,"",'[5]BASE'!DY81)</f>
      </c>
      <c r="P81" s="2731">
        <f>IF('[5]BASE'!DZ81=0,"",'[5]BASE'!DZ81)</f>
      </c>
      <c r="Q81" s="2731">
        <f>IF('[5]BASE'!EA81=0,"",'[5]BASE'!EA81)</f>
      </c>
      <c r="R81" s="2731">
        <f>IF('[5]BASE'!EB81=0,"",'[5]BASE'!EB81)</f>
      </c>
      <c r="S81" s="2731">
        <f>IF('[5]BASE'!EC81=0,"",'[5]BASE'!EC81)</f>
      </c>
      <c r="T81" s="2732"/>
      <c r="U81" s="2729"/>
    </row>
    <row r="82" spans="2:21" s="2723" customFormat="1" ht="19.5" customHeight="1">
      <c r="B82" s="2724"/>
      <c r="C82" s="2730">
        <f>IF('[5]BASE'!C82=0,"",'[5]BASE'!C82)</f>
      </c>
      <c r="D82" s="2730">
        <f>IF('[5]BASE'!D82=0,"",'[5]BASE'!D82)</f>
      </c>
      <c r="E82" s="2730">
        <f>IF('[5]BASE'!E82=0,"",'[5]BASE'!E82)</f>
      </c>
      <c r="F82" s="2730">
        <f>IF('[5]BASE'!F82=0,"",'[5]BASE'!F82)</f>
      </c>
      <c r="G82" s="2730" t="str">
        <f>IF('[6]BASE'!G82=0,"",'[6]BASE'!G82)</f>
        <v>B</v>
      </c>
      <c r="H82" s="2731">
        <f>IF('[5]BASE'!DR82=0,"",'[5]BASE'!DR82)</f>
      </c>
      <c r="I82" s="2731">
        <f>IF('[5]BASE'!DS82=0,"",'[5]BASE'!DS82)</f>
      </c>
      <c r="J82" s="2731">
        <f>IF('[5]BASE'!DT82=0,"",'[5]BASE'!DT82)</f>
      </c>
      <c r="K82" s="2731">
        <f>IF('[5]BASE'!DU82=0,"",'[5]BASE'!DU82)</f>
      </c>
      <c r="L82" s="2731">
        <f>IF('[5]BASE'!DV82=0,"",'[5]BASE'!DV82)</f>
      </c>
      <c r="M82" s="2731">
        <f>IF('[5]BASE'!DW82=0,"",'[5]BASE'!DW82)</f>
      </c>
      <c r="N82" s="2731">
        <f>IF('[5]BASE'!DX82=0,"",'[5]BASE'!DX82)</f>
      </c>
      <c r="O82" s="2731">
        <f>IF('[5]BASE'!DY82=0,"",'[5]BASE'!DY82)</f>
      </c>
      <c r="P82" s="2731">
        <f>IF('[5]BASE'!DZ82=0,"",'[5]BASE'!DZ82)</f>
      </c>
      <c r="Q82" s="2731">
        <f>IF('[5]BASE'!EA82=0,"",'[5]BASE'!EA82)</f>
      </c>
      <c r="R82" s="2731">
        <f>IF('[5]BASE'!EB82=0,"",'[5]BASE'!EB82)</f>
      </c>
      <c r="S82" s="2731">
        <f>IF('[5]BASE'!EC82=0,"",'[5]BASE'!EC82)</f>
      </c>
      <c r="T82" s="2732"/>
      <c r="U82" s="2729"/>
    </row>
    <row r="83" spans="2:21" s="2723" customFormat="1" ht="19.5" customHeight="1">
      <c r="B83" s="2724"/>
      <c r="C83" s="2730">
        <f>IF('[5]BASE'!C83=0,"",'[5]BASE'!C83)</f>
      </c>
      <c r="D83" s="2730">
        <f>IF('[5]BASE'!D83=0,"",'[5]BASE'!D83)</f>
      </c>
      <c r="E83" s="2730">
        <f>IF('[5]BASE'!E83=0,"",'[5]BASE'!E83)</f>
      </c>
      <c r="F83" s="2730">
        <f>IF('[5]BASE'!F83=0,"",'[5]BASE'!F83)</f>
      </c>
      <c r="G83" s="2730" t="str">
        <f>IF('[6]BASE'!G83=0,"",'[6]BASE'!G83)</f>
        <v>B</v>
      </c>
      <c r="H83" s="2731">
        <f>IF('[5]BASE'!DR83=0,"",'[5]BASE'!DR83)</f>
      </c>
      <c r="I83" s="2731">
        <f>IF('[5]BASE'!DS83=0,"",'[5]BASE'!DS83)</f>
      </c>
      <c r="J83" s="2731">
        <f>IF('[5]BASE'!DT83=0,"",'[5]BASE'!DT83)</f>
      </c>
      <c r="K83" s="2731">
        <f>IF('[5]BASE'!DU83=0,"",'[5]BASE'!DU83)</f>
      </c>
      <c r="L83" s="2731">
        <f>IF('[5]BASE'!DV83=0,"",'[5]BASE'!DV83)</f>
      </c>
      <c r="M83" s="2731">
        <f>IF('[5]BASE'!DW83=0,"",'[5]BASE'!DW83)</f>
      </c>
      <c r="N83" s="2731">
        <f>IF('[5]BASE'!DX83=0,"",'[5]BASE'!DX83)</f>
      </c>
      <c r="O83" s="2731">
        <f>IF('[5]BASE'!DY83=0,"",'[5]BASE'!DY83)</f>
      </c>
      <c r="P83" s="2731">
        <f>IF('[5]BASE'!DZ83=0,"",'[5]BASE'!DZ83)</f>
      </c>
      <c r="Q83" s="2731">
        <f>IF('[5]BASE'!EA83=0,"",'[5]BASE'!EA83)</f>
      </c>
      <c r="R83" s="2731">
        <f>IF('[5]BASE'!EB83=0,"",'[5]BASE'!EB83)</f>
      </c>
      <c r="S83" s="2731">
        <f>IF('[5]BASE'!EC83=0,"",'[5]BASE'!EC83)</f>
      </c>
      <c r="T83" s="2732"/>
      <c r="U83" s="2729"/>
    </row>
    <row r="84" spans="2:21" s="2723" customFormat="1" ht="19.5" customHeight="1">
      <c r="B84" s="2724"/>
      <c r="C84" s="2730">
        <f>IF('[5]BASE'!C84=0,"",'[5]BASE'!C84)</f>
        <v>62</v>
      </c>
      <c r="D84" s="2730" t="str">
        <f>IF('[5]BASE'!D84=0,"",'[5]BASE'!D84)</f>
        <v>YACYRETÁ - RINCON I</v>
      </c>
      <c r="E84" s="2730">
        <f>IF('[5]BASE'!E84=0,"",'[5]BASE'!E84)</f>
        <v>500</v>
      </c>
      <c r="F84" s="2730">
        <f>IF('[5]BASE'!F84=0,"",'[5]BASE'!F84)</f>
        <v>3.6</v>
      </c>
      <c r="G84" s="2730" t="str">
        <f>IF('[6]BASE'!G84=0,"",'[6]BASE'!G84)</f>
        <v>B</v>
      </c>
      <c r="H84" s="2731">
        <f>IF('[5]BASE'!DR84=0,"",'[5]BASE'!DR84)</f>
      </c>
      <c r="I84" s="2731">
        <f>IF('[5]BASE'!DS84=0,"",'[5]BASE'!DS84)</f>
      </c>
      <c r="J84" s="2731">
        <f>IF('[5]BASE'!DT84=0,"",'[5]BASE'!DT84)</f>
      </c>
      <c r="K84" s="2731">
        <f>IF('[5]BASE'!DU84=0,"",'[5]BASE'!DU84)</f>
      </c>
      <c r="L84" s="2731">
        <f>IF('[5]BASE'!DV84=0,"",'[5]BASE'!DV84)</f>
      </c>
      <c r="M84" s="2731">
        <f>IF('[5]BASE'!DW84=0,"",'[5]BASE'!DW84)</f>
      </c>
      <c r="N84" s="2731">
        <f>IF('[5]BASE'!DX84=0,"",'[5]BASE'!DX84)</f>
      </c>
      <c r="O84" s="2731">
        <f>IF('[5]BASE'!DY84=0,"",'[5]BASE'!DY84)</f>
      </c>
      <c r="P84" s="2731">
        <f>IF('[5]BASE'!DZ84=0,"",'[5]BASE'!DZ84)</f>
      </c>
      <c r="Q84" s="2731">
        <f>IF('[5]BASE'!EA84=0,"",'[5]BASE'!EA84)</f>
      </c>
      <c r="R84" s="2731">
        <f>IF('[5]BASE'!EB84=0,"",'[5]BASE'!EB84)</f>
      </c>
      <c r="S84" s="2731">
        <f>IF('[5]BASE'!EC84=0,"",'[5]BASE'!EC84)</f>
      </c>
      <c r="T84" s="2732"/>
      <c r="U84" s="2729"/>
    </row>
    <row r="85" spans="2:21" s="2723" customFormat="1" ht="19.5" customHeight="1">
      <c r="B85" s="2724"/>
      <c r="C85" s="2730">
        <f>IF('[5]BASE'!C85=0,"",'[5]BASE'!C85)</f>
        <v>63</v>
      </c>
      <c r="D85" s="2730" t="str">
        <f>IF('[5]BASE'!D85=0,"",'[5]BASE'!D85)</f>
        <v>YACYRETÁ - RINCON II</v>
      </c>
      <c r="E85" s="2730">
        <f>IF('[5]BASE'!E85=0,"",'[5]BASE'!E85)</f>
        <v>500</v>
      </c>
      <c r="F85" s="2730">
        <f>IF('[5]BASE'!F85=0,"",'[5]BASE'!F85)</f>
        <v>3.6</v>
      </c>
      <c r="G85" s="2730" t="str">
        <f>IF('[6]BASE'!G85=0,"",'[6]BASE'!G85)</f>
        <v>A</v>
      </c>
      <c r="H85" s="2731">
        <f>IF('[5]BASE'!DR85=0,"",'[5]BASE'!DR85)</f>
      </c>
      <c r="I85" s="2731">
        <f>IF('[5]BASE'!DS85=0,"",'[5]BASE'!DS85)</f>
      </c>
      <c r="J85" s="2731">
        <f>IF('[5]BASE'!DT85=0,"",'[5]BASE'!DT85)</f>
      </c>
      <c r="K85" s="2731">
        <f>IF('[5]BASE'!DU85=0,"",'[5]BASE'!DU85)</f>
      </c>
      <c r="L85" s="2731">
        <f>IF('[5]BASE'!DV85=0,"",'[5]BASE'!DV85)</f>
      </c>
      <c r="M85" s="2731">
        <f>IF('[5]BASE'!DW85=0,"",'[5]BASE'!DW85)</f>
      </c>
      <c r="N85" s="2731">
        <f>IF('[5]BASE'!DX85=0,"",'[5]BASE'!DX85)</f>
      </c>
      <c r="O85" s="2731">
        <f>IF('[5]BASE'!DY85=0,"",'[5]BASE'!DY85)</f>
      </c>
      <c r="P85" s="2731">
        <f>IF('[5]BASE'!DZ85=0,"",'[5]BASE'!DZ85)</f>
      </c>
      <c r="Q85" s="2731">
        <f>IF('[5]BASE'!EA85=0,"",'[5]BASE'!EA85)</f>
      </c>
      <c r="R85" s="2731">
        <f>IF('[5]BASE'!EB85=0,"",'[5]BASE'!EB85)</f>
      </c>
      <c r="S85" s="2731">
        <f>IF('[5]BASE'!EC85=0,"",'[5]BASE'!EC85)</f>
      </c>
      <c r="T85" s="2732"/>
      <c r="U85" s="2729"/>
    </row>
    <row r="86" spans="2:21" s="2723" customFormat="1" ht="19.5" customHeight="1">
      <c r="B86" s="2724"/>
      <c r="C86" s="2730">
        <f>IF('[5]BASE'!C86=0,"",'[5]BASE'!C86)</f>
        <v>64</v>
      </c>
      <c r="D86" s="2730" t="str">
        <f>IF('[5]BASE'!D86=0,"",'[5]BASE'!D86)</f>
        <v>YACYRETÁ - RINCON III</v>
      </c>
      <c r="E86" s="2730">
        <f>IF('[5]BASE'!E86=0,"",'[5]BASE'!E86)</f>
        <v>500</v>
      </c>
      <c r="F86" s="2730">
        <f>IF('[5]BASE'!F86=0,"",'[5]BASE'!F86)</f>
        <v>3.6</v>
      </c>
      <c r="G86" s="2730" t="str">
        <f>IF('[6]BASE'!G86=0,"",'[6]BASE'!G86)</f>
        <v>C</v>
      </c>
      <c r="H86" s="2731">
        <f>IF('[5]BASE'!DR86=0,"",'[5]BASE'!DR86)</f>
      </c>
      <c r="I86" s="2731">
        <f>IF('[5]BASE'!DS86=0,"",'[5]BASE'!DS86)</f>
      </c>
      <c r="J86" s="2731">
        <f>IF('[5]BASE'!DT86=0,"",'[5]BASE'!DT86)</f>
      </c>
      <c r="K86" s="2731">
        <f>IF('[5]BASE'!DU86=0,"",'[5]BASE'!DU86)</f>
      </c>
      <c r="L86" s="2731">
        <f>IF('[5]BASE'!DV86=0,"",'[5]BASE'!DV86)</f>
      </c>
      <c r="M86" s="2731">
        <f>IF('[5]BASE'!DW86=0,"",'[5]BASE'!DW86)</f>
      </c>
      <c r="N86" s="2731">
        <f>IF('[5]BASE'!DX86=0,"",'[5]BASE'!DX86)</f>
      </c>
      <c r="O86" s="2731">
        <f>IF('[5]BASE'!DY86=0,"",'[5]BASE'!DY86)</f>
      </c>
      <c r="P86" s="2731">
        <f>IF('[5]BASE'!DZ86=0,"",'[5]BASE'!DZ86)</f>
      </c>
      <c r="Q86" s="2731">
        <f>IF('[5]BASE'!EA86=0,"",'[5]BASE'!EA86)</f>
      </c>
      <c r="R86" s="2731">
        <f>IF('[5]BASE'!EB86=0,"",'[5]BASE'!EB86)</f>
      </c>
      <c r="S86" s="2731">
        <f>IF('[5]BASE'!EC86=0,"",'[5]BASE'!EC86)</f>
      </c>
      <c r="T86" s="2732"/>
      <c r="U86" s="2729"/>
    </row>
    <row r="87" spans="2:21" s="2723" customFormat="1" ht="19.5" customHeight="1">
      <c r="B87" s="2724"/>
      <c r="C87" s="2730">
        <f>IF('[5]BASE'!C87=0,"",'[5]BASE'!C87)</f>
        <v>65</v>
      </c>
      <c r="D87" s="2730" t="str">
        <f>IF('[5]BASE'!D87=0,"",'[5]BASE'!D87)</f>
        <v>RINCON - PASO DE LA PATRIA</v>
      </c>
      <c r="E87" s="2730">
        <f>IF('[5]BASE'!E87=0,"",'[5]BASE'!E87)</f>
        <v>500</v>
      </c>
      <c r="F87" s="2730">
        <f>IF('[5]BASE'!F87=0,"",'[5]BASE'!F87)</f>
        <v>227</v>
      </c>
      <c r="G87" s="2730" t="str">
        <f>IF('[6]BASE'!G87=0,"",'[6]BASE'!G87)</f>
        <v>B</v>
      </c>
      <c r="H87" s="2731">
        <f>IF('[5]BASE'!DR87=0,"",'[5]BASE'!DR87)</f>
      </c>
      <c r="I87" s="2731">
        <f>IF('[5]BASE'!DS87=0,"",'[5]BASE'!DS87)</f>
      </c>
      <c r="J87" s="2731">
        <f>IF('[5]BASE'!DT87=0,"",'[5]BASE'!DT87)</f>
      </c>
      <c r="K87" s="2731">
        <f>IF('[5]BASE'!DU87=0,"",'[5]BASE'!DU87)</f>
      </c>
      <c r="L87" s="2731">
        <f>IF('[5]BASE'!DV87=0,"",'[5]BASE'!DV87)</f>
      </c>
      <c r="M87" s="2731">
        <f>IF('[5]BASE'!DW87=0,"",'[5]BASE'!DW87)</f>
      </c>
      <c r="N87" s="2731">
        <f>IF('[5]BASE'!DX87=0,"",'[5]BASE'!DX87)</f>
      </c>
      <c r="O87" s="2731">
        <f>IF('[5]BASE'!DY87=0,"",'[5]BASE'!DY87)</f>
      </c>
      <c r="P87" s="2731">
        <f>IF('[5]BASE'!DZ87=0,"",'[5]BASE'!DZ87)</f>
      </c>
      <c r="Q87" s="2731">
        <f>IF('[5]BASE'!EA87=0,"",'[5]BASE'!EA87)</f>
      </c>
      <c r="R87" s="2731">
        <f>IF('[5]BASE'!EB87=0,"",'[5]BASE'!EB87)</f>
        <v>1</v>
      </c>
      <c r="S87" s="2731">
        <f>IF('[5]BASE'!EC87=0,"",'[5]BASE'!EC87)</f>
      </c>
      <c r="T87" s="2732"/>
      <c r="U87" s="2729"/>
    </row>
    <row r="88" spans="2:21" s="2723" customFormat="1" ht="19.5" customHeight="1">
      <c r="B88" s="2724"/>
      <c r="C88" s="2730">
        <f>IF('[5]BASE'!C88=0,"",'[5]BASE'!C88)</f>
        <v>66</v>
      </c>
      <c r="D88" s="2730" t="str">
        <f>IF('[5]BASE'!D88=0,"",'[5]BASE'!D88)</f>
        <v>PASO DE LA PATRIA - RESISTENCIA</v>
      </c>
      <c r="E88" s="2730">
        <f>IF('[5]BASE'!E88=0,"",'[5]BASE'!E88)</f>
        <v>500</v>
      </c>
      <c r="F88" s="2730">
        <f>IF('[5]BASE'!F88=0,"",'[5]BASE'!F88)</f>
        <v>40</v>
      </c>
      <c r="G88" s="2730" t="str">
        <f>IF('[6]BASE'!G88=0,"",'[6]BASE'!G88)</f>
        <v>C</v>
      </c>
      <c r="H88" s="2731">
        <f>IF('[5]BASE'!DR88=0,"",'[5]BASE'!DR88)</f>
      </c>
      <c r="I88" s="2731">
        <f>IF('[5]BASE'!DS88=0,"",'[5]BASE'!DS88)</f>
      </c>
      <c r="J88" s="2731">
        <f>IF('[5]BASE'!DT88=0,"",'[5]BASE'!DT88)</f>
      </c>
      <c r="K88" s="2731">
        <f>IF('[5]BASE'!DU88=0,"",'[5]BASE'!DU88)</f>
      </c>
      <c r="L88" s="2731">
        <f>IF('[5]BASE'!DV88=0,"",'[5]BASE'!DV88)</f>
      </c>
      <c r="M88" s="2731">
        <f>IF('[5]BASE'!DW88=0,"",'[5]BASE'!DW88)</f>
      </c>
      <c r="N88" s="2731">
        <f>IF('[5]BASE'!DX88=0,"",'[5]BASE'!DX88)</f>
      </c>
      <c r="O88" s="2731">
        <f>IF('[5]BASE'!DY88=0,"",'[5]BASE'!DY88)</f>
      </c>
      <c r="P88" s="2731">
        <f>IF('[5]BASE'!DZ88=0,"",'[5]BASE'!DZ88)</f>
      </c>
      <c r="Q88" s="2731">
        <f>IF('[5]BASE'!EA88=0,"",'[5]BASE'!EA88)</f>
      </c>
      <c r="R88" s="2731">
        <f>IF('[5]BASE'!EB88=0,"",'[5]BASE'!EB88)</f>
      </c>
      <c r="S88" s="2731">
        <f>IF('[5]BASE'!EC88=0,"",'[5]BASE'!EC88)</f>
      </c>
      <c r="T88" s="2732"/>
      <c r="U88" s="2729"/>
    </row>
    <row r="89" spans="2:21" s="2723" customFormat="1" ht="19.5" customHeight="1">
      <c r="B89" s="2724"/>
      <c r="C89" s="2730">
        <f>IF('[5]BASE'!C89=0,"",'[5]BASE'!C89)</f>
        <v>67</v>
      </c>
      <c r="D89" s="2730" t="str">
        <f>IF('[5]BASE'!D89=0,"",'[5]BASE'!D89)</f>
        <v>RINCON - RESISTENCIA</v>
      </c>
      <c r="E89" s="2730">
        <f>IF('[5]BASE'!E89=0,"",'[5]BASE'!E89)</f>
        <v>500</v>
      </c>
      <c r="F89" s="2730">
        <f>IF('[5]BASE'!F89=0,"",'[5]BASE'!F89)</f>
        <v>267</v>
      </c>
      <c r="G89" s="2730" t="str">
        <f>IF('[6]BASE'!G89=0,"",'[6]BASE'!G89)</f>
        <v>A</v>
      </c>
      <c r="H89" s="2731" t="str">
        <f>IF('[5]BASE'!DR89=0,"",'[5]BASE'!DR89)</f>
        <v>XXXX</v>
      </c>
      <c r="I89" s="2731" t="str">
        <f>IF('[5]BASE'!DS89=0,"",'[5]BASE'!DS89)</f>
        <v>XXXX</v>
      </c>
      <c r="J89" s="2731" t="str">
        <f>IF('[5]BASE'!DT89=0,"",'[5]BASE'!DT89)</f>
        <v>XXXX</v>
      </c>
      <c r="K89" s="2731" t="str">
        <f>IF('[5]BASE'!DU89=0,"",'[5]BASE'!DU89)</f>
        <v>XXXX</v>
      </c>
      <c r="L89" s="2731" t="str">
        <f>IF('[5]BASE'!DV89=0,"",'[5]BASE'!DV89)</f>
        <v>XXXX</v>
      </c>
      <c r="M89" s="2731" t="str">
        <f>IF('[5]BASE'!DW89=0,"",'[5]BASE'!DW89)</f>
        <v>XXXX</v>
      </c>
      <c r="N89" s="2731" t="str">
        <f>IF('[5]BASE'!DX89=0,"",'[5]BASE'!DX89)</f>
        <v>XXXX</v>
      </c>
      <c r="O89" s="2731" t="str">
        <f>IF('[5]BASE'!DY89=0,"",'[5]BASE'!DY89)</f>
        <v>XXXX</v>
      </c>
      <c r="P89" s="2731" t="str">
        <f>IF('[5]BASE'!DZ89=0,"",'[5]BASE'!DZ89)</f>
        <v>XXXX</v>
      </c>
      <c r="Q89" s="2731" t="str">
        <f>IF('[5]BASE'!EA89=0,"",'[5]BASE'!EA89)</f>
        <v>XXXX</v>
      </c>
      <c r="R89" s="2731" t="str">
        <f>IF('[5]BASE'!EB89=0,"",'[5]BASE'!EB89)</f>
        <v>XXXX</v>
      </c>
      <c r="S89" s="2731" t="str">
        <f>IF('[5]BASE'!EC89=0,"",'[5]BASE'!EC89)</f>
        <v>XXXX</v>
      </c>
      <c r="T89" s="2732"/>
      <c r="U89" s="2729"/>
    </row>
    <row r="90" spans="2:21" s="2723" customFormat="1" ht="19.5" customHeight="1">
      <c r="B90" s="2724"/>
      <c r="C90" s="2730">
        <f>IF('[5]BASE'!C90=0,"",'[5]BASE'!C90)</f>
      </c>
      <c r="D90" s="2730">
        <f>IF('[5]BASE'!D90=0,"",'[5]BASE'!D90)</f>
      </c>
      <c r="E90" s="2730">
        <f>IF('[5]BASE'!E90=0,"",'[5]BASE'!E90)</f>
      </c>
      <c r="F90" s="2730">
        <f>IF('[5]BASE'!F90=0,"",'[5]BASE'!F90)</f>
      </c>
      <c r="G90" s="2730" t="str">
        <f>IF('[6]BASE'!G90=0,"",'[6]BASE'!G90)</f>
        <v>C</v>
      </c>
      <c r="H90" s="2731">
        <f>IF('[5]BASE'!DR90=0,"",'[5]BASE'!DR90)</f>
      </c>
      <c r="I90" s="2731">
        <f>IF('[5]BASE'!DS90=0,"",'[5]BASE'!DS90)</f>
      </c>
      <c r="J90" s="2731">
        <f>IF('[5]BASE'!DT90=0,"",'[5]BASE'!DT90)</f>
      </c>
      <c r="K90" s="2731">
        <f>IF('[5]BASE'!DU90=0,"",'[5]BASE'!DU90)</f>
      </c>
      <c r="L90" s="2731">
        <f>IF('[5]BASE'!DV90=0,"",'[5]BASE'!DV90)</f>
      </c>
      <c r="M90" s="2731">
        <f>IF('[5]BASE'!DW90=0,"",'[5]BASE'!DW90)</f>
      </c>
      <c r="N90" s="2731">
        <f>IF('[5]BASE'!DX90=0,"",'[5]BASE'!DX90)</f>
      </c>
      <c r="O90" s="2731">
        <f>IF('[5]BASE'!DY90=0,"",'[5]BASE'!DY90)</f>
      </c>
      <c r="P90" s="2731">
        <f>IF('[5]BASE'!DZ90=0,"",'[5]BASE'!DZ90)</f>
      </c>
      <c r="Q90" s="2731">
        <f>IF('[5]BASE'!EA90=0,"",'[5]BASE'!EA90)</f>
      </c>
      <c r="R90" s="2731">
        <f>IF('[5]BASE'!EB90=0,"",'[5]BASE'!EB90)</f>
      </c>
      <c r="S90" s="2731">
        <f>IF('[5]BASE'!EC90=0,"",'[5]BASE'!EC90)</f>
      </c>
      <c r="T90" s="2732"/>
      <c r="U90" s="2729"/>
    </row>
    <row r="91" spans="2:21" s="2723" customFormat="1" ht="19.5" customHeight="1">
      <c r="B91" s="2724"/>
      <c r="C91" s="2730">
        <f>IF('[5]BASE'!C91=0,"",'[5]BASE'!C91)</f>
        <v>68</v>
      </c>
      <c r="D91" s="2730" t="str">
        <f>IF('[5]BASE'!D91=0,"",'[5]BASE'!D91)</f>
        <v>RINCON - SALTO GRANDE</v>
      </c>
      <c r="E91" s="2730">
        <f>IF('[5]BASE'!E91=0,"",'[5]BASE'!E91)</f>
        <v>500</v>
      </c>
      <c r="F91" s="2730">
        <f>IF('[5]BASE'!F91=0,"",'[5]BASE'!F91)</f>
        <v>506</v>
      </c>
      <c r="G91" s="2730" t="str">
        <f>IF('[6]BASE'!G91=0,"",'[6]BASE'!G91)</f>
        <v>A</v>
      </c>
      <c r="H91" s="2731">
        <f>IF('[5]BASE'!DR91=0,"",'[5]BASE'!DR91)</f>
      </c>
      <c r="I91" s="2731">
        <f>IF('[5]BASE'!DS91=0,"",'[5]BASE'!DS91)</f>
      </c>
      <c r="J91" s="2731">
        <f>IF('[5]BASE'!DT91=0,"",'[5]BASE'!DT91)</f>
      </c>
      <c r="K91" s="2731">
        <f>IF('[5]BASE'!DU91=0,"",'[5]BASE'!DU91)</f>
      </c>
      <c r="L91" s="2731">
        <f>IF('[5]BASE'!DV91=0,"",'[5]BASE'!DV91)</f>
      </c>
      <c r="M91" s="2731">
        <f>IF('[5]BASE'!DW91=0,"",'[5]BASE'!DW91)</f>
      </c>
      <c r="N91" s="2731">
        <f>IF('[5]BASE'!DX91=0,"",'[5]BASE'!DX91)</f>
      </c>
      <c r="O91" s="2731">
        <f>IF('[5]BASE'!DY91=0,"",'[5]BASE'!DY91)</f>
      </c>
      <c r="P91" s="2731">
        <f>IF('[5]BASE'!DZ91=0,"",'[5]BASE'!DZ91)</f>
      </c>
      <c r="Q91" s="2731">
        <f>IF('[5]BASE'!EA91=0,"",'[5]BASE'!EA91)</f>
      </c>
      <c r="R91" s="2731">
        <f>IF('[5]BASE'!EB91=0,"",'[5]BASE'!EB91)</f>
      </c>
      <c r="S91" s="2731">
        <f>IF('[5]BASE'!EC91=0,"",'[5]BASE'!EC91)</f>
      </c>
      <c r="T91" s="2732"/>
      <c r="U91" s="2729"/>
    </row>
    <row r="92" spans="2:21" s="2723" customFormat="1" ht="19.5" customHeight="1">
      <c r="B92" s="2724"/>
      <c r="C92" s="2730">
        <f>IF('[5]BASE'!C92=0,"",'[5]BASE'!C92)</f>
        <v>69</v>
      </c>
      <c r="D92" s="2730" t="str">
        <f>IF('[5]BASE'!D92=0,"",'[5]BASE'!D92)</f>
        <v>RINCON - SAN ISIDRO</v>
      </c>
      <c r="E92" s="2730">
        <f>IF('[5]BASE'!E92=0,"",'[5]BASE'!E92)</f>
        <v>500</v>
      </c>
      <c r="F92" s="2730">
        <f>IF('[5]BASE'!F92=0,"",'[5]BASE'!F92)</f>
        <v>85</v>
      </c>
      <c r="G92" s="2730" t="str">
        <f>IF('[6]BASE'!G92=0,"",'[6]BASE'!G92)</f>
        <v>C</v>
      </c>
      <c r="H92" s="2731">
        <f>IF('[5]BASE'!DR92=0,"",'[5]BASE'!DR92)</f>
      </c>
      <c r="I92" s="2731">
        <f>IF('[5]BASE'!DS92=0,"",'[5]BASE'!DS92)</f>
      </c>
      <c r="J92" s="2731">
        <f>IF('[5]BASE'!DT92=0,"",'[5]BASE'!DT92)</f>
      </c>
      <c r="K92" s="2731">
        <f>IF('[5]BASE'!DU92=0,"",'[5]BASE'!DU92)</f>
      </c>
      <c r="L92" s="2731">
        <f>IF('[5]BASE'!DV92=0,"",'[5]BASE'!DV92)</f>
      </c>
      <c r="M92" s="2731">
        <f>IF('[5]BASE'!DW92=0,"",'[5]BASE'!DW92)</f>
      </c>
      <c r="N92" s="2731">
        <f>IF('[5]BASE'!DX92=0,"",'[5]BASE'!DX92)</f>
      </c>
      <c r="O92" s="2731">
        <f>IF('[5]BASE'!DY92=0,"",'[5]BASE'!DY92)</f>
      </c>
      <c r="P92" s="2731">
        <f>IF('[5]BASE'!DZ92=0,"",'[5]BASE'!DZ92)</f>
      </c>
      <c r="Q92" s="2731">
        <f>IF('[5]BASE'!EA92=0,"",'[5]BASE'!EA92)</f>
      </c>
      <c r="R92" s="2731">
        <f>IF('[5]BASE'!EB92=0,"",'[5]BASE'!EB92)</f>
      </c>
      <c r="S92" s="2731">
        <f>IF('[5]BASE'!EC92=0,"",'[5]BASE'!EC92)</f>
      </c>
      <c r="T92" s="2732"/>
      <c r="U92" s="2729"/>
    </row>
    <row r="93" spans="2:21" s="2723" customFormat="1" ht="19.5" customHeight="1">
      <c r="B93" s="2724"/>
      <c r="C93" s="2730">
        <f>IF('[5]BASE'!C93=0,"",'[5]BASE'!C93)</f>
      </c>
      <c r="D93" s="2730">
        <f>IF('[5]BASE'!D93=0,"",'[5]BASE'!D93)</f>
      </c>
      <c r="E93" s="2730">
        <f>IF('[5]BASE'!E93=0,"",'[5]BASE'!E93)</f>
      </c>
      <c r="F93" s="2730">
        <f>IF('[5]BASE'!F93=0,"",'[5]BASE'!F93)</f>
      </c>
      <c r="G93" s="2730" t="e">
        <f>IF('[6]BASE'!G93=0,"",'[6]BASE'!G93)</f>
        <v>#REF!</v>
      </c>
      <c r="H93" s="2731">
        <f>IF('[5]BASE'!DR93=0,"",'[5]BASE'!DR93)</f>
      </c>
      <c r="I93" s="2731">
        <f>IF('[5]BASE'!DS93=0,"",'[5]BASE'!DS93)</f>
      </c>
      <c r="J93" s="2731">
        <f>IF('[5]BASE'!DT93=0,"",'[5]BASE'!DT93)</f>
      </c>
      <c r="K93" s="2731">
        <f>IF('[5]BASE'!DU93=0,"",'[5]BASE'!DU93)</f>
      </c>
      <c r="L93" s="2731">
        <f>IF('[5]BASE'!DV93=0,"",'[5]BASE'!DV93)</f>
      </c>
      <c r="M93" s="2731">
        <f>IF('[5]BASE'!DW93=0,"",'[5]BASE'!DW93)</f>
      </c>
      <c r="N93" s="2731">
        <f>IF('[5]BASE'!DX93=0,"",'[5]BASE'!DX93)</f>
      </c>
      <c r="O93" s="2731">
        <f>IF('[5]BASE'!DY93=0,"",'[5]BASE'!DY93)</f>
      </c>
      <c r="P93" s="2731">
        <f>IF('[5]BASE'!DZ93=0,"",'[5]BASE'!DZ93)</f>
      </c>
      <c r="Q93" s="2731">
        <f>IF('[5]BASE'!EA93=0,"",'[5]BASE'!EA93)</f>
      </c>
      <c r="R93" s="2731">
        <f>IF('[5]BASE'!EB93=0,"",'[5]BASE'!EB93)</f>
      </c>
      <c r="S93" s="2731">
        <f>IF('[5]BASE'!EC93=0,"",'[5]BASE'!EC93)</f>
      </c>
      <c r="T93" s="2732"/>
      <c r="U93" s="2729"/>
    </row>
    <row r="94" spans="2:21" s="2723" customFormat="1" ht="19.5" customHeight="1">
      <c r="B94" s="2724"/>
      <c r="C94" s="2730">
        <f>IF('[5]BASE'!C94=0,"",'[5]BASE'!C94)</f>
        <v>70</v>
      </c>
      <c r="D94" s="2730" t="str">
        <f>IF('[5]BASE'!D94=0,"",'[5]BASE'!D94)</f>
        <v>RECREO - LA RIOJA SUR</v>
      </c>
      <c r="E94" s="2730">
        <f>IF('[5]BASE'!E94=0,"",'[5]BASE'!E94)</f>
        <v>500</v>
      </c>
      <c r="F94" s="2730">
        <f>IF('[5]BASE'!F94=0,"",'[5]BASE'!F94)</f>
        <v>150.3</v>
      </c>
      <c r="G94" s="2730" t="str">
        <f>IF('[6]BASE'!G94=0,"",'[6]BASE'!G94)</f>
        <v>C</v>
      </c>
      <c r="H94" s="2731">
        <f>IF('[5]BASE'!DR94=0,"",'[5]BASE'!DR94)</f>
      </c>
      <c r="I94" s="2731">
        <f>IF('[5]BASE'!DS94=0,"",'[5]BASE'!DS94)</f>
      </c>
      <c r="J94" s="2731">
        <f>IF('[5]BASE'!DT94=0,"",'[5]BASE'!DT94)</f>
      </c>
      <c r="K94" s="2731">
        <f>IF('[5]BASE'!DU94=0,"",'[5]BASE'!DU94)</f>
      </c>
      <c r="L94" s="2731">
        <f>IF('[5]BASE'!DV94=0,"",'[5]BASE'!DV94)</f>
      </c>
      <c r="M94" s="2731">
        <f>IF('[5]BASE'!DW94=0,"",'[5]BASE'!DW94)</f>
      </c>
      <c r="N94" s="2731">
        <f>IF('[5]BASE'!DX94=0,"",'[5]BASE'!DX94)</f>
      </c>
      <c r="O94" s="2731">
        <f>IF('[5]BASE'!DY94=0,"",'[5]BASE'!DY94)</f>
      </c>
      <c r="P94" s="2731">
        <f>IF('[5]BASE'!DZ94=0,"",'[5]BASE'!DZ94)</f>
      </c>
      <c r="Q94" s="2731">
        <f>IF('[5]BASE'!EA94=0,"",'[5]BASE'!EA94)</f>
      </c>
      <c r="R94" s="2731">
        <f>IF('[5]BASE'!EB94=0,"",'[5]BASE'!EB94)</f>
      </c>
      <c r="S94" s="2731">
        <f>IF('[5]BASE'!EC94=0,"",'[5]BASE'!EC94)</f>
      </c>
      <c r="T94" s="2732"/>
      <c r="U94" s="2729"/>
    </row>
    <row r="95" spans="2:21" s="2723" customFormat="1" ht="19.5" customHeight="1">
      <c r="B95" s="2724"/>
      <c r="C95" s="2730">
        <f>IF('[5]BASE'!C95=0,"",'[5]BASE'!C95)</f>
        <v>71</v>
      </c>
      <c r="D95" s="2730" t="str">
        <f>IF('[5]BASE'!D95=0,"",'[5]BASE'!D95)</f>
        <v>M.BELGRANO - G.RODRIGUEZ</v>
      </c>
      <c r="E95" s="2730">
        <f>IF('[5]BASE'!E95=0,"",'[5]BASE'!E95)</f>
        <v>500</v>
      </c>
      <c r="F95" s="2730">
        <f>IF('[5]BASE'!F95=0,"",'[5]BASE'!F95)</f>
        <v>41.4</v>
      </c>
      <c r="G95" s="2730" t="str">
        <f>IF('[6]BASE'!G95=0,"",'[6]BASE'!G95)</f>
        <v>C</v>
      </c>
      <c r="H95" s="2731">
        <f>IF('[5]BASE'!DR95=0,"",'[5]BASE'!DR95)</f>
      </c>
      <c r="I95" s="2731">
        <f>IF('[5]BASE'!DS95=0,"",'[5]BASE'!DS95)</f>
      </c>
      <c r="J95" s="2731">
        <f>IF('[5]BASE'!DT95=0,"",'[5]BASE'!DT95)</f>
      </c>
      <c r="K95" s="2731">
        <f>IF('[5]BASE'!DU95=0,"",'[5]BASE'!DU95)</f>
      </c>
      <c r="L95" s="2731">
        <f>IF('[5]BASE'!DV95=0,"",'[5]BASE'!DV95)</f>
      </c>
      <c r="M95" s="2731">
        <f>IF('[5]BASE'!DW95=0,"",'[5]BASE'!DW95)</f>
      </c>
      <c r="N95" s="2731">
        <f>IF('[5]BASE'!DX95=0,"",'[5]BASE'!DX95)</f>
      </c>
      <c r="O95" s="2731">
        <f>IF('[5]BASE'!DY95=0,"",'[5]BASE'!DY95)</f>
      </c>
      <c r="P95" s="2731">
        <f>IF('[5]BASE'!DZ95=0,"",'[5]BASE'!DZ95)</f>
      </c>
      <c r="Q95" s="2731">
        <f>IF('[5]BASE'!EA95=0,"",'[5]BASE'!EA95)</f>
      </c>
      <c r="R95" s="2731">
        <f>IF('[5]BASE'!EB95=0,"",'[5]BASE'!EB95)</f>
      </c>
      <c r="S95" s="2731">
        <f>IF('[5]BASE'!EC95=0,"",'[5]BASE'!EC95)</f>
      </c>
      <c r="T95" s="2732"/>
      <c r="U95" s="2729"/>
    </row>
    <row r="96" spans="2:21" s="2723" customFormat="1" ht="25.5" customHeight="1" thickBot="1">
      <c r="B96" s="2724"/>
      <c r="C96" s="2733"/>
      <c r="D96" s="2733"/>
      <c r="E96" s="2733"/>
      <c r="F96" s="2734"/>
      <c r="G96" s="2735" t="e">
        <f>IF('[6]BASE'!G96=0,"",'[6]BASE'!G96)</f>
        <v>#REF!</v>
      </c>
      <c r="H96" s="2736"/>
      <c r="I96" s="2736"/>
      <c r="J96" s="2736"/>
      <c r="K96" s="2736"/>
      <c r="L96" s="2736"/>
      <c r="M96" s="2736"/>
      <c r="N96" s="2736"/>
      <c r="O96" s="2736"/>
      <c r="P96" s="2736"/>
      <c r="Q96" s="2736"/>
      <c r="R96" s="2736"/>
      <c r="S96" s="2736"/>
      <c r="T96" s="2732"/>
      <c r="U96" s="2729"/>
    </row>
    <row r="97" spans="2:21" s="2723" customFormat="1" ht="19.5" customHeight="1" thickBot="1" thickTop="1">
      <c r="B97" s="2724"/>
      <c r="C97" s="2737"/>
      <c r="D97" s="2738"/>
      <c r="E97" s="2739" t="s">
        <v>519</v>
      </c>
      <c r="F97" s="2740">
        <f>SUM(F17:F95)-F46-F54-F57-F61-F89</f>
        <v>9902.33</v>
      </c>
      <c r="G97" s="2741"/>
      <c r="H97" s="2742"/>
      <c r="I97" s="2742"/>
      <c r="J97" s="2742"/>
      <c r="K97" s="2742"/>
      <c r="L97" s="2742"/>
      <c r="M97" s="2742"/>
      <c r="N97" s="2742"/>
      <c r="O97" s="2742"/>
      <c r="P97" s="2742"/>
      <c r="Q97" s="2742"/>
      <c r="R97" s="2742"/>
      <c r="S97" s="2742"/>
      <c r="T97" s="2732"/>
      <c r="U97" s="2729"/>
    </row>
    <row r="98" spans="2:21" s="2723" customFormat="1" ht="19.5" customHeight="1" thickBot="1" thickTop="1">
      <c r="B98" s="2724"/>
      <c r="C98" s="2743"/>
      <c r="D98" s="2744"/>
      <c r="E98" s="2745"/>
      <c r="F98" s="2746" t="s">
        <v>520</v>
      </c>
      <c r="H98" s="2747">
        <f aca="true" t="shared" si="0" ref="H98:S98">SUM(H17:H95)</f>
        <v>3</v>
      </c>
      <c r="I98" s="2747">
        <f t="shared" si="0"/>
        <v>3</v>
      </c>
      <c r="J98" s="2747">
        <f t="shared" si="0"/>
        <v>5</v>
      </c>
      <c r="K98" s="2747">
        <f t="shared" si="0"/>
        <v>1</v>
      </c>
      <c r="L98" s="2747">
        <f t="shared" si="0"/>
        <v>3</v>
      </c>
      <c r="M98" s="2747">
        <f t="shared" si="0"/>
        <v>6</v>
      </c>
      <c r="N98" s="2747">
        <f t="shared" si="0"/>
        <v>5</v>
      </c>
      <c r="O98" s="2747">
        <f t="shared" si="0"/>
        <v>4</v>
      </c>
      <c r="P98" s="2747">
        <f t="shared" si="0"/>
        <v>2</v>
      </c>
      <c r="Q98" s="2747">
        <f t="shared" si="0"/>
        <v>2</v>
      </c>
      <c r="R98" s="2747">
        <f t="shared" si="0"/>
        <v>1</v>
      </c>
      <c r="S98" s="2747">
        <f t="shared" si="0"/>
        <v>1</v>
      </c>
      <c r="T98" s="2748"/>
      <c r="U98" s="2729"/>
    </row>
    <row r="99" spans="2:21" s="2723" customFormat="1" ht="19.5" customHeight="1" thickBot="1" thickTop="1">
      <c r="B99" s="2724"/>
      <c r="E99" s="2745"/>
      <c r="F99" s="2746" t="s">
        <v>521</v>
      </c>
      <c r="H99" s="2749">
        <f>'[5]BASE'!DR104</f>
        <v>0.54</v>
      </c>
      <c r="I99" s="2749">
        <f>'[5]BASE'!DS104</f>
        <v>0.55</v>
      </c>
      <c r="J99" s="2749">
        <f>'[5]BASE'!DT104</f>
        <v>0.52</v>
      </c>
      <c r="K99" s="2749">
        <f>'[5]BASE'!DU104</f>
        <v>0.5</v>
      </c>
      <c r="L99" s="2749">
        <f>'[5]BASE'!DV104</f>
        <v>0.52</v>
      </c>
      <c r="M99" s="2749">
        <f>'[5]BASE'!DW104</f>
        <v>0.52</v>
      </c>
      <c r="N99" s="2749">
        <f>'[5]BASE'!DX104</f>
        <v>0.56</v>
      </c>
      <c r="O99" s="2749">
        <f>'[5]BASE'!DY104</f>
        <v>0.54</v>
      </c>
      <c r="P99" s="2749">
        <f>'[5]BASE'!DZ104</f>
        <v>0.54</v>
      </c>
      <c r="Q99" s="2749">
        <f>'[5]BASE'!EA104</f>
        <v>0.52</v>
      </c>
      <c r="R99" s="2749">
        <f>'[5]BASE'!EB104</f>
        <v>0.47</v>
      </c>
      <c r="S99" s="2749">
        <f>'[5]BASE'!EC104</f>
        <v>0.43</v>
      </c>
      <c r="T99" s="2749">
        <f>'[5]BASE'!ED104</f>
        <v>0.36</v>
      </c>
      <c r="U99" s="2729"/>
    </row>
    <row r="100" spans="2:21" s="2723" customFormat="1" ht="19.5" customHeight="1" thickTop="1">
      <c r="B100" s="2724"/>
      <c r="C100" s="1081"/>
      <c r="D100" s="2750"/>
      <c r="E100" s="2751"/>
      <c r="F100" s="2752"/>
      <c r="G100" s="1081"/>
      <c r="H100" s="2753"/>
      <c r="I100" s="2753"/>
      <c r="J100" s="2753"/>
      <c r="K100" s="2753"/>
      <c r="L100" s="2753"/>
      <c r="M100" s="2753"/>
      <c r="N100" s="2753"/>
      <c r="O100" s="2753"/>
      <c r="P100" s="2753"/>
      <c r="Q100" s="2753"/>
      <c r="R100" s="2753"/>
      <c r="S100" s="2753"/>
      <c r="T100" s="2753"/>
      <c r="U100" s="2729"/>
    </row>
    <row r="101" spans="2:21" s="2723" customFormat="1" ht="19.5" customHeight="1" thickBot="1">
      <c r="B101" s="2724"/>
      <c r="C101" s="2754"/>
      <c r="D101" s="2754"/>
      <c r="E101" s="1094"/>
      <c r="F101" s="1094"/>
      <c r="G101" s="1111"/>
      <c r="H101" s="1094"/>
      <c r="I101" s="1094"/>
      <c r="J101" s="1094"/>
      <c r="K101" s="1094"/>
      <c r="L101" s="1094"/>
      <c r="M101" s="1094"/>
      <c r="N101" s="1094"/>
      <c r="O101" s="1094"/>
      <c r="P101" s="1094"/>
      <c r="Q101" s="1094"/>
      <c r="R101" s="1094"/>
      <c r="S101" s="1094"/>
      <c r="T101" s="1094"/>
      <c r="U101" s="2729"/>
    </row>
    <row r="102" spans="2:21" s="2723" customFormat="1" ht="19.5" customHeight="1" thickBot="1" thickTop="1">
      <c r="B102" s="2724"/>
      <c r="C102" s="1111"/>
      <c r="D102" s="1094"/>
      <c r="E102" s="1079"/>
      <c r="F102" s="1079"/>
      <c r="G102" s="1079"/>
      <c r="H102" s="2755" t="s">
        <v>522</v>
      </c>
      <c r="I102" s="2756"/>
      <c r="J102" s="2757">
        <f>T99</f>
        <v>0.36</v>
      </c>
      <c r="K102" s="2758" t="s">
        <v>523</v>
      </c>
      <c r="L102" s="2759"/>
      <c r="M102" s="2760"/>
      <c r="N102" s="1094"/>
      <c r="O102" s="1094"/>
      <c r="P102" s="1094"/>
      <c r="Q102" s="1094"/>
      <c r="R102" s="1094"/>
      <c r="S102" s="1094"/>
      <c r="T102" s="1094"/>
      <c r="U102" s="2729"/>
    </row>
    <row r="103" spans="2:21" s="2761" customFormat="1" ht="9.75" customHeight="1" thickTop="1">
      <c r="B103" s="2762"/>
      <c r="C103" s="1081"/>
      <c r="D103" s="2750"/>
      <c r="E103" s="2751"/>
      <c r="F103" s="2752"/>
      <c r="G103" s="1081"/>
      <c r="H103" s="2753"/>
      <c r="I103" s="2753"/>
      <c r="J103" s="2753"/>
      <c r="K103" s="2753"/>
      <c r="L103" s="2753"/>
      <c r="M103" s="2753"/>
      <c r="N103" s="2753"/>
      <c r="O103" s="2753"/>
      <c r="P103" s="2753"/>
      <c r="Q103" s="2753"/>
      <c r="R103" s="2753"/>
      <c r="S103" s="2753"/>
      <c r="T103" s="2753"/>
      <c r="U103" s="2763"/>
    </row>
    <row r="104" spans="2:21" s="1117" customFormat="1" ht="9.75" customHeight="1" thickBot="1">
      <c r="B104" s="1371"/>
      <c r="C104" s="2764"/>
      <c r="D104" s="1372"/>
      <c r="E104" s="1372"/>
      <c r="F104" s="2764"/>
      <c r="G104" s="2764"/>
      <c r="H104" s="1372"/>
      <c r="I104" s="1372"/>
      <c r="J104" s="1372"/>
      <c r="K104" s="1372"/>
      <c r="L104" s="1372"/>
      <c r="M104" s="1372"/>
      <c r="N104" s="1372"/>
      <c r="O104" s="1372"/>
      <c r="P104" s="1372"/>
      <c r="Q104" s="1372"/>
      <c r="R104" s="1372"/>
      <c r="S104" s="1372"/>
      <c r="T104" s="1372"/>
      <c r="U104" s="2765"/>
    </row>
    <row r="105" spans="3:7" ht="13.5" thickTop="1">
      <c r="C105" s="2766"/>
      <c r="F105" s="2766"/>
      <c r="G105" s="2766"/>
    </row>
    <row r="106" spans="3:194" ht="12.75">
      <c r="C106" s="2766"/>
      <c r="D106" s="1111"/>
      <c r="E106" s="1111"/>
      <c r="F106" s="1111"/>
      <c r="G106" s="1111"/>
      <c r="H106" s="2767"/>
      <c r="I106" s="2767"/>
      <c r="J106" s="2767"/>
      <c r="K106" s="2767"/>
      <c r="L106" s="2767"/>
      <c r="M106" s="2767"/>
      <c r="N106" s="2767"/>
      <c r="O106" s="2767"/>
      <c r="P106" s="2767"/>
      <c r="Q106" s="2767"/>
      <c r="R106" s="2767"/>
      <c r="S106" s="2767"/>
      <c r="T106" s="2767"/>
      <c r="U106" s="1094"/>
      <c r="V106" s="1094"/>
      <c r="W106" s="1094"/>
      <c r="X106" s="1094"/>
      <c r="Y106" s="1094"/>
      <c r="Z106" s="1094"/>
      <c r="AA106" s="1094"/>
      <c r="AB106" s="1094"/>
      <c r="AC106" s="1094"/>
      <c r="AD106" s="1094"/>
      <c r="AE106" s="1094"/>
      <c r="AF106" s="1094"/>
      <c r="AG106" s="1094"/>
      <c r="AH106" s="1094"/>
      <c r="AI106" s="1094"/>
      <c r="AJ106" s="1094"/>
      <c r="AK106" s="1094"/>
      <c r="AL106" s="1094"/>
      <c r="AM106" s="1094"/>
      <c r="AN106" s="1094"/>
      <c r="AO106" s="1094"/>
      <c r="AP106" s="1094"/>
      <c r="AQ106" s="1094"/>
      <c r="AR106" s="1094"/>
      <c r="AS106" s="1094"/>
      <c r="AT106" s="1094"/>
      <c r="AU106" s="1094"/>
      <c r="AV106" s="1094"/>
      <c r="AW106" s="1094"/>
      <c r="AX106" s="1094"/>
      <c r="AY106" s="1094"/>
      <c r="AZ106" s="1094"/>
      <c r="BA106" s="1094"/>
      <c r="BB106" s="1094"/>
      <c r="BC106" s="1094"/>
      <c r="BD106" s="1094"/>
      <c r="BE106" s="1094"/>
      <c r="BF106" s="1094"/>
      <c r="BG106" s="1094"/>
      <c r="BH106" s="1094"/>
      <c r="BI106" s="1094"/>
      <c r="BJ106" s="1094"/>
      <c r="BK106" s="1094"/>
      <c r="BL106" s="1094"/>
      <c r="BM106" s="1094"/>
      <c r="BN106" s="1094"/>
      <c r="BO106" s="1094"/>
      <c r="BP106" s="1094"/>
      <c r="BQ106" s="1094"/>
      <c r="BR106" s="1094"/>
      <c r="BS106" s="1094"/>
      <c r="BT106" s="1094"/>
      <c r="BU106" s="1094"/>
      <c r="BV106" s="1094"/>
      <c r="BW106" s="1094"/>
      <c r="BX106" s="1094"/>
      <c r="BY106" s="1094"/>
      <c r="BZ106" s="1094"/>
      <c r="CA106" s="1094"/>
      <c r="CB106" s="1094"/>
      <c r="CC106" s="1094"/>
      <c r="CD106" s="1094"/>
      <c r="CE106" s="1094"/>
      <c r="CF106" s="1094"/>
      <c r="CG106" s="1094"/>
      <c r="CH106" s="1094"/>
      <c r="CI106" s="1094"/>
      <c r="CJ106" s="1094"/>
      <c r="CK106" s="1094"/>
      <c r="CL106" s="1094"/>
      <c r="CM106" s="1094"/>
      <c r="CN106" s="1094"/>
      <c r="CO106" s="1094"/>
      <c r="CP106" s="1094"/>
      <c r="CQ106" s="1094"/>
      <c r="CR106" s="1094"/>
      <c r="CS106" s="1094"/>
      <c r="CT106" s="1094"/>
      <c r="CU106" s="1094"/>
      <c r="CV106" s="1094"/>
      <c r="CW106" s="1094"/>
      <c r="CX106" s="1094"/>
      <c r="CY106" s="1094"/>
      <c r="CZ106" s="1094"/>
      <c r="DA106" s="1094"/>
      <c r="DB106" s="1094"/>
      <c r="DC106" s="1094"/>
      <c r="DD106" s="1094"/>
      <c r="DE106" s="1094"/>
      <c r="DF106" s="1094"/>
      <c r="DG106" s="1094"/>
      <c r="DH106" s="1094"/>
      <c r="DI106" s="1094"/>
      <c r="DJ106" s="1094"/>
      <c r="DK106" s="1094"/>
      <c r="DL106" s="1094"/>
      <c r="DM106" s="1094"/>
      <c r="DN106" s="1094"/>
      <c r="DO106" s="1094"/>
      <c r="DP106" s="1094"/>
      <c r="DQ106" s="1094"/>
      <c r="DR106" s="1094"/>
      <c r="DS106" s="1094"/>
      <c r="DT106" s="1094"/>
      <c r="DU106" s="1094"/>
      <c r="DV106" s="1094"/>
      <c r="DW106" s="1094"/>
      <c r="DX106" s="1094"/>
      <c r="DY106" s="1094"/>
      <c r="DZ106" s="1094"/>
      <c r="EA106" s="1094"/>
      <c r="EB106" s="1094"/>
      <c r="EC106" s="1094"/>
      <c r="ED106" s="1094"/>
      <c r="EE106" s="1094"/>
      <c r="EF106" s="1094"/>
      <c r="EG106" s="1094"/>
      <c r="EH106" s="1094"/>
      <c r="EI106" s="1094"/>
      <c r="EJ106" s="1094"/>
      <c r="EK106" s="1094"/>
      <c r="EL106" s="1094"/>
      <c r="EM106" s="1094"/>
      <c r="EN106" s="1094"/>
      <c r="EO106" s="1094"/>
      <c r="EP106" s="1094"/>
      <c r="EQ106" s="1094"/>
      <c r="ER106" s="1094"/>
      <c r="ES106" s="1094"/>
      <c r="ET106" s="1094"/>
      <c r="EU106" s="1094"/>
      <c r="EV106" s="1094"/>
      <c r="EW106" s="1094"/>
      <c r="EX106" s="1094"/>
      <c r="EY106" s="1094"/>
      <c r="EZ106" s="1094"/>
      <c r="FA106" s="1094"/>
      <c r="FB106" s="1094"/>
      <c r="FC106" s="1094"/>
      <c r="FD106" s="1094"/>
      <c r="FE106" s="1094"/>
      <c r="FF106" s="1094"/>
      <c r="FG106" s="1094"/>
      <c r="FH106" s="1094"/>
      <c r="FI106" s="1094"/>
      <c r="FJ106" s="1094"/>
      <c r="FK106" s="1094"/>
      <c r="FL106" s="1094"/>
      <c r="FM106" s="1094"/>
      <c r="FN106" s="1094"/>
      <c r="FO106" s="1094"/>
      <c r="FP106" s="1094"/>
      <c r="FQ106" s="1094"/>
      <c r="FR106" s="1094"/>
      <c r="FS106" s="1094"/>
      <c r="FT106" s="1094"/>
      <c r="FU106" s="1094"/>
      <c r="FV106" s="1094"/>
      <c r="FW106" s="1094"/>
      <c r="FX106" s="1094"/>
      <c r="FY106" s="1094"/>
      <c r="FZ106" s="1094"/>
      <c r="GA106" s="1094"/>
      <c r="GB106" s="1094"/>
      <c r="GC106" s="1094"/>
      <c r="GD106" s="1094"/>
      <c r="GE106" s="1094"/>
      <c r="GF106" s="1094"/>
      <c r="GG106" s="1094"/>
      <c r="GH106" s="1094"/>
      <c r="GI106" s="1094"/>
      <c r="GJ106" s="1094"/>
      <c r="GK106" s="1094"/>
      <c r="GL106" s="1094"/>
    </row>
    <row r="107" spans="3:194" ht="12.75">
      <c r="C107" s="2766"/>
      <c r="D107" s="1111"/>
      <c r="E107" s="1111"/>
      <c r="F107" s="1111"/>
      <c r="G107" s="1111"/>
      <c r="H107" s="2767"/>
      <c r="I107" s="2767"/>
      <c r="J107" s="2767"/>
      <c r="K107" s="2767"/>
      <c r="L107" s="2767"/>
      <c r="M107" s="2767"/>
      <c r="N107" s="2767"/>
      <c r="O107" s="2767"/>
      <c r="P107" s="2767"/>
      <c r="Q107" s="2767"/>
      <c r="R107" s="2767"/>
      <c r="S107" s="2767"/>
      <c r="T107" s="2767"/>
      <c r="U107" s="1094"/>
      <c r="V107" s="1094"/>
      <c r="W107" s="1094"/>
      <c r="X107" s="1094"/>
      <c r="Y107" s="1094"/>
      <c r="Z107" s="1094"/>
      <c r="AA107" s="1094"/>
      <c r="AB107" s="1094"/>
      <c r="AC107" s="1094"/>
      <c r="AD107" s="1094"/>
      <c r="AE107" s="1094"/>
      <c r="AF107" s="1094"/>
      <c r="AG107" s="1094"/>
      <c r="AH107" s="1094"/>
      <c r="AI107" s="1094"/>
      <c r="AJ107" s="1094"/>
      <c r="AK107" s="1094"/>
      <c r="AL107" s="1094"/>
      <c r="AM107" s="1094"/>
      <c r="AN107" s="1094"/>
      <c r="AO107" s="1094"/>
      <c r="AP107" s="1094"/>
      <c r="AQ107" s="1094"/>
      <c r="AR107" s="1094"/>
      <c r="AS107" s="1094"/>
      <c r="AT107" s="1094"/>
      <c r="AU107" s="1094"/>
      <c r="AV107" s="1094"/>
      <c r="AW107" s="1094"/>
      <c r="AX107" s="1094"/>
      <c r="AY107" s="1094"/>
      <c r="AZ107" s="1094"/>
      <c r="BA107" s="1094"/>
      <c r="BB107" s="1094"/>
      <c r="BC107" s="1094"/>
      <c r="BD107" s="1094"/>
      <c r="BE107" s="1094"/>
      <c r="BF107" s="1094"/>
      <c r="BG107" s="1094"/>
      <c r="BH107" s="1094"/>
      <c r="BI107" s="1094"/>
      <c r="BJ107" s="1094"/>
      <c r="BK107" s="1094"/>
      <c r="BL107" s="1094"/>
      <c r="BM107" s="1094"/>
      <c r="BN107" s="1094"/>
      <c r="BO107" s="1094"/>
      <c r="BP107" s="1094"/>
      <c r="BQ107" s="1094"/>
      <c r="BR107" s="1094"/>
      <c r="BS107" s="1094"/>
      <c r="BT107" s="1094"/>
      <c r="BU107" s="1094"/>
      <c r="BV107" s="1094"/>
      <c r="BW107" s="1094"/>
      <c r="BX107" s="1094"/>
      <c r="BY107" s="1094"/>
      <c r="BZ107" s="1094"/>
      <c r="CA107" s="1094"/>
      <c r="CB107" s="1094"/>
      <c r="CC107" s="1094"/>
      <c r="CD107" s="1094"/>
      <c r="CE107" s="1094"/>
      <c r="CF107" s="1094"/>
      <c r="CG107" s="1094"/>
      <c r="CH107" s="1094"/>
      <c r="CI107" s="1094"/>
      <c r="CJ107" s="1094"/>
      <c r="CK107" s="1094"/>
      <c r="CL107" s="1094"/>
      <c r="CM107" s="1094"/>
      <c r="CN107" s="1094"/>
      <c r="CO107" s="1094"/>
      <c r="CP107" s="1094"/>
      <c r="CQ107" s="1094"/>
      <c r="CR107" s="1094"/>
      <c r="CS107" s="1094"/>
      <c r="CT107" s="1094"/>
      <c r="CU107" s="1094"/>
      <c r="CV107" s="1094"/>
      <c r="CW107" s="1094"/>
      <c r="CX107" s="1094"/>
      <c r="CY107" s="1094"/>
      <c r="CZ107" s="1094"/>
      <c r="DA107" s="1094"/>
      <c r="DB107" s="1094"/>
      <c r="DC107" s="1094"/>
      <c r="DD107" s="1094"/>
      <c r="DE107" s="1094"/>
      <c r="DF107" s="1094"/>
      <c r="DG107" s="1094"/>
      <c r="DH107" s="1094"/>
      <c r="DI107" s="1094"/>
      <c r="DJ107" s="1094"/>
      <c r="DK107" s="1094"/>
      <c r="DL107" s="1094"/>
      <c r="DM107" s="1094"/>
      <c r="DN107" s="1094"/>
      <c r="DO107" s="1094"/>
      <c r="DP107" s="1094"/>
      <c r="DQ107" s="1094"/>
      <c r="DR107" s="1094"/>
      <c r="DS107" s="1094"/>
      <c r="DT107" s="1094"/>
      <c r="DU107" s="1094"/>
      <c r="DV107" s="1094"/>
      <c r="DW107" s="1094"/>
      <c r="DX107" s="1094"/>
      <c r="DY107" s="1094"/>
      <c r="DZ107" s="1094"/>
      <c r="EA107" s="1094"/>
      <c r="EB107" s="1094"/>
      <c r="EC107" s="1094"/>
      <c r="ED107" s="1094"/>
      <c r="EE107" s="1094"/>
      <c r="EF107" s="1094"/>
      <c r="EG107" s="1094"/>
      <c r="EH107" s="1094"/>
      <c r="EI107" s="1094"/>
      <c r="EJ107" s="1094"/>
      <c r="EK107" s="1094"/>
      <c r="EL107" s="1094"/>
      <c r="EM107" s="1094"/>
      <c r="EN107" s="1094"/>
      <c r="EO107" s="1094"/>
      <c r="EP107" s="1094"/>
      <c r="EQ107" s="1094"/>
      <c r="ER107" s="1094"/>
      <c r="ES107" s="1094"/>
      <c r="ET107" s="1094"/>
      <c r="EU107" s="1094"/>
      <c r="EV107" s="1094"/>
      <c r="EW107" s="1094"/>
      <c r="EX107" s="1094"/>
      <c r="EY107" s="1094"/>
      <c r="EZ107" s="1094"/>
      <c r="FA107" s="1094"/>
      <c r="FB107" s="1094"/>
      <c r="FC107" s="1094"/>
      <c r="FD107" s="1094"/>
      <c r="FE107" s="1094"/>
      <c r="FF107" s="1094"/>
      <c r="FG107" s="1094"/>
      <c r="FH107" s="1094"/>
      <c r="FI107" s="1094"/>
      <c r="FJ107" s="1094"/>
      <c r="FK107" s="1094"/>
      <c r="FL107" s="1094"/>
      <c r="FM107" s="1094"/>
      <c r="FN107" s="1094"/>
      <c r="FO107" s="1094"/>
      <c r="FP107" s="1094"/>
      <c r="FQ107" s="1094"/>
      <c r="FR107" s="1094"/>
      <c r="FS107" s="1094"/>
      <c r="FT107" s="1094"/>
      <c r="FU107" s="1094"/>
      <c r="FV107" s="1094"/>
      <c r="FW107" s="1094"/>
      <c r="FX107" s="1094"/>
      <c r="FY107" s="1094"/>
      <c r="FZ107" s="1094"/>
      <c r="GA107" s="1094"/>
      <c r="GB107" s="1094"/>
      <c r="GC107" s="1094"/>
      <c r="GD107" s="1094"/>
      <c r="GE107" s="1094"/>
      <c r="GF107" s="1094"/>
      <c r="GG107" s="1094"/>
      <c r="GH107" s="1094"/>
      <c r="GI107" s="1094"/>
      <c r="GJ107" s="1094"/>
      <c r="GK107" s="1094"/>
      <c r="GL107" s="1094"/>
    </row>
    <row r="108" spans="3:194" ht="12.75">
      <c r="C108" s="2766"/>
      <c r="D108" s="1111"/>
      <c r="E108" s="1111"/>
      <c r="F108" s="1111"/>
      <c r="G108" s="1111"/>
      <c r="H108" s="2768"/>
      <c r="I108" s="2768"/>
      <c r="J108" s="2768"/>
      <c r="K108" s="2768"/>
      <c r="L108" s="2768"/>
      <c r="M108" s="2768"/>
      <c r="N108" s="2768"/>
      <c r="O108" s="2768"/>
      <c r="P108" s="2768"/>
      <c r="Q108" s="2768"/>
      <c r="R108" s="2768"/>
      <c r="S108" s="2768"/>
      <c r="T108" s="2768"/>
      <c r="U108" s="1094"/>
      <c r="V108" s="1094"/>
      <c r="W108" s="1094"/>
      <c r="X108" s="1094"/>
      <c r="Y108" s="1094"/>
      <c r="Z108" s="1094"/>
      <c r="AA108" s="1094"/>
      <c r="AB108" s="1094"/>
      <c r="AC108" s="1094"/>
      <c r="AD108" s="1094"/>
      <c r="AE108" s="1094"/>
      <c r="AF108" s="1094"/>
      <c r="AG108" s="1094"/>
      <c r="AH108" s="1094"/>
      <c r="AI108" s="1094"/>
      <c r="AJ108" s="1094"/>
      <c r="AK108" s="1094"/>
      <c r="AL108" s="1094"/>
      <c r="AM108" s="1094"/>
      <c r="AN108" s="1094"/>
      <c r="AO108" s="1094"/>
      <c r="AP108" s="1094"/>
      <c r="AQ108" s="1094"/>
      <c r="AR108" s="1094"/>
      <c r="AS108" s="1094"/>
      <c r="AT108" s="1094"/>
      <c r="AU108" s="1094"/>
      <c r="AV108" s="1094"/>
      <c r="AW108" s="1094"/>
      <c r="AX108" s="1094"/>
      <c r="AY108" s="1094"/>
      <c r="AZ108" s="1094"/>
      <c r="BA108" s="1094"/>
      <c r="BB108" s="1094"/>
      <c r="BC108" s="1094"/>
      <c r="BD108" s="1094"/>
      <c r="BE108" s="1094"/>
      <c r="BF108" s="1094"/>
      <c r="BG108" s="1094"/>
      <c r="BH108" s="1094"/>
      <c r="BI108" s="1094"/>
      <c r="BJ108" s="1094"/>
      <c r="BK108" s="1094"/>
      <c r="BL108" s="1094"/>
      <c r="BM108" s="1094"/>
      <c r="BN108" s="1094"/>
      <c r="BO108" s="1094"/>
      <c r="BP108" s="1094"/>
      <c r="BQ108" s="1094"/>
      <c r="BR108" s="1094"/>
      <c r="BS108" s="1094"/>
      <c r="BT108" s="1094"/>
      <c r="BU108" s="1094"/>
      <c r="BV108" s="1094"/>
      <c r="BW108" s="1094"/>
      <c r="BX108" s="1094"/>
      <c r="BY108" s="1094"/>
      <c r="BZ108" s="1094"/>
      <c r="CA108" s="1094"/>
      <c r="CB108" s="1094"/>
      <c r="CC108" s="1094"/>
      <c r="CD108" s="1094"/>
      <c r="CE108" s="1094"/>
      <c r="CF108" s="1094"/>
      <c r="CG108" s="1094"/>
      <c r="CH108" s="1094"/>
      <c r="CI108" s="1094"/>
      <c r="CJ108" s="1094"/>
      <c r="CK108" s="1094"/>
      <c r="CL108" s="1094"/>
      <c r="CM108" s="1094"/>
      <c r="CN108" s="1094"/>
      <c r="CO108" s="1094"/>
      <c r="CP108" s="1094"/>
      <c r="CQ108" s="1094"/>
      <c r="CR108" s="1094"/>
      <c r="CS108" s="1094"/>
      <c r="CT108" s="1094"/>
      <c r="CU108" s="1094"/>
      <c r="CV108" s="1094"/>
      <c r="CW108" s="1094"/>
      <c r="CX108" s="1094"/>
      <c r="CY108" s="1094"/>
      <c r="CZ108" s="1094"/>
      <c r="DA108" s="1094"/>
      <c r="DB108" s="1094"/>
      <c r="DC108" s="1094"/>
      <c r="DD108" s="1094"/>
      <c r="DE108" s="1094"/>
      <c r="DF108" s="1094"/>
      <c r="DG108" s="1094"/>
      <c r="DH108" s="1094"/>
      <c r="DI108" s="1094"/>
      <c r="DJ108" s="1094"/>
      <c r="DK108" s="1094"/>
      <c r="DL108" s="1094"/>
      <c r="DM108" s="1094"/>
      <c r="DN108" s="1094"/>
      <c r="DO108" s="1094"/>
      <c r="DP108" s="1094"/>
      <c r="DQ108" s="1094"/>
      <c r="DR108" s="1094"/>
      <c r="DS108" s="1094"/>
      <c r="DT108" s="1094"/>
      <c r="DU108" s="1094"/>
      <c r="DV108" s="1094"/>
      <c r="DW108" s="1094"/>
      <c r="DX108" s="1094"/>
      <c r="DY108" s="1094"/>
      <c r="DZ108" s="1094"/>
      <c r="EA108" s="1094"/>
      <c r="EB108" s="1094"/>
      <c r="EC108" s="1094"/>
      <c r="ED108" s="1094"/>
      <c r="EE108" s="1094"/>
      <c r="EF108" s="1094"/>
      <c r="EG108" s="1094"/>
      <c r="EH108" s="1094"/>
      <c r="EI108" s="1094"/>
      <c r="EJ108" s="1094"/>
      <c r="EK108" s="1094"/>
      <c r="EL108" s="1094"/>
      <c r="EM108" s="1094"/>
      <c r="EN108" s="1094"/>
      <c r="EO108" s="1094"/>
      <c r="EP108" s="1094"/>
      <c r="EQ108" s="1094"/>
      <c r="ER108" s="1094"/>
      <c r="ES108" s="1094"/>
      <c r="ET108" s="1094"/>
      <c r="EU108" s="1094"/>
      <c r="EV108" s="1094"/>
      <c r="EW108" s="1094"/>
      <c r="EX108" s="1094"/>
      <c r="EY108" s="1094"/>
      <c r="EZ108" s="1094"/>
      <c r="FA108" s="1094"/>
      <c r="FB108" s="1094"/>
      <c r="FC108" s="1094"/>
      <c r="FD108" s="1094"/>
      <c r="FE108" s="1094"/>
      <c r="FF108" s="1094"/>
      <c r="FG108" s="1094"/>
      <c r="FH108" s="1094"/>
      <c r="FI108" s="1094"/>
      <c r="FJ108" s="1094"/>
      <c r="FK108" s="1094"/>
      <c r="FL108" s="1094"/>
      <c r="FM108" s="1094"/>
      <c r="FN108" s="1094"/>
      <c r="FO108" s="1094"/>
      <c r="FP108" s="1094"/>
      <c r="FQ108" s="1094"/>
      <c r="FR108" s="1094"/>
      <c r="FS108" s="1094"/>
      <c r="FT108" s="1094"/>
      <c r="FU108" s="1094"/>
      <c r="FV108" s="1094"/>
      <c r="FW108" s="1094"/>
      <c r="FX108" s="1094"/>
      <c r="FY108" s="1094"/>
      <c r="FZ108" s="1094"/>
      <c r="GA108" s="1094"/>
      <c r="GB108" s="1094"/>
      <c r="GC108" s="1094"/>
      <c r="GD108" s="1094"/>
      <c r="GE108" s="1094"/>
      <c r="GF108" s="1094"/>
      <c r="GG108" s="1094"/>
      <c r="GH108" s="1094"/>
      <c r="GI108" s="1094"/>
      <c r="GJ108" s="1094"/>
      <c r="GK108" s="1094"/>
      <c r="GL108" s="1094"/>
    </row>
    <row r="109" spans="3:194" ht="12.75">
      <c r="C109" s="2766"/>
      <c r="D109" s="1111"/>
      <c r="E109" s="1111"/>
      <c r="F109" s="1111"/>
      <c r="G109" s="1111"/>
      <c r="H109" s="2767"/>
      <c r="I109" s="2767"/>
      <c r="J109" s="2767"/>
      <c r="K109" s="2767"/>
      <c r="L109" s="2767"/>
      <c r="M109" s="2767"/>
      <c r="N109" s="2767"/>
      <c r="O109" s="2767"/>
      <c r="P109" s="2767"/>
      <c r="Q109" s="2767"/>
      <c r="R109" s="2767"/>
      <c r="S109" s="2767"/>
      <c r="T109" s="2767"/>
      <c r="U109" s="1094"/>
      <c r="V109" s="1094"/>
      <c r="W109" s="1094"/>
      <c r="X109" s="1094"/>
      <c r="Y109" s="1094"/>
      <c r="Z109" s="1094"/>
      <c r="AA109" s="1094"/>
      <c r="AB109" s="1094"/>
      <c r="AC109" s="1094"/>
      <c r="AD109" s="1094"/>
      <c r="AE109" s="1094"/>
      <c r="AF109" s="1094"/>
      <c r="AG109" s="1094"/>
      <c r="AH109" s="1094"/>
      <c r="AI109" s="1094"/>
      <c r="AJ109" s="1094"/>
      <c r="AK109" s="1094"/>
      <c r="AL109" s="1094"/>
      <c r="AM109" s="1094"/>
      <c r="AN109" s="1094"/>
      <c r="AO109" s="1094"/>
      <c r="AP109" s="1094"/>
      <c r="AQ109" s="1094"/>
      <c r="AR109" s="1094"/>
      <c r="AS109" s="1094"/>
      <c r="AT109" s="1094"/>
      <c r="AU109" s="1094"/>
      <c r="AV109" s="1094"/>
      <c r="AW109" s="1094"/>
      <c r="AX109" s="1094"/>
      <c r="AY109" s="1094"/>
      <c r="AZ109" s="1094"/>
      <c r="BA109" s="1094"/>
      <c r="BB109" s="1094"/>
      <c r="BC109" s="1094"/>
      <c r="BD109" s="1094"/>
      <c r="BE109" s="1094"/>
      <c r="BF109" s="1094"/>
      <c r="BG109" s="1094"/>
      <c r="BH109" s="1094"/>
      <c r="BI109" s="1094"/>
      <c r="BJ109" s="1094"/>
      <c r="BK109" s="1094"/>
      <c r="BL109" s="1094"/>
      <c r="BM109" s="1094"/>
      <c r="BN109" s="1094"/>
      <c r="BO109" s="1094"/>
      <c r="BP109" s="1094"/>
      <c r="BQ109" s="1094"/>
      <c r="BR109" s="1094"/>
      <c r="BS109" s="1094"/>
      <c r="BT109" s="1094"/>
      <c r="BU109" s="1094"/>
      <c r="BV109" s="1094"/>
      <c r="BW109" s="1094"/>
      <c r="BX109" s="1094"/>
      <c r="BY109" s="1094"/>
      <c r="BZ109" s="1094"/>
      <c r="CA109" s="1094"/>
      <c r="CB109" s="1094"/>
      <c r="CC109" s="1094"/>
      <c r="CD109" s="1094"/>
      <c r="CE109" s="1094"/>
      <c r="CF109" s="1094"/>
      <c r="CG109" s="1094"/>
      <c r="CH109" s="1094"/>
      <c r="CI109" s="1094"/>
      <c r="CJ109" s="1094"/>
      <c r="CK109" s="1094"/>
      <c r="CL109" s="1094"/>
      <c r="CM109" s="1094"/>
      <c r="CN109" s="1094"/>
      <c r="CO109" s="1094"/>
      <c r="CP109" s="1094"/>
      <c r="CQ109" s="1094"/>
      <c r="CR109" s="1094"/>
      <c r="CS109" s="1094"/>
      <c r="CT109" s="1094"/>
      <c r="CU109" s="1094"/>
      <c r="CV109" s="1094"/>
      <c r="CW109" s="1094"/>
      <c r="CX109" s="1094"/>
      <c r="CY109" s="1094"/>
      <c r="CZ109" s="1094"/>
      <c r="DA109" s="1094"/>
      <c r="DB109" s="1094"/>
      <c r="DC109" s="1094"/>
      <c r="DD109" s="1094"/>
      <c r="DE109" s="1094"/>
      <c r="DF109" s="1094"/>
      <c r="DG109" s="1094"/>
      <c r="DH109" s="1094"/>
      <c r="DI109" s="1094"/>
      <c r="DJ109" s="1094"/>
      <c r="DK109" s="1094"/>
      <c r="DL109" s="1094"/>
      <c r="DM109" s="1094"/>
      <c r="DN109" s="1094"/>
      <c r="DO109" s="1094"/>
      <c r="DP109" s="1094"/>
      <c r="DQ109" s="1094"/>
      <c r="DR109" s="1094"/>
      <c r="DS109" s="1094"/>
      <c r="DT109" s="1094"/>
      <c r="DU109" s="1094"/>
      <c r="DV109" s="1094"/>
      <c r="DW109" s="1094"/>
      <c r="DX109" s="1094"/>
      <c r="DY109" s="1094"/>
      <c r="DZ109" s="1094"/>
      <c r="EA109" s="1094"/>
      <c r="EB109" s="1094"/>
      <c r="EC109" s="1094"/>
      <c r="ED109" s="1094"/>
      <c r="EE109" s="1094"/>
      <c r="EF109" s="1094"/>
      <c r="EG109" s="1094"/>
      <c r="EH109" s="1094"/>
      <c r="EI109" s="1094"/>
      <c r="EJ109" s="1094"/>
      <c r="EK109" s="1094"/>
      <c r="EL109" s="1094"/>
      <c r="EM109" s="1094"/>
      <c r="EN109" s="1094"/>
      <c r="EO109" s="1094"/>
      <c r="EP109" s="1094"/>
      <c r="EQ109" s="1094"/>
      <c r="ER109" s="1094"/>
      <c r="ES109" s="1094"/>
      <c r="ET109" s="1094"/>
      <c r="EU109" s="1094"/>
      <c r="EV109" s="1094"/>
      <c r="EW109" s="1094"/>
      <c r="EX109" s="1094"/>
      <c r="EY109" s="1094"/>
      <c r="EZ109" s="1094"/>
      <c r="FA109" s="1094"/>
      <c r="FB109" s="1094"/>
      <c r="FC109" s="1094"/>
      <c r="FD109" s="1094"/>
      <c r="FE109" s="1094"/>
      <c r="FF109" s="1094"/>
      <c r="FG109" s="1094"/>
      <c r="FH109" s="1094"/>
      <c r="FI109" s="1094"/>
      <c r="FJ109" s="1094"/>
      <c r="FK109" s="1094"/>
      <c r="FL109" s="1094"/>
      <c r="FM109" s="1094"/>
      <c r="FN109" s="1094"/>
      <c r="FO109" s="1094"/>
      <c r="FP109" s="1094"/>
      <c r="FQ109" s="1094"/>
      <c r="FR109" s="1094"/>
      <c r="FS109" s="1094"/>
      <c r="FT109" s="1094"/>
      <c r="FU109" s="1094"/>
      <c r="FV109" s="1094"/>
      <c r="FW109" s="1094"/>
      <c r="FX109" s="1094"/>
      <c r="FY109" s="1094"/>
      <c r="FZ109" s="1094"/>
      <c r="GA109" s="1094"/>
      <c r="GB109" s="1094"/>
      <c r="GC109" s="1094"/>
      <c r="GD109" s="1094"/>
      <c r="GE109" s="1094"/>
      <c r="GF109" s="1094"/>
      <c r="GG109" s="1094"/>
      <c r="GH109" s="1094"/>
      <c r="GI109" s="1094"/>
      <c r="GJ109" s="1094"/>
      <c r="GK109" s="1094"/>
      <c r="GL109" s="1094"/>
    </row>
    <row r="110" spans="3:194" ht="12.75">
      <c r="C110" s="2766"/>
      <c r="D110" s="1111"/>
      <c r="E110" s="1111"/>
      <c r="F110" s="1111"/>
      <c r="G110" s="1111"/>
      <c r="H110" s="2767"/>
      <c r="I110" s="2767"/>
      <c r="J110" s="2767"/>
      <c r="K110" s="2767"/>
      <c r="L110" s="2767"/>
      <c r="M110" s="2767"/>
      <c r="N110" s="2767"/>
      <c r="O110" s="2767"/>
      <c r="P110" s="2767"/>
      <c r="Q110" s="2767"/>
      <c r="R110" s="2767"/>
      <c r="S110" s="2767"/>
      <c r="T110" s="2767"/>
      <c r="U110" s="1094"/>
      <c r="V110" s="1094"/>
      <c r="W110" s="1094"/>
      <c r="X110" s="1094"/>
      <c r="Y110" s="1094"/>
      <c r="Z110" s="1094"/>
      <c r="AA110" s="1094"/>
      <c r="AB110" s="1094"/>
      <c r="AC110" s="1094"/>
      <c r="AD110" s="1094"/>
      <c r="AE110" s="1094"/>
      <c r="AF110" s="1094"/>
      <c r="AG110" s="1094"/>
      <c r="AH110" s="1094"/>
      <c r="AI110" s="1094"/>
      <c r="AJ110" s="1094"/>
      <c r="AK110" s="1094"/>
      <c r="AL110" s="1094"/>
      <c r="AM110" s="1094"/>
      <c r="AN110" s="1094"/>
      <c r="AO110" s="1094"/>
      <c r="AP110" s="1094"/>
      <c r="AQ110" s="1094"/>
      <c r="AR110" s="1094"/>
      <c r="AS110" s="1094"/>
      <c r="AT110" s="1094"/>
      <c r="AU110" s="1094"/>
      <c r="AV110" s="1094"/>
      <c r="AW110" s="1094"/>
      <c r="AX110" s="1094"/>
      <c r="AY110" s="1094"/>
      <c r="AZ110" s="1094"/>
      <c r="BA110" s="1094"/>
      <c r="BB110" s="1094"/>
      <c r="BC110" s="1094"/>
      <c r="BD110" s="1094"/>
      <c r="BE110" s="1094"/>
      <c r="BF110" s="1094"/>
      <c r="BG110" s="1094"/>
      <c r="BH110" s="1094"/>
      <c r="BI110" s="1094"/>
      <c r="BJ110" s="1094"/>
      <c r="BK110" s="1094"/>
      <c r="BL110" s="1094"/>
      <c r="BM110" s="1094"/>
      <c r="BN110" s="1094"/>
      <c r="BO110" s="1094"/>
      <c r="BP110" s="1094"/>
      <c r="BQ110" s="1094"/>
      <c r="BR110" s="1094"/>
      <c r="BS110" s="1094"/>
      <c r="BT110" s="1094"/>
      <c r="BU110" s="1094"/>
      <c r="BV110" s="1094"/>
      <c r="BW110" s="1094"/>
      <c r="BX110" s="1094"/>
      <c r="BY110" s="1094"/>
      <c r="BZ110" s="1094"/>
      <c r="CA110" s="1094"/>
      <c r="CB110" s="1094"/>
      <c r="CC110" s="1094"/>
      <c r="CD110" s="1094"/>
      <c r="CE110" s="1094"/>
      <c r="CF110" s="1094"/>
      <c r="CG110" s="1094"/>
      <c r="CH110" s="1094"/>
      <c r="CI110" s="1094"/>
      <c r="CJ110" s="1094"/>
      <c r="CK110" s="1094"/>
      <c r="CL110" s="1094"/>
      <c r="CM110" s="1094"/>
      <c r="CN110" s="1094"/>
      <c r="CO110" s="1094"/>
      <c r="CP110" s="1094"/>
      <c r="CQ110" s="1094"/>
      <c r="CR110" s="1094"/>
      <c r="CS110" s="1094"/>
      <c r="CT110" s="1094"/>
      <c r="CU110" s="1094"/>
      <c r="CV110" s="1094"/>
      <c r="CW110" s="1094"/>
      <c r="CX110" s="1094"/>
      <c r="CY110" s="1094"/>
      <c r="CZ110" s="1094"/>
      <c r="DA110" s="1094"/>
      <c r="DB110" s="1094"/>
      <c r="DC110" s="1094"/>
      <c r="DD110" s="1094"/>
      <c r="DE110" s="1094"/>
      <c r="DF110" s="1094"/>
      <c r="DG110" s="1094"/>
      <c r="DH110" s="1094"/>
      <c r="DI110" s="1094"/>
      <c r="DJ110" s="1094"/>
      <c r="DK110" s="1094"/>
      <c r="DL110" s="1094"/>
      <c r="DM110" s="1094"/>
      <c r="DN110" s="1094"/>
      <c r="DO110" s="1094"/>
      <c r="DP110" s="1094"/>
      <c r="DQ110" s="1094"/>
      <c r="DR110" s="1094"/>
      <c r="DS110" s="1094"/>
      <c r="DT110" s="1094"/>
      <c r="DU110" s="1094"/>
      <c r="DV110" s="1094"/>
      <c r="DW110" s="1094"/>
      <c r="DX110" s="1094"/>
      <c r="DY110" s="1094"/>
      <c r="DZ110" s="1094"/>
      <c r="EA110" s="1094"/>
      <c r="EB110" s="1094"/>
      <c r="EC110" s="1094"/>
      <c r="ED110" s="1094"/>
      <c r="EE110" s="1094"/>
      <c r="EF110" s="1094"/>
      <c r="EG110" s="1094"/>
      <c r="EH110" s="1094"/>
      <c r="EI110" s="1094"/>
      <c r="EJ110" s="1094"/>
      <c r="EK110" s="1094"/>
      <c r="EL110" s="1094"/>
      <c r="EM110" s="1094"/>
      <c r="EN110" s="1094"/>
      <c r="EO110" s="1094"/>
      <c r="EP110" s="1094"/>
      <c r="EQ110" s="1094"/>
      <c r="ER110" s="1094"/>
      <c r="ES110" s="1094"/>
      <c r="ET110" s="1094"/>
      <c r="EU110" s="1094"/>
      <c r="EV110" s="1094"/>
      <c r="EW110" s="1094"/>
      <c r="EX110" s="1094"/>
      <c r="EY110" s="1094"/>
      <c r="EZ110" s="1094"/>
      <c r="FA110" s="1094"/>
      <c r="FB110" s="1094"/>
      <c r="FC110" s="1094"/>
      <c r="FD110" s="1094"/>
      <c r="FE110" s="1094"/>
      <c r="FF110" s="1094"/>
      <c r="FG110" s="1094"/>
      <c r="FH110" s="1094"/>
      <c r="FI110" s="1094"/>
      <c r="FJ110" s="1094"/>
      <c r="FK110" s="1094"/>
      <c r="FL110" s="1094"/>
      <c r="FM110" s="1094"/>
      <c r="FN110" s="1094"/>
      <c r="FO110" s="1094"/>
      <c r="FP110" s="1094"/>
      <c r="FQ110" s="1094"/>
      <c r="FR110" s="1094"/>
      <c r="FS110" s="1094"/>
      <c r="FT110" s="1094"/>
      <c r="FU110" s="1094"/>
      <c r="FV110" s="1094"/>
      <c r="FW110" s="1094"/>
      <c r="FX110" s="1094"/>
      <c r="FY110" s="1094"/>
      <c r="FZ110" s="1094"/>
      <c r="GA110" s="1094"/>
      <c r="GB110" s="1094"/>
      <c r="GC110" s="1094"/>
      <c r="GD110" s="1094"/>
      <c r="GE110" s="1094"/>
      <c r="GF110" s="1094"/>
      <c r="GG110" s="1094"/>
      <c r="GH110" s="1094"/>
      <c r="GI110" s="1094"/>
      <c r="GJ110" s="1094"/>
      <c r="GK110" s="1094"/>
      <c r="GL110" s="1094"/>
    </row>
    <row r="111" spans="3:194" ht="12.75">
      <c r="C111" s="2766"/>
      <c r="D111" s="1111"/>
      <c r="E111" s="1111"/>
      <c r="F111" s="1111"/>
      <c r="G111" s="1111"/>
      <c r="H111" s="2767"/>
      <c r="I111" s="2767"/>
      <c r="J111" s="2767"/>
      <c r="K111" s="2767"/>
      <c r="L111" s="2767"/>
      <c r="M111" s="2767"/>
      <c r="N111" s="2767"/>
      <c r="O111" s="2767"/>
      <c r="P111" s="2767"/>
      <c r="Q111" s="2767"/>
      <c r="R111" s="2767"/>
      <c r="S111" s="2767"/>
      <c r="T111" s="2767"/>
      <c r="U111" s="1094"/>
      <c r="V111" s="1094"/>
      <c r="W111" s="1094"/>
      <c r="X111" s="1094"/>
      <c r="Y111" s="1094"/>
      <c r="Z111" s="1094"/>
      <c r="AA111" s="1094"/>
      <c r="AB111" s="1094"/>
      <c r="AC111" s="1094"/>
      <c r="AD111" s="1094"/>
      <c r="AE111" s="1094"/>
      <c r="AF111" s="1094"/>
      <c r="AG111" s="1094"/>
      <c r="AH111" s="1094"/>
      <c r="AI111" s="1094"/>
      <c r="AJ111" s="1094"/>
      <c r="AK111" s="1094"/>
      <c r="AL111" s="1094"/>
      <c r="AM111" s="1094"/>
      <c r="AN111" s="1094"/>
      <c r="AO111" s="1094"/>
      <c r="AP111" s="1094"/>
      <c r="AQ111" s="1094"/>
      <c r="AR111" s="1094"/>
      <c r="AS111" s="1094"/>
      <c r="AT111" s="1094"/>
      <c r="AU111" s="1094"/>
      <c r="AV111" s="1094"/>
      <c r="AW111" s="1094"/>
      <c r="AX111" s="1094"/>
      <c r="AY111" s="1094"/>
      <c r="AZ111" s="1094"/>
      <c r="BA111" s="1094"/>
      <c r="BB111" s="1094"/>
      <c r="BC111" s="1094"/>
      <c r="BD111" s="1094"/>
      <c r="BE111" s="1094"/>
      <c r="BF111" s="1094"/>
      <c r="BG111" s="1094"/>
      <c r="BH111" s="1094"/>
      <c r="BI111" s="1094"/>
      <c r="BJ111" s="1094"/>
      <c r="BK111" s="1094"/>
      <c r="BL111" s="1094"/>
      <c r="BM111" s="1094"/>
      <c r="BN111" s="1094"/>
      <c r="BO111" s="1094"/>
      <c r="BP111" s="1094"/>
      <c r="BQ111" s="1094"/>
      <c r="BR111" s="1094"/>
      <c r="BS111" s="1094"/>
      <c r="BT111" s="1094"/>
      <c r="BU111" s="1094"/>
      <c r="BV111" s="1094"/>
      <c r="BW111" s="1094"/>
      <c r="BX111" s="1094"/>
      <c r="BY111" s="1094"/>
      <c r="BZ111" s="1094"/>
      <c r="CA111" s="1094"/>
      <c r="CB111" s="1094"/>
      <c r="CC111" s="1094"/>
      <c r="CD111" s="1094"/>
      <c r="CE111" s="1094"/>
      <c r="CF111" s="1094"/>
      <c r="CG111" s="1094"/>
      <c r="CH111" s="1094"/>
      <c r="CI111" s="1094"/>
      <c r="CJ111" s="1094"/>
      <c r="CK111" s="1094"/>
      <c r="CL111" s="1094"/>
      <c r="CM111" s="1094"/>
      <c r="CN111" s="1094"/>
      <c r="CO111" s="1094"/>
      <c r="CP111" s="1094"/>
      <c r="CQ111" s="1094"/>
      <c r="CR111" s="1094"/>
      <c r="CS111" s="1094"/>
      <c r="CT111" s="1094"/>
      <c r="CU111" s="1094"/>
      <c r="CV111" s="1094"/>
      <c r="CW111" s="1094"/>
      <c r="CX111" s="1094"/>
      <c r="CY111" s="1094"/>
      <c r="CZ111" s="1094"/>
      <c r="DA111" s="1094"/>
      <c r="DB111" s="1094"/>
      <c r="DC111" s="1094"/>
      <c r="DD111" s="1094"/>
      <c r="DE111" s="1094"/>
      <c r="DF111" s="1094"/>
      <c r="DG111" s="1094"/>
      <c r="DH111" s="1094"/>
      <c r="DI111" s="1094"/>
      <c r="DJ111" s="1094"/>
      <c r="DK111" s="1094"/>
      <c r="DL111" s="1094"/>
      <c r="DM111" s="1094"/>
      <c r="DN111" s="1094"/>
      <c r="DO111" s="1094"/>
      <c r="DP111" s="1094"/>
      <c r="DQ111" s="1094"/>
      <c r="DR111" s="1094"/>
      <c r="DS111" s="1094"/>
      <c r="DT111" s="1094"/>
      <c r="DU111" s="1094"/>
      <c r="DV111" s="1094"/>
      <c r="DW111" s="1094"/>
      <c r="DX111" s="1094"/>
      <c r="DY111" s="1094"/>
      <c r="DZ111" s="1094"/>
      <c r="EA111" s="1094"/>
      <c r="EB111" s="1094"/>
      <c r="EC111" s="1094"/>
      <c r="ED111" s="1094"/>
      <c r="EE111" s="1094"/>
      <c r="EF111" s="1094"/>
      <c r="EG111" s="1094"/>
      <c r="EH111" s="1094"/>
      <c r="EI111" s="1094"/>
      <c r="EJ111" s="1094"/>
      <c r="EK111" s="1094"/>
      <c r="EL111" s="1094"/>
      <c r="EM111" s="1094"/>
      <c r="EN111" s="1094"/>
      <c r="EO111" s="1094"/>
      <c r="EP111" s="1094"/>
      <c r="EQ111" s="1094"/>
      <c r="ER111" s="1094"/>
      <c r="ES111" s="1094"/>
      <c r="ET111" s="1094"/>
      <c r="EU111" s="1094"/>
      <c r="EV111" s="1094"/>
      <c r="EW111" s="1094"/>
      <c r="EX111" s="1094"/>
      <c r="EY111" s="1094"/>
      <c r="EZ111" s="1094"/>
      <c r="FA111" s="1094"/>
      <c r="FB111" s="1094"/>
      <c r="FC111" s="1094"/>
      <c r="FD111" s="1094"/>
      <c r="FE111" s="1094"/>
      <c r="FF111" s="1094"/>
      <c r="FG111" s="1094"/>
      <c r="FH111" s="1094"/>
      <c r="FI111" s="1094"/>
      <c r="FJ111" s="1094"/>
      <c r="FK111" s="1094"/>
      <c r="FL111" s="1094"/>
      <c r="FM111" s="1094"/>
      <c r="FN111" s="1094"/>
      <c r="FO111" s="1094"/>
      <c r="FP111" s="1094"/>
      <c r="FQ111" s="1094"/>
      <c r="FR111" s="1094"/>
      <c r="FS111" s="1094"/>
      <c r="FT111" s="1094"/>
      <c r="FU111" s="1094"/>
      <c r="FV111" s="1094"/>
      <c r="FW111" s="1094"/>
      <c r="FX111" s="1094"/>
      <c r="FY111" s="1094"/>
      <c r="FZ111" s="1094"/>
      <c r="GA111" s="1094"/>
      <c r="GB111" s="1094"/>
      <c r="GC111" s="1094"/>
      <c r="GD111" s="1094"/>
      <c r="GE111" s="1094"/>
      <c r="GF111" s="1094"/>
      <c r="GG111" s="1094"/>
      <c r="GH111" s="1094"/>
      <c r="GI111" s="1094"/>
      <c r="GJ111" s="1094"/>
      <c r="GK111" s="1094"/>
      <c r="GL111" s="1094"/>
    </row>
    <row r="112" spans="3:194" ht="12.75">
      <c r="C112" s="2766"/>
      <c r="D112" s="1111"/>
      <c r="E112" s="1111"/>
      <c r="F112" s="1111"/>
      <c r="G112" s="1111"/>
      <c r="H112" s="2767"/>
      <c r="I112" s="2767"/>
      <c r="J112" s="2767"/>
      <c r="K112" s="2767"/>
      <c r="L112" s="2767"/>
      <c r="M112" s="2767"/>
      <c r="N112" s="2767"/>
      <c r="O112" s="2767"/>
      <c r="P112" s="2767"/>
      <c r="Q112" s="2767"/>
      <c r="R112" s="2767"/>
      <c r="S112" s="2767"/>
      <c r="T112" s="2767"/>
      <c r="U112" s="1094"/>
      <c r="V112" s="1094"/>
      <c r="W112" s="1094"/>
      <c r="X112" s="1094"/>
      <c r="Y112" s="1094"/>
      <c r="Z112" s="1094"/>
      <c r="AA112" s="1094"/>
      <c r="AB112" s="1094"/>
      <c r="AC112" s="1094"/>
      <c r="AD112" s="1094"/>
      <c r="AE112" s="1094"/>
      <c r="AF112" s="1094"/>
      <c r="AG112" s="1094"/>
      <c r="AH112" s="1094"/>
      <c r="AI112" s="1094"/>
      <c r="AJ112" s="1094"/>
      <c r="AK112" s="1094"/>
      <c r="AL112" s="1094"/>
      <c r="AM112" s="1094"/>
      <c r="AN112" s="1094"/>
      <c r="AO112" s="1094"/>
      <c r="AP112" s="1094"/>
      <c r="AQ112" s="1094"/>
      <c r="AR112" s="1094"/>
      <c r="AS112" s="1094"/>
      <c r="AT112" s="1094"/>
      <c r="AU112" s="1094"/>
      <c r="AV112" s="1094"/>
      <c r="AW112" s="1094"/>
      <c r="AX112" s="1094"/>
      <c r="AY112" s="1094"/>
      <c r="AZ112" s="1094"/>
      <c r="BA112" s="1094"/>
      <c r="BB112" s="1094"/>
      <c r="BC112" s="1094"/>
      <c r="BD112" s="1094"/>
      <c r="BE112" s="1094"/>
      <c r="BF112" s="1094"/>
      <c r="BG112" s="1094"/>
      <c r="BH112" s="1094"/>
      <c r="BI112" s="1094"/>
      <c r="BJ112" s="1094"/>
      <c r="BK112" s="1094"/>
      <c r="BL112" s="1094"/>
      <c r="BM112" s="1094"/>
      <c r="BN112" s="1094"/>
      <c r="BO112" s="1094"/>
      <c r="BP112" s="1094"/>
      <c r="BQ112" s="1094"/>
      <c r="BR112" s="1094"/>
      <c r="BS112" s="1094"/>
      <c r="BT112" s="1094"/>
      <c r="BU112" s="1094"/>
      <c r="BV112" s="1094"/>
      <c r="BW112" s="1094"/>
      <c r="BX112" s="1094"/>
      <c r="BY112" s="1094"/>
      <c r="BZ112" s="1094"/>
      <c r="CA112" s="1094"/>
      <c r="CB112" s="1094"/>
      <c r="CC112" s="1094"/>
      <c r="CD112" s="1094"/>
      <c r="CE112" s="1094"/>
      <c r="CF112" s="1094"/>
      <c r="CG112" s="1094"/>
      <c r="CH112" s="1094"/>
      <c r="CI112" s="1094"/>
      <c r="CJ112" s="1094"/>
      <c r="CK112" s="1094"/>
      <c r="CL112" s="1094"/>
      <c r="CM112" s="1094"/>
      <c r="CN112" s="1094"/>
      <c r="CO112" s="1094"/>
      <c r="CP112" s="1094"/>
      <c r="CQ112" s="1094"/>
      <c r="CR112" s="1094"/>
      <c r="CS112" s="1094"/>
      <c r="CT112" s="1094"/>
      <c r="CU112" s="1094"/>
      <c r="CV112" s="1094"/>
      <c r="CW112" s="1094"/>
      <c r="CX112" s="1094"/>
      <c r="CY112" s="1094"/>
      <c r="CZ112" s="1094"/>
      <c r="DA112" s="1094"/>
      <c r="DB112" s="1094"/>
      <c r="DC112" s="1094"/>
      <c r="DD112" s="1094"/>
      <c r="DE112" s="1094"/>
      <c r="DF112" s="1094"/>
      <c r="DG112" s="1094"/>
      <c r="DH112" s="1094"/>
      <c r="DI112" s="1094"/>
      <c r="DJ112" s="1094"/>
      <c r="DK112" s="1094"/>
      <c r="DL112" s="1094"/>
      <c r="DM112" s="1094"/>
      <c r="DN112" s="1094"/>
      <c r="DO112" s="1094"/>
      <c r="DP112" s="1094"/>
      <c r="DQ112" s="1094"/>
      <c r="DR112" s="1094"/>
      <c r="DS112" s="1094"/>
      <c r="DT112" s="1094"/>
      <c r="DU112" s="1094"/>
      <c r="DV112" s="1094"/>
      <c r="DW112" s="1094"/>
      <c r="DX112" s="1094"/>
      <c r="DY112" s="1094"/>
      <c r="DZ112" s="1094"/>
      <c r="EA112" s="1094"/>
      <c r="EB112" s="1094"/>
      <c r="EC112" s="1094"/>
      <c r="ED112" s="1094"/>
      <c r="EE112" s="1094"/>
      <c r="EF112" s="1094"/>
      <c r="EG112" s="1094"/>
      <c r="EH112" s="1094"/>
      <c r="EI112" s="1094"/>
      <c r="EJ112" s="1094"/>
      <c r="EK112" s="1094"/>
      <c r="EL112" s="1094"/>
      <c r="EM112" s="1094"/>
      <c r="EN112" s="1094"/>
      <c r="EO112" s="1094"/>
      <c r="EP112" s="1094"/>
      <c r="EQ112" s="1094"/>
      <c r="ER112" s="1094"/>
      <c r="ES112" s="1094"/>
      <c r="ET112" s="1094"/>
      <c r="EU112" s="1094"/>
      <c r="EV112" s="1094"/>
      <c r="EW112" s="1094"/>
      <c r="EX112" s="1094"/>
      <c r="EY112" s="1094"/>
      <c r="EZ112" s="1094"/>
      <c r="FA112" s="1094"/>
      <c r="FB112" s="1094"/>
      <c r="FC112" s="1094"/>
      <c r="FD112" s="1094"/>
      <c r="FE112" s="1094"/>
      <c r="FF112" s="1094"/>
      <c r="FG112" s="1094"/>
      <c r="FH112" s="1094"/>
      <c r="FI112" s="1094"/>
      <c r="FJ112" s="1094"/>
      <c r="FK112" s="1094"/>
      <c r="FL112" s="1094"/>
      <c r="FM112" s="1094"/>
      <c r="FN112" s="1094"/>
      <c r="FO112" s="1094"/>
      <c r="FP112" s="1094"/>
      <c r="FQ112" s="1094"/>
      <c r="FR112" s="1094"/>
      <c r="FS112" s="1094"/>
      <c r="FT112" s="1094"/>
      <c r="FU112" s="1094"/>
      <c r="FV112" s="1094"/>
      <c r="FW112" s="1094"/>
      <c r="FX112" s="1094"/>
      <c r="FY112" s="1094"/>
      <c r="FZ112" s="1094"/>
      <c r="GA112" s="1094"/>
      <c r="GB112" s="1094"/>
      <c r="GC112" s="1094"/>
      <c r="GD112" s="1094"/>
      <c r="GE112" s="1094"/>
      <c r="GF112" s="1094"/>
      <c r="GG112" s="1094"/>
      <c r="GH112" s="1094"/>
      <c r="GI112" s="1094"/>
      <c r="GJ112" s="1094"/>
      <c r="GK112" s="1094"/>
      <c r="GL112" s="1094"/>
    </row>
    <row r="113" spans="3:194" ht="12.75">
      <c r="C113" s="2766"/>
      <c r="D113" s="1111"/>
      <c r="E113" s="1111"/>
      <c r="F113" s="1111"/>
      <c r="G113" s="1111"/>
      <c r="H113" s="2767"/>
      <c r="I113" s="2767"/>
      <c r="J113" s="2767"/>
      <c r="K113" s="2767"/>
      <c r="L113" s="2767"/>
      <c r="M113" s="2767"/>
      <c r="N113" s="2767"/>
      <c r="O113" s="2767"/>
      <c r="P113" s="2767"/>
      <c r="Q113" s="2767"/>
      <c r="R113" s="2767"/>
      <c r="S113" s="2767"/>
      <c r="T113" s="2767"/>
      <c r="U113" s="1094"/>
      <c r="V113" s="1094"/>
      <c r="W113" s="1094"/>
      <c r="X113" s="1094"/>
      <c r="Y113" s="1094"/>
      <c r="Z113" s="1094"/>
      <c r="AA113" s="1094"/>
      <c r="AB113" s="1094"/>
      <c r="AC113" s="1094"/>
      <c r="AD113" s="1094"/>
      <c r="AE113" s="1094"/>
      <c r="AF113" s="1094"/>
      <c r="AG113" s="1094"/>
      <c r="AH113" s="1094"/>
      <c r="AI113" s="1094"/>
      <c r="AJ113" s="1094"/>
      <c r="AK113" s="1094"/>
      <c r="AL113" s="1094"/>
      <c r="AM113" s="1094"/>
      <c r="AN113" s="1094"/>
      <c r="AO113" s="1094"/>
      <c r="AP113" s="1094"/>
      <c r="AQ113" s="1094"/>
      <c r="AR113" s="1094"/>
      <c r="AS113" s="1094"/>
      <c r="AT113" s="1094"/>
      <c r="AU113" s="1094"/>
      <c r="AV113" s="1094"/>
      <c r="AW113" s="1094"/>
      <c r="AX113" s="1094"/>
      <c r="AY113" s="1094"/>
      <c r="AZ113" s="1094"/>
      <c r="BA113" s="1094"/>
      <c r="BB113" s="1094"/>
      <c r="BC113" s="1094"/>
      <c r="BD113" s="1094"/>
      <c r="BE113" s="1094"/>
      <c r="BF113" s="1094"/>
      <c r="BG113" s="1094"/>
      <c r="BH113" s="1094"/>
      <c r="BI113" s="1094"/>
      <c r="BJ113" s="1094"/>
      <c r="BK113" s="1094"/>
      <c r="BL113" s="1094"/>
      <c r="BM113" s="1094"/>
      <c r="BN113" s="1094"/>
      <c r="BO113" s="1094"/>
      <c r="BP113" s="1094"/>
      <c r="BQ113" s="1094"/>
      <c r="BR113" s="1094"/>
      <c r="BS113" s="1094"/>
      <c r="BT113" s="1094"/>
      <c r="BU113" s="1094"/>
      <c r="BV113" s="1094"/>
      <c r="BW113" s="1094"/>
      <c r="BX113" s="1094"/>
      <c r="BY113" s="1094"/>
      <c r="BZ113" s="1094"/>
      <c r="CA113" s="1094"/>
      <c r="CB113" s="1094"/>
      <c r="CC113" s="1094"/>
      <c r="CD113" s="1094"/>
      <c r="CE113" s="1094"/>
      <c r="CF113" s="1094"/>
      <c r="CG113" s="1094"/>
      <c r="CH113" s="1094"/>
      <c r="CI113" s="1094"/>
      <c r="CJ113" s="1094"/>
      <c r="CK113" s="1094"/>
      <c r="CL113" s="1094"/>
      <c r="CM113" s="1094"/>
      <c r="CN113" s="1094"/>
      <c r="CO113" s="1094"/>
      <c r="CP113" s="1094"/>
      <c r="CQ113" s="1094"/>
      <c r="CR113" s="1094"/>
      <c r="CS113" s="1094"/>
      <c r="CT113" s="1094"/>
      <c r="CU113" s="1094"/>
      <c r="CV113" s="1094"/>
      <c r="CW113" s="1094"/>
      <c r="CX113" s="1094"/>
      <c r="CY113" s="1094"/>
      <c r="CZ113" s="1094"/>
      <c r="DA113" s="1094"/>
      <c r="DB113" s="1094"/>
      <c r="DC113" s="1094"/>
      <c r="DD113" s="1094"/>
      <c r="DE113" s="1094"/>
      <c r="DF113" s="1094"/>
      <c r="DG113" s="1094"/>
      <c r="DH113" s="1094"/>
      <c r="DI113" s="1094"/>
      <c r="DJ113" s="1094"/>
      <c r="DK113" s="1094"/>
      <c r="DL113" s="1094"/>
      <c r="DM113" s="1094"/>
      <c r="DN113" s="1094"/>
      <c r="DO113" s="1094"/>
      <c r="DP113" s="1094"/>
      <c r="DQ113" s="1094"/>
      <c r="DR113" s="1094"/>
      <c r="DS113" s="1094"/>
      <c r="DT113" s="1094"/>
      <c r="DU113" s="1094"/>
      <c r="DV113" s="1094"/>
      <c r="DW113" s="1094"/>
      <c r="DX113" s="1094"/>
      <c r="DY113" s="1094"/>
      <c r="DZ113" s="1094"/>
      <c r="EA113" s="1094"/>
      <c r="EB113" s="1094"/>
      <c r="EC113" s="1094"/>
      <c r="ED113" s="1094"/>
      <c r="EE113" s="1094"/>
      <c r="EF113" s="1094"/>
      <c r="EG113" s="1094"/>
      <c r="EH113" s="1094"/>
      <c r="EI113" s="1094"/>
      <c r="EJ113" s="1094"/>
      <c r="EK113" s="1094"/>
      <c r="EL113" s="1094"/>
      <c r="EM113" s="1094"/>
      <c r="EN113" s="1094"/>
      <c r="EO113" s="1094"/>
      <c r="EP113" s="1094"/>
      <c r="EQ113" s="1094"/>
      <c r="ER113" s="1094"/>
      <c r="ES113" s="1094"/>
      <c r="ET113" s="1094"/>
      <c r="EU113" s="1094"/>
      <c r="EV113" s="1094"/>
      <c r="EW113" s="1094"/>
      <c r="EX113" s="1094"/>
      <c r="EY113" s="1094"/>
      <c r="EZ113" s="1094"/>
      <c r="FA113" s="1094"/>
      <c r="FB113" s="1094"/>
      <c r="FC113" s="1094"/>
      <c r="FD113" s="1094"/>
      <c r="FE113" s="1094"/>
      <c r="FF113" s="1094"/>
      <c r="FG113" s="1094"/>
      <c r="FH113" s="1094"/>
      <c r="FI113" s="1094"/>
      <c r="FJ113" s="1094"/>
      <c r="FK113" s="1094"/>
      <c r="FL113" s="1094"/>
      <c r="FM113" s="1094"/>
      <c r="FN113" s="1094"/>
      <c r="FO113" s="1094"/>
      <c r="FP113" s="1094"/>
      <c r="FQ113" s="1094"/>
      <c r="FR113" s="1094"/>
      <c r="FS113" s="1094"/>
      <c r="FT113" s="1094"/>
      <c r="FU113" s="1094"/>
      <c r="FV113" s="1094"/>
      <c r="FW113" s="1094"/>
      <c r="FX113" s="1094"/>
      <c r="FY113" s="1094"/>
      <c r="FZ113" s="1094"/>
      <c r="GA113" s="1094"/>
      <c r="GB113" s="1094"/>
      <c r="GC113" s="1094"/>
      <c r="GD113" s="1094"/>
      <c r="GE113" s="1094"/>
      <c r="GF113" s="1094"/>
      <c r="GG113" s="1094"/>
      <c r="GH113" s="1094"/>
      <c r="GI113" s="1094"/>
      <c r="GJ113" s="1094"/>
      <c r="GK113" s="1094"/>
      <c r="GL113" s="1094"/>
    </row>
    <row r="114" spans="3:194" ht="12.75">
      <c r="C114" s="2766"/>
      <c r="D114" s="1111"/>
      <c r="E114" s="1111"/>
      <c r="F114" s="1111"/>
      <c r="G114" s="1111"/>
      <c r="H114" s="1111"/>
      <c r="I114" s="1111"/>
      <c r="J114" s="1111"/>
      <c r="K114" s="1111"/>
      <c r="L114" s="1111"/>
      <c r="M114" s="1111"/>
      <c r="N114" s="1111"/>
      <c r="O114" s="1111"/>
      <c r="P114" s="1111"/>
      <c r="Q114" s="1111"/>
      <c r="R114" s="1111"/>
      <c r="S114" s="1111"/>
      <c r="T114" s="1111"/>
      <c r="U114" s="1094"/>
      <c r="V114" s="1094"/>
      <c r="W114" s="1094"/>
      <c r="X114" s="1094"/>
      <c r="Y114" s="1094"/>
      <c r="Z114" s="1094"/>
      <c r="AA114" s="1094"/>
      <c r="AB114" s="1094"/>
      <c r="AC114" s="1094"/>
      <c r="AD114" s="1094"/>
      <c r="AE114" s="1094"/>
      <c r="AF114" s="1094"/>
      <c r="AG114" s="1094"/>
      <c r="AH114" s="1094"/>
      <c r="AI114" s="1094"/>
      <c r="AJ114" s="1094"/>
      <c r="AK114" s="1094"/>
      <c r="AL114" s="1094"/>
      <c r="AM114" s="1094"/>
      <c r="AN114" s="1094"/>
      <c r="AO114" s="1094"/>
      <c r="AP114" s="1094"/>
      <c r="AQ114" s="1094"/>
      <c r="AR114" s="1094"/>
      <c r="AS114" s="1094"/>
      <c r="AT114" s="1094"/>
      <c r="AU114" s="1094"/>
      <c r="AV114" s="1094"/>
      <c r="AW114" s="1094"/>
      <c r="AX114" s="1094"/>
      <c r="AY114" s="1094"/>
      <c r="AZ114" s="1094"/>
      <c r="BA114" s="1094"/>
      <c r="BB114" s="1094"/>
      <c r="BC114" s="1094"/>
      <c r="BD114" s="1094"/>
      <c r="BE114" s="1094"/>
      <c r="BF114" s="1094"/>
      <c r="BG114" s="1094"/>
      <c r="BH114" s="1094"/>
      <c r="BI114" s="1094"/>
      <c r="BJ114" s="1094"/>
      <c r="BK114" s="1094"/>
      <c r="BL114" s="1094"/>
      <c r="BM114" s="1094"/>
      <c r="BN114" s="1094"/>
      <c r="BO114" s="1094"/>
      <c r="BP114" s="1094"/>
      <c r="BQ114" s="1094"/>
      <c r="BR114" s="1094"/>
      <c r="BS114" s="1094"/>
      <c r="BT114" s="1094"/>
      <c r="BU114" s="1094"/>
      <c r="BV114" s="1094"/>
      <c r="BW114" s="1094"/>
      <c r="BX114" s="1094"/>
      <c r="BY114" s="1094"/>
      <c r="BZ114" s="1094"/>
      <c r="CA114" s="1094"/>
      <c r="CB114" s="1094"/>
      <c r="CC114" s="1094"/>
      <c r="CD114" s="1094"/>
      <c r="CE114" s="1094"/>
      <c r="CF114" s="1094"/>
      <c r="CG114" s="1094"/>
      <c r="CH114" s="1094"/>
      <c r="CI114" s="1094"/>
      <c r="CJ114" s="1094"/>
      <c r="CK114" s="1094"/>
      <c r="CL114" s="1094"/>
      <c r="CM114" s="1094"/>
      <c r="CN114" s="1094"/>
      <c r="CO114" s="1094"/>
      <c r="CP114" s="1094"/>
      <c r="CQ114" s="1094"/>
      <c r="CR114" s="1094"/>
      <c r="CS114" s="1094"/>
      <c r="CT114" s="1094"/>
      <c r="CU114" s="1094"/>
      <c r="CV114" s="1094"/>
      <c r="CW114" s="1094"/>
      <c r="CX114" s="1094"/>
      <c r="CY114" s="1094"/>
      <c r="CZ114" s="1094"/>
      <c r="DA114" s="1094"/>
      <c r="DB114" s="1094"/>
      <c r="DC114" s="1094"/>
      <c r="DD114" s="1094"/>
      <c r="DE114" s="1094"/>
      <c r="DF114" s="1094"/>
      <c r="DG114" s="1094"/>
      <c r="DH114" s="1094"/>
      <c r="DI114" s="1094"/>
      <c r="DJ114" s="1094"/>
      <c r="DK114" s="1094"/>
      <c r="DL114" s="1094"/>
      <c r="DM114" s="1094"/>
      <c r="DN114" s="1094"/>
      <c r="DO114" s="1094"/>
      <c r="DP114" s="1094"/>
      <c r="DQ114" s="1094"/>
      <c r="DR114" s="1094"/>
      <c r="DS114" s="1094"/>
      <c r="DT114" s="1094"/>
      <c r="DU114" s="1094"/>
      <c r="DV114" s="1094"/>
      <c r="DW114" s="1094"/>
      <c r="DX114" s="1094"/>
      <c r="DY114" s="1094"/>
      <c r="DZ114" s="1094"/>
      <c r="EA114" s="1094"/>
      <c r="EB114" s="1094"/>
      <c r="EC114" s="1094"/>
      <c r="ED114" s="1094"/>
      <c r="EE114" s="1094"/>
      <c r="EF114" s="1094"/>
      <c r="EG114" s="1094"/>
      <c r="EH114" s="1094"/>
      <c r="EI114" s="1094"/>
      <c r="EJ114" s="1094"/>
      <c r="EK114" s="1094"/>
      <c r="EL114" s="1094"/>
      <c r="EM114" s="1094"/>
      <c r="EN114" s="1094"/>
      <c r="EO114" s="1094"/>
      <c r="EP114" s="1094"/>
      <c r="EQ114" s="1094"/>
      <c r="ER114" s="1094"/>
      <c r="ES114" s="1094"/>
      <c r="ET114" s="1094"/>
      <c r="EU114" s="1094"/>
      <c r="EV114" s="1094"/>
      <c r="EW114" s="1094"/>
      <c r="EX114" s="1094"/>
      <c r="EY114" s="1094"/>
      <c r="EZ114" s="1094"/>
      <c r="FA114" s="1094"/>
      <c r="FB114" s="1094"/>
      <c r="FC114" s="1094"/>
      <c r="FD114" s="1094"/>
      <c r="FE114" s="1094"/>
      <c r="FF114" s="1094"/>
      <c r="FG114" s="1094"/>
      <c r="FH114" s="1094"/>
      <c r="FI114" s="1094"/>
      <c r="FJ114" s="1094"/>
      <c r="FK114" s="1094"/>
      <c r="FL114" s="1094"/>
      <c r="FM114" s="1094"/>
      <c r="FN114" s="1094"/>
      <c r="FO114" s="1094"/>
      <c r="FP114" s="1094"/>
      <c r="FQ114" s="1094"/>
      <c r="FR114" s="1094"/>
      <c r="FS114" s="1094"/>
      <c r="FT114" s="1094"/>
      <c r="FU114" s="1094"/>
      <c r="FV114" s="1094"/>
      <c r="FW114" s="1094"/>
      <c r="FX114" s="1094"/>
      <c r="FY114" s="1094"/>
      <c r="FZ114" s="1094"/>
      <c r="GA114" s="1094"/>
      <c r="GB114" s="1094"/>
      <c r="GC114" s="1094"/>
      <c r="GD114" s="1094"/>
      <c r="GE114" s="1094"/>
      <c r="GF114" s="1094"/>
      <c r="GG114" s="1094"/>
      <c r="GH114" s="1094"/>
      <c r="GI114" s="1094"/>
      <c r="GJ114" s="1094"/>
      <c r="GK114" s="1094"/>
      <c r="GL114" s="1094"/>
    </row>
    <row r="115" spans="3:194" ht="12.75">
      <c r="C115" s="2766"/>
      <c r="D115" s="1094"/>
      <c r="E115" s="1094"/>
      <c r="F115" s="1111"/>
      <c r="G115" s="1111"/>
      <c r="H115" s="1094"/>
      <c r="I115" s="1094"/>
      <c r="J115" s="1094"/>
      <c r="K115" s="1094"/>
      <c r="L115" s="1094"/>
      <c r="M115" s="1094"/>
      <c r="N115" s="1094"/>
      <c r="O115" s="1094"/>
      <c r="P115" s="1094"/>
      <c r="Q115" s="1094"/>
      <c r="R115" s="1094"/>
      <c r="S115" s="1094"/>
      <c r="T115" s="1094"/>
      <c r="U115" s="1094"/>
      <c r="V115" s="1094"/>
      <c r="W115" s="1094"/>
      <c r="X115" s="1094"/>
      <c r="Y115" s="1094"/>
      <c r="Z115" s="1094"/>
      <c r="AA115" s="1094"/>
      <c r="AB115" s="1094"/>
      <c r="AC115" s="1094"/>
      <c r="AD115" s="1094"/>
      <c r="AE115" s="1094"/>
      <c r="AF115" s="1094"/>
      <c r="AG115" s="1094"/>
      <c r="AH115" s="1094"/>
      <c r="AI115" s="1094"/>
      <c r="AJ115" s="1094"/>
      <c r="AK115" s="1094"/>
      <c r="AL115" s="1094"/>
      <c r="AM115" s="1094"/>
      <c r="AN115" s="1094"/>
      <c r="AO115" s="1094"/>
      <c r="AP115" s="1094"/>
      <c r="AQ115" s="1094"/>
      <c r="AR115" s="1094"/>
      <c r="AS115" s="1094"/>
      <c r="AT115" s="1094"/>
      <c r="AU115" s="1094"/>
      <c r="AV115" s="1094"/>
      <c r="AW115" s="1094"/>
      <c r="AX115" s="1094"/>
      <c r="AY115" s="1094"/>
      <c r="AZ115" s="1094"/>
      <c r="BA115" s="1094"/>
      <c r="BB115" s="1094"/>
      <c r="BC115" s="1094"/>
      <c r="BD115" s="1094"/>
      <c r="BE115" s="1094"/>
      <c r="BF115" s="1094"/>
      <c r="BG115" s="1094"/>
      <c r="BH115" s="1094"/>
      <c r="BI115" s="1094"/>
      <c r="BJ115" s="1094"/>
      <c r="BK115" s="1094"/>
      <c r="BL115" s="1094"/>
      <c r="BM115" s="1094"/>
      <c r="BN115" s="1094"/>
      <c r="BO115" s="1094"/>
      <c r="BP115" s="1094"/>
      <c r="BQ115" s="1094"/>
      <c r="BR115" s="1094"/>
      <c r="BS115" s="1094"/>
      <c r="BT115" s="1094"/>
      <c r="BU115" s="1094"/>
      <c r="BV115" s="1094"/>
      <c r="BW115" s="1094"/>
      <c r="BX115" s="1094"/>
      <c r="BY115" s="1094"/>
      <c r="BZ115" s="1094"/>
      <c r="CA115" s="1094"/>
      <c r="CB115" s="1094"/>
      <c r="CC115" s="1094"/>
      <c r="CD115" s="1094"/>
      <c r="CE115" s="1094"/>
      <c r="CF115" s="1094"/>
      <c r="CG115" s="1094"/>
      <c r="CH115" s="1094"/>
      <c r="CI115" s="1094"/>
      <c r="CJ115" s="1094"/>
      <c r="CK115" s="1094"/>
      <c r="CL115" s="1094"/>
      <c r="CM115" s="1094"/>
      <c r="CN115" s="1094"/>
      <c r="CO115" s="1094"/>
      <c r="CP115" s="1094"/>
      <c r="CQ115" s="1094"/>
      <c r="CR115" s="1094"/>
      <c r="CS115" s="1094"/>
      <c r="CT115" s="1094"/>
      <c r="CU115" s="1094"/>
      <c r="CV115" s="1094"/>
      <c r="CW115" s="1094"/>
      <c r="CX115" s="1094"/>
      <c r="CY115" s="1094"/>
      <c r="CZ115" s="1094"/>
      <c r="DA115" s="1094"/>
      <c r="DB115" s="1094"/>
      <c r="DC115" s="1094"/>
      <c r="DD115" s="1094"/>
      <c r="DE115" s="1094"/>
      <c r="DF115" s="1094"/>
      <c r="DG115" s="1094"/>
      <c r="DH115" s="1094"/>
      <c r="DI115" s="1094"/>
      <c r="DJ115" s="1094"/>
      <c r="DK115" s="1094"/>
      <c r="DL115" s="1094"/>
      <c r="DM115" s="1094"/>
      <c r="DN115" s="1094"/>
      <c r="DO115" s="1094"/>
      <c r="DP115" s="1094"/>
      <c r="DQ115" s="1094"/>
      <c r="DR115" s="1094"/>
      <c r="DS115" s="1094"/>
      <c r="DT115" s="1094"/>
      <c r="DU115" s="1094"/>
      <c r="DV115" s="1094"/>
      <c r="DW115" s="1094"/>
      <c r="DX115" s="1094"/>
      <c r="DY115" s="1094"/>
      <c r="DZ115" s="1094"/>
      <c r="EA115" s="1094"/>
      <c r="EB115" s="1094"/>
      <c r="EC115" s="1094"/>
      <c r="ED115" s="1094"/>
      <c r="EE115" s="1094"/>
      <c r="EF115" s="1094"/>
      <c r="EG115" s="1094"/>
      <c r="EH115" s="1094"/>
      <c r="EI115" s="1094"/>
      <c r="EJ115" s="1094"/>
      <c r="EK115" s="1094"/>
      <c r="EL115" s="1094"/>
      <c r="EM115" s="1094"/>
      <c r="EN115" s="1094"/>
      <c r="EO115" s="1094"/>
      <c r="EP115" s="1094"/>
      <c r="EQ115" s="1094"/>
      <c r="ER115" s="1094"/>
      <c r="ES115" s="1094"/>
      <c r="ET115" s="1094"/>
      <c r="EU115" s="1094"/>
      <c r="EV115" s="1094"/>
      <c r="EW115" s="1094"/>
      <c r="EX115" s="1094"/>
      <c r="EY115" s="1094"/>
      <c r="EZ115" s="1094"/>
      <c r="FA115" s="1094"/>
      <c r="FB115" s="1094"/>
      <c r="FC115" s="1094"/>
      <c r="FD115" s="1094"/>
      <c r="FE115" s="1094"/>
      <c r="FF115" s="1094"/>
      <c r="FG115" s="1094"/>
      <c r="FH115" s="1094"/>
      <c r="FI115" s="1094"/>
      <c r="FJ115" s="1094"/>
      <c r="FK115" s="1094"/>
      <c r="FL115" s="1094"/>
      <c r="FM115" s="1094"/>
      <c r="FN115" s="1094"/>
      <c r="FO115" s="1094"/>
      <c r="FP115" s="1094"/>
      <c r="FQ115" s="1094"/>
      <c r="FR115" s="1094"/>
      <c r="FS115" s="1094"/>
      <c r="FT115" s="1094"/>
      <c r="FU115" s="1094"/>
      <c r="FV115" s="1094"/>
      <c r="FW115" s="1094"/>
      <c r="FX115" s="1094"/>
      <c r="FY115" s="1094"/>
      <c r="FZ115" s="1094"/>
      <c r="GA115" s="1094"/>
      <c r="GB115" s="1094"/>
      <c r="GC115" s="1094"/>
      <c r="GD115" s="1094"/>
      <c r="GE115" s="1094"/>
      <c r="GF115" s="1094"/>
      <c r="GG115" s="1094"/>
      <c r="GH115" s="1094"/>
      <c r="GI115" s="1094"/>
      <c r="GJ115" s="1094"/>
      <c r="GK115" s="1094"/>
      <c r="GL115" s="1094"/>
    </row>
    <row r="116" spans="3:7" ht="12.75">
      <c r="C116" s="2766"/>
      <c r="F116" s="2766"/>
      <c r="G116" s="2766"/>
    </row>
    <row r="117" spans="3:7" ht="12.75">
      <c r="C117" s="2766"/>
      <c r="F117" s="2766"/>
      <c r="G117" s="2766"/>
    </row>
    <row r="118" spans="3:7" ht="12.75">
      <c r="C118" s="2766"/>
      <c r="F118" s="2766"/>
      <c r="G118" s="2766"/>
    </row>
    <row r="119" spans="6:7" ht="12.75">
      <c r="F119" s="2766"/>
      <c r="G119" s="2766"/>
    </row>
  </sheetData>
  <sheetProtection/>
  <printOptions/>
  <pageMargins left="0.4" right="0.24" top="0.29" bottom="0.3" header="0" footer="0.16"/>
  <pageSetup fitToHeight="1" fitToWidth="1" horizontalDpi="600" verticalDpi="600" orientation="portrait" paperSize="9" scale="37" r:id="rId2"/>
  <headerFooter alignWithMargins="0">
    <oddFooter>&amp;L&amp;F-&amp;A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C10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" sqref="B2"/>
    </sheetView>
  </sheetViews>
  <sheetFormatPr defaultColWidth="11.421875" defaultRowHeight="12.75"/>
  <cols>
    <col min="1" max="1" width="23.00390625" style="568" bestFit="1" customWidth="1"/>
    <col min="2" max="2" width="9.28125" style="568" customWidth="1"/>
    <col min="3" max="3" width="11.8515625" style="568" bestFit="1" customWidth="1"/>
    <col min="4" max="4" width="9.57421875" style="568" bestFit="1" customWidth="1"/>
    <col min="5" max="5" width="17.140625" style="568" bestFit="1" customWidth="1"/>
    <col min="6" max="6" width="71.8515625" style="568" bestFit="1" customWidth="1"/>
    <col min="7" max="9" width="5.8515625" style="568" customWidth="1"/>
    <col min="10" max="22" width="5.8515625" style="568" bestFit="1" customWidth="1"/>
    <col min="23" max="24" width="11.00390625" style="568" customWidth="1"/>
    <col min="25" max="29" width="11.421875" style="568" customWidth="1"/>
    <col min="30" max="16384" width="11.421875" style="569" customWidth="1"/>
  </cols>
  <sheetData>
    <row r="1" spans="1:4" ht="10.5">
      <c r="A1" s="567" t="s">
        <v>145</v>
      </c>
      <c r="B1" s="567" t="s">
        <v>145</v>
      </c>
      <c r="C1" s="567" t="s">
        <v>146</v>
      </c>
      <c r="D1" s="567" t="s">
        <v>147</v>
      </c>
    </row>
    <row r="2" spans="1:4" ht="10.5">
      <c r="A2" s="570" t="s">
        <v>148</v>
      </c>
      <c r="B2" s="571" t="s">
        <v>149</v>
      </c>
      <c r="C2" s="570">
        <v>31</v>
      </c>
      <c r="D2" s="570">
        <v>2006</v>
      </c>
    </row>
    <row r="3" spans="1:4" ht="10.5">
      <c r="A3" s="570" t="s">
        <v>150</v>
      </c>
      <c r="B3" s="571" t="s">
        <v>151</v>
      </c>
      <c r="C3" s="570">
        <f>IF(MOD(E14,4)=0,29,28)</f>
        <v>28</v>
      </c>
      <c r="D3" s="570">
        <f>+D2+1</f>
        <v>2007</v>
      </c>
    </row>
    <row r="4" spans="1:4" ht="10.5">
      <c r="A4" s="570" t="s">
        <v>152</v>
      </c>
      <c r="B4" s="571" t="s">
        <v>153</v>
      </c>
      <c r="C4" s="570">
        <v>31</v>
      </c>
      <c r="D4" s="570">
        <v>2008</v>
      </c>
    </row>
    <row r="5" spans="1:4" ht="10.5">
      <c r="A5" s="570" t="s">
        <v>154</v>
      </c>
      <c r="B5" s="571" t="s">
        <v>155</v>
      </c>
      <c r="C5" s="570">
        <v>30</v>
      </c>
      <c r="D5" s="570">
        <v>2009</v>
      </c>
    </row>
    <row r="6" spans="1:4" ht="10.5">
      <c r="A6" s="570" t="s">
        <v>156</v>
      </c>
      <c r="B6" s="571" t="s">
        <v>157</v>
      </c>
      <c r="C6" s="570">
        <v>31</v>
      </c>
      <c r="D6" s="570">
        <v>2010</v>
      </c>
    </row>
    <row r="7" spans="1:4" ht="10.5">
      <c r="A7" s="570" t="s">
        <v>158</v>
      </c>
      <c r="B7" s="571" t="s">
        <v>159</v>
      </c>
      <c r="C7" s="570">
        <v>30</v>
      </c>
      <c r="D7" s="570">
        <v>2011</v>
      </c>
    </row>
    <row r="8" spans="1:4" ht="10.5">
      <c r="A8" s="570" t="s">
        <v>160</v>
      </c>
      <c r="B8" s="571" t="s">
        <v>161</v>
      </c>
      <c r="C8" s="570">
        <v>31</v>
      </c>
      <c r="D8" s="570">
        <v>2012</v>
      </c>
    </row>
    <row r="9" spans="1:4" ht="10.5">
      <c r="A9" s="570" t="s">
        <v>162</v>
      </c>
      <c r="B9" s="571" t="s">
        <v>163</v>
      </c>
      <c r="C9" s="570">
        <v>31</v>
      </c>
      <c r="D9" s="570">
        <v>2013</v>
      </c>
    </row>
    <row r="10" spans="1:4" ht="10.5">
      <c r="A10" s="570" t="s">
        <v>164</v>
      </c>
      <c r="B10" s="571" t="s">
        <v>165</v>
      </c>
      <c r="C10" s="570">
        <v>30</v>
      </c>
      <c r="D10" s="570">
        <v>2014</v>
      </c>
    </row>
    <row r="11" spans="1:4" ht="10.5">
      <c r="A11" s="570" t="s">
        <v>166</v>
      </c>
      <c r="B11" s="571" t="s">
        <v>167</v>
      </c>
      <c r="C11" s="570">
        <v>31</v>
      </c>
      <c r="D11" s="570"/>
    </row>
    <row r="12" spans="1:4" ht="10.5">
      <c r="A12" s="570" t="s">
        <v>168</v>
      </c>
      <c r="B12" s="571" t="s">
        <v>169</v>
      </c>
      <c r="C12" s="570">
        <v>30</v>
      </c>
      <c r="D12" s="570"/>
    </row>
    <row r="13" spans="1:9" ht="10.5">
      <c r="A13" s="570" t="s">
        <v>170</v>
      </c>
      <c r="B13" s="571" t="s">
        <v>171</v>
      </c>
      <c r="C13" s="570">
        <v>31</v>
      </c>
      <c r="D13" s="570"/>
      <c r="E13" s="572"/>
      <c r="I13" s="573" t="s">
        <v>172</v>
      </c>
    </row>
    <row r="14" spans="1:9" ht="10.5">
      <c r="A14" s="574">
        <v>9</v>
      </c>
      <c r="B14" s="575">
        <v>6</v>
      </c>
      <c r="C14" s="574" t="str">
        <f ca="1">CELL("CONTENIDO",OFFSET(A1,B14,0))</f>
        <v>junio</v>
      </c>
      <c r="D14" s="574">
        <f ca="1">CELL("CONTENIDO",OFFSET(C1,B14,0))</f>
        <v>30</v>
      </c>
      <c r="E14" s="574">
        <f ca="1">CELL("CONTENIDO",OFFSET(D1,A14,0))</f>
        <v>2014</v>
      </c>
      <c r="F14" s="574" t="str">
        <f>"Desde el 01 al "&amp;D14&amp;" de "&amp;C14&amp;" de "&amp;E14</f>
        <v>Desde el 01 al 30 de junio de 2014</v>
      </c>
      <c r="G14" s="574" t="str">
        <f ca="1">CELL("CONTENIDO",OFFSET(B1,B14,0))</f>
        <v>06</v>
      </c>
      <c r="H14" s="574" t="str">
        <f>RIGHT(E14,2)</f>
        <v>14</v>
      </c>
      <c r="I14" s="576" t="s">
        <v>173</v>
      </c>
    </row>
    <row r="15" spans="1:8" ht="10.5">
      <c r="A15" s="574"/>
      <c r="B15" s="577" t="str">
        <f>"\\rugor\files\Transporte\Transporte\AA PROCESO AUT ARCHIVOS J\TRANSENER\"&amp;E14</f>
        <v>\\rugor\files\Transporte\Transporte\AA PROCESO AUT ARCHIVOS J\TRANSENER\2014</v>
      </c>
      <c r="C15" s="574"/>
      <c r="D15" s="574"/>
      <c r="E15" s="574"/>
      <c r="F15" s="574"/>
      <c r="G15" s="574" t="str">
        <f>"J"&amp;G14&amp;H14&amp;"NER"</f>
        <v>J0614NER</v>
      </c>
      <c r="H15" s="574"/>
    </row>
    <row r="16" spans="1:8" ht="10.5">
      <c r="A16" s="574"/>
      <c r="B16" s="577" t="str">
        <f>"\\rugor\files\Transporte\transporte\AA PROCESO AUT\INTERCAMBIO\"&amp;H14&amp;G14</f>
        <v>\\rugor\files\Transporte\transporte\AA PROCESO AUT\INTERCAMBIO\1406</v>
      </c>
      <c r="C16" s="574"/>
      <c r="D16" s="574"/>
      <c r="E16" s="574"/>
      <c r="F16" s="574"/>
      <c r="G16" s="574"/>
      <c r="H16" s="574"/>
    </row>
    <row r="17" spans="1:29" ht="10.5">
      <c r="A17" s="567" t="s">
        <v>174</v>
      </c>
      <c r="B17" s="567" t="s">
        <v>175</v>
      </c>
      <c r="C17" s="567" t="s">
        <v>176</v>
      </c>
      <c r="D17" s="567" t="s">
        <v>177</v>
      </c>
      <c r="E17" s="567" t="s">
        <v>178</v>
      </c>
      <c r="F17" s="567" t="s">
        <v>179</v>
      </c>
      <c r="G17" s="567" t="s">
        <v>180</v>
      </c>
      <c r="H17" s="567" t="s">
        <v>181</v>
      </c>
      <c r="I17" s="567" t="s">
        <v>182</v>
      </c>
      <c r="J17" s="567" t="s">
        <v>183</v>
      </c>
      <c r="K17" s="567" t="s">
        <v>184</v>
      </c>
      <c r="L17" s="567" t="s">
        <v>185</v>
      </c>
      <c r="M17" s="567" t="s">
        <v>186</v>
      </c>
      <c r="N17" s="567" t="s">
        <v>187</v>
      </c>
      <c r="O17" s="567" t="s">
        <v>188</v>
      </c>
      <c r="P17" s="567" t="s">
        <v>189</v>
      </c>
      <c r="Q17" s="567" t="s">
        <v>190</v>
      </c>
      <c r="R17" s="567" t="s">
        <v>191</v>
      </c>
      <c r="S17" s="567" t="s">
        <v>192</v>
      </c>
      <c r="T17" s="567" t="s">
        <v>193</v>
      </c>
      <c r="U17" s="567" t="s">
        <v>194</v>
      </c>
      <c r="V17" s="567" t="s">
        <v>195</v>
      </c>
      <c r="W17" s="567" t="s">
        <v>196</v>
      </c>
      <c r="X17" s="567" t="s">
        <v>197</v>
      </c>
      <c r="Y17" s="567" t="s">
        <v>198</v>
      </c>
      <c r="Z17" s="567" t="s">
        <v>199</v>
      </c>
      <c r="AA17" s="567" t="s">
        <v>200</v>
      </c>
      <c r="AB17" s="567" t="s">
        <v>201</v>
      </c>
      <c r="AC17" s="567" t="s">
        <v>202</v>
      </c>
    </row>
    <row r="18" spans="1:29" ht="10.5">
      <c r="A18" s="578" t="s">
        <v>203</v>
      </c>
      <c r="B18" s="578">
        <v>22</v>
      </c>
      <c r="C18" s="578">
        <v>20</v>
      </c>
      <c r="D18" s="578">
        <v>13</v>
      </c>
      <c r="E18" s="578" t="str">
        <f>"LI-"&amp;$G$14</f>
        <v>LI-06</v>
      </c>
      <c r="F18" s="578" t="s">
        <v>204</v>
      </c>
      <c r="G18" s="578">
        <v>3</v>
      </c>
      <c r="H18" s="579">
        <v>5</v>
      </c>
      <c r="I18" s="579">
        <v>4</v>
      </c>
      <c r="J18" s="578">
        <v>6</v>
      </c>
      <c r="K18" s="578">
        <v>7</v>
      </c>
      <c r="L18" s="578">
        <v>8</v>
      </c>
      <c r="M18" s="578">
        <v>9</v>
      </c>
      <c r="N18" s="578">
        <v>12</v>
      </c>
      <c r="O18" s="578">
        <v>13</v>
      </c>
      <c r="P18" s="578">
        <v>16</v>
      </c>
      <c r="Q18" s="578">
        <v>19</v>
      </c>
      <c r="R18" s="578">
        <v>30</v>
      </c>
      <c r="S18" s="578">
        <v>0</v>
      </c>
      <c r="T18" s="578">
        <v>0</v>
      </c>
      <c r="U18" s="578">
        <v>0</v>
      </c>
      <c r="V18" s="578">
        <v>0</v>
      </c>
      <c r="W18" s="578">
        <v>17</v>
      </c>
      <c r="X18" s="578">
        <v>9</v>
      </c>
      <c r="Y18" s="578">
        <v>43</v>
      </c>
      <c r="Z18" s="579">
        <v>31</v>
      </c>
      <c r="AA18" s="578">
        <v>20</v>
      </c>
      <c r="AB18" s="579">
        <v>31</v>
      </c>
      <c r="AC18" s="578">
        <v>16</v>
      </c>
    </row>
    <row r="19" spans="1:29" ht="10.5">
      <c r="A19" s="578" t="s">
        <v>205</v>
      </c>
      <c r="B19" s="579">
        <v>20</v>
      </c>
      <c r="C19" s="579">
        <v>20</v>
      </c>
      <c r="D19" s="579">
        <v>13</v>
      </c>
      <c r="E19" s="578" t="str">
        <f>"LI-YACY-"&amp;$G$14</f>
        <v>LI-YACY-06</v>
      </c>
      <c r="F19" s="578" t="s">
        <v>206</v>
      </c>
      <c r="G19" s="579">
        <v>3</v>
      </c>
      <c r="H19" s="579">
        <v>5</v>
      </c>
      <c r="I19" s="579">
        <v>4</v>
      </c>
      <c r="J19" s="579">
        <v>6</v>
      </c>
      <c r="K19" s="579">
        <v>7</v>
      </c>
      <c r="L19" s="579">
        <v>8</v>
      </c>
      <c r="M19" s="579">
        <v>9</v>
      </c>
      <c r="N19" s="579">
        <v>12</v>
      </c>
      <c r="O19" s="579">
        <v>13</v>
      </c>
      <c r="P19" s="579">
        <v>16</v>
      </c>
      <c r="Q19" s="579">
        <v>19</v>
      </c>
      <c r="R19" s="579">
        <v>30</v>
      </c>
      <c r="S19" s="579">
        <v>0</v>
      </c>
      <c r="T19" s="579">
        <v>0</v>
      </c>
      <c r="U19" s="579">
        <v>0</v>
      </c>
      <c r="V19" s="579">
        <v>0</v>
      </c>
      <c r="W19" s="579">
        <v>18</v>
      </c>
      <c r="X19" s="579">
        <v>9</v>
      </c>
      <c r="Y19" s="579">
        <v>41</v>
      </c>
      <c r="Z19" s="579">
        <v>31</v>
      </c>
      <c r="AA19" s="578">
        <v>20</v>
      </c>
      <c r="AB19" s="579">
        <v>31</v>
      </c>
      <c r="AC19" s="579">
        <v>16</v>
      </c>
    </row>
    <row r="20" spans="1:29" ht="10.5">
      <c r="A20" s="578" t="s">
        <v>207</v>
      </c>
      <c r="B20" s="578">
        <v>22</v>
      </c>
      <c r="C20" s="578">
        <v>20</v>
      </c>
      <c r="D20" s="578">
        <v>13</v>
      </c>
      <c r="E20" s="578" t="str">
        <f>"LI-LITSA-"&amp;$G$14</f>
        <v>LI-LITSA-06</v>
      </c>
      <c r="F20" s="578" t="s">
        <v>208</v>
      </c>
      <c r="G20" s="578">
        <v>3</v>
      </c>
      <c r="H20" s="579">
        <v>5</v>
      </c>
      <c r="I20" s="579">
        <v>4</v>
      </c>
      <c r="J20" s="578">
        <v>6</v>
      </c>
      <c r="K20" s="578">
        <v>7</v>
      </c>
      <c r="L20" s="578">
        <v>8</v>
      </c>
      <c r="M20" s="578">
        <v>9</v>
      </c>
      <c r="N20" s="578">
        <v>12</v>
      </c>
      <c r="O20" s="578">
        <v>13</v>
      </c>
      <c r="P20" s="578">
        <v>16</v>
      </c>
      <c r="Q20" s="578">
        <v>19</v>
      </c>
      <c r="R20" s="578">
        <v>30</v>
      </c>
      <c r="S20" s="578">
        <v>0</v>
      </c>
      <c r="T20" s="578">
        <v>0</v>
      </c>
      <c r="U20" s="578">
        <v>0</v>
      </c>
      <c r="V20" s="578">
        <v>0</v>
      </c>
      <c r="W20" s="579">
        <v>19</v>
      </c>
      <c r="X20" s="578">
        <v>9</v>
      </c>
      <c r="Y20" s="578">
        <v>43</v>
      </c>
      <c r="Z20" s="579">
        <v>32</v>
      </c>
      <c r="AA20" s="578">
        <v>20</v>
      </c>
      <c r="AB20" s="579">
        <v>32</v>
      </c>
      <c r="AC20" s="578">
        <v>16</v>
      </c>
    </row>
    <row r="21" spans="1:29" ht="10.5">
      <c r="A21" s="578" t="s">
        <v>209</v>
      </c>
      <c r="B21" s="578">
        <v>22</v>
      </c>
      <c r="C21" s="578">
        <v>20</v>
      </c>
      <c r="D21" s="578">
        <v>13</v>
      </c>
      <c r="E21" s="578" t="str">
        <f>"LI-LITS2-"&amp;$G$14</f>
        <v>LI-LITS2-06</v>
      </c>
      <c r="F21" s="578" t="s">
        <v>210</v>
      </c>
      <c r="G21" s="578">
        <v>3</v>
      </c>
      <c r="H21" s="579">
        <v>5</v>
      </c>
      <c r="I21" s="579">
        <v>4</v>
      </c>
      <c r="J21" s="578">
        <v>6</v>
      </c>
      <c r="K21" s="578">
        <v>7</v>
      </c>
      <c r="L21" s="578">
        <v>8</v>
      </c>
      <c r="M21" s="578">
        <v>9</v>
      </c>
      <c r="N21" s="578">
        <v>12</v>
      </c>
      <c r="O21" s="578">
        <v>13</v>
      </c>
      <c r="P21" s="578">
        <v>16</v>
      </c>
      <c r="Q21" s="578">
        <v>19</v>
      </c>
      <c r="R21" s="578">
        <v>30</v>
      </c>
      <c r="S21" s="578">
        <v>0</v>
      </c>
      <c r="T21" s="578">
        <v>0</v>
      </c>
      <c r="U21" s="578">
        <v>0</v>
      </c>
      <c r="V21" s="578">
        <v>0</v>
      </c>
      <c r="W21" s="579">
        <v>20</v>
      </c>
      <c r="X21" s="578">
        <v>9</v>
      </c>
      <c r="Y21" s="578">
        <v>43</v>
      </c>
      <c r="Z21" s="579">
        <v>32</v>
      </c>
      <c r="AA21" s="578">
        <v>20</v>
      </c>
      <c r="AB21" s="579">
        <v>32</v>
      </c>
      <c r="AC21" s="578">
        <v>16</v>
      </c>
    </row>
    <row r="22" spans="1:29" ht="10.5">
      <c r="A22" s="578" t="s">
        <v>211</v>
      </c>
      <c r="B22" s="578">
        <v>22</v>
      </c>
      <c r="C22" s="578">
        <v>20</v>
      </c>
      <c r="D22" s="578">
        <v>13</v>
      </c>
      <c r="E22" s="578" t="str">
        <f>"LI-LINSA-"&amp;$G$14</f>
        <v>LI-LINSA-06</v>
      </c>
      <c r="F22" s="578" t="s">
        <v>212</v>
      </c>
      <c r="G22" s="578">
        <v>3</v>
      </c>
      <c r="H22" s="579">
        <v>5</v>
      </c>
      <c r="I22" s="579">
        <v>4</v>
      </c>
      <c r="J22" s="578">
        <v>6</v>
      </c>
      <c r="K22" s="578">
        <v>7</v>
      </c>
      <c r="L22" s="578">
        <v>8</v>
      </c>
      <c r="M22" s="578">
        <v>9</v>
      </c>
      <c r="N22" s="578">
        <v>12</v>
      </c>
      <c r="O22" s="578">
        <v>13</v>
      </c>
      <c r="P22" s="578">
        <v>16</v>
      </c>
      <c r="Q22" s="578">
        <v>19</v>
      </c>
      <c r="R22" s="578">
        <v>30</v>
      </c>
      <c r="S22" s="578">
        <v>0</v>
      </c>
      <c r="T22" s="578">
        <v>0</v>
      </c>
      <c r="U22" s="578">
        <v>0</v>
      </c>
      <c r="V22" s="578">
        <v>0</v>
      </c>
      <c r="W22" s="579">
        <v>21</v>
      </c>
      <c r="X22" s="578">
        <v>9</v>
      </c>
      <c r="Y22" s="578">
        <v>43</v>
      </c>
      <c r="Z22" s="579">
        <v>32</v>
      </c>
      <c r="AA22" s="578">
        <v>20</v>
      </c>
      <c r="AB22" s="579">
        <v>32</v>
      </c>
      <c r="AC22" s="578">
        <v>16</v>
      </c>
    </row>
    <row r="23" spans="1:29" ht="10.5">
      <c r="A23" s="578" t="s">
        <v>213</v>
      </c>
      <c r="B23" s="578">
        <v>22</v>
      </c>
      <c r="C23" s="579">
        <v>20</v>
      </c>
      <c r="D23" s="578">
        <v>13</v>
      </c>
      <c r="E23" s="578" t="str">
        <f>"LI-IV-"&amp;$G$14</f>
        <v>LI-IV-06</v>
      </c>
      <c r="F23" s="578" t="s">
        <v>214</v>
      </c>
      <c r="G23" s="578">
        <v>3</v>
      </c>
      <c r="H23" s="579">
        <v>5</v>
      </c>
      <c r="I23" s="579">
        <v>4</v>
      </c>
      <c r="J23" s="578">
        <v>6</v>
      </c>
      <c r="K23" s="578">
        <v>7</v>
      </c>
      <c r="L23" s="578">
        <v>8</v>
      </c>
      <c r="M23" s="578">
        <v>9</v>
      </c>
      <c r="N23" s="578">
        <v>12</v>
      </c>
      <c r="O23" s="578">
        <v>13</v>
      </c>
      <c r="P23" s="578">
        <v>16</v>
      </c>
      <c r="Q23" s="578">
        <v>19</v>
      </c>
      <c r="R23" s="578">
        <v>30</v>
      </c>
      <c r="S23" s="578">
        <v>0</v>
      </c>
      <c r="T23" s="578">
        <v>0</v>
      </c>
      <c r="U23" s="578">
        <v>0</v>
      </c>
      <c r="V23" s="578">
        <v>0</v>
      </c>
      <c r="W23" s="579">
        <v>22</v>
      </c>
      <c r="X23" s="579">
        <v>9</v>
      </c>
      <c r="Y23" s="578">
        <v>43</v>
      </c>
      <c r="Z23" s="579">
        <v>31</v>
      </c>
      <c r="AA23" s="578">
        <v>20</v>
      </c>
      <c r="AB23" s="579">
        <v>31</v>
      </c>
      <c r="AC23" s="578">
        <v>16</v>
      </c>
    </row>
    <row r="24" spans="1:29" ht="10.5">
      <c r="A24" s="579" t="s">
        <v>215</v>
      </c>
      <c r="B24" s="579">
        <v>20</v>
      </c>
      <c r="C24" s="579">
        <v>20</v>
      </c>
      <c r="D24" s="579">
        <v>13</v>
      </c>
      <c r="E24" s="579" t="str">
        <f>"LI-INTESAR-"&amp;$G$14</f>
        <v>LI-INTESAR-06</v>
      </c>
      <c r="F24" s="579" t="s">
        <v>216</v>
      </c>
      <c r="G24" s="579">
        <v>3</v>
      </c>
      <c r="H24" s="579">
        <v>5</v>
      </c>
      <c r="I24" s="579">
        <v>4</v>
      </c>
      <c r="J24" s="579">
        <v>6</v>
      </c>
      <c r="K24" s="579">
        <v>7</v>
      </c>
      <c r="L24" s="579">
        <v>8</v>
      </c>
      <c r="M24" s="579">
        <v>9</v>
      </c>
      <c r="N24" s="579">
        <v>12</v>
      </c>
      <c r="O24" s="579">
        <v>13</v>
      </c>
      <c r="P24" s="579">
        <v>16</v>
      </c>
      <c r="Q24" s="579">
        <v>19</v>
      </c>
      <c r="R24" s="579">
        <v>30</v>
      </c>
      <c r="S24" s="579">
        <v>0</v>
      </c>
      <c r="T24" s="579">
        <v>0</v>
      </c>
      <c r="U24" s="579">
        <v>0</v>
      </c>
      <c r="V24" s="579">
        <v>0</v>
      </c>
      <c r="W24" s="579">
        <v>23</v>
      </c>
      <c r="X24" s="579">
        <v>9</v>
      </c>
      <c r="Y24" s="579">
        <v>41</v>
      </c>
      <c r="Z24" s="579">
        <v>31</v>
      </c>
      <c r="AA24" s="578">
        <v>20</v>
      </c>
      <c r="AB24" s="579">
        <v>31</v>
      </c>
      <c r="AC24" s="579">
        <v>16</v>
      </c>
    </row>
    <row r="25" spans="1:29" ht="10.5">
      <c r="A25" s="579" t="s">
        <v>217</v>
      </c>
      <c r="B25" s="579">
        <v>20</v>
      </c>
      <c r="C25" s="579">
        <v>20</v>
      </c>
      <c r="D25" s="579">
        <v>13</v>
      </c>
      <c r="E25" s="579" t="str">
        <f>"LI-INTESA2-"&amp;$G$14</f>
        <v>LI-INTESA2-06</v>
      </c>
      <c r="F25" s="579" t="s">
        <v>218</v>
      </c>
      <c r="G25" s="579">
        <v>3</v>
      </c>
      <c r="H25" s="579">
        <v>5</v>
      </c>
      <c r="I25" s="579">
        <v>4</v>
      </c>
      <c r="J25" s="579">
        <v>6</v>
      </c>
      <c r="K25" s="579">
        <v>7</v>
      </c>
      <c r="L25" s="579">
        <v>8</v>
      </c>
      <c r="M25" s="579">
        <v>9</v>
      </c>
      <c r="N25" s="579">
        <v>12</v>
      </c>
      <c r="O25" s="579">
        <v>13</v>
      </c>
      <c r="P25" s="579">
        <v>16</v>
      </c>
      <c r="Q25" s="579">
        <v>19</v>
      </c>
      <c r="R25" s="579">
        <v>30</v>
      </c>
      <c r="S25" s="579">
        <v>0</v>
      </c>
      <c r="T25" s="579">
        <v>0</v>
      </c>
      <c r="U25" s="579">
        <v>0</v>
      </c>
      <c r="V25" s="579">
        <v>0</v>
      </c>
      <c r="W25" s="579">
        <v>24</v>
      </c>
      <c r="X25" s="579">
        <v>9</v>
      </c>
      <c r="Y25" s="579">
        <v>41</v>
      </c>
      <c r="Z25" s="579">
        <v>31</v>
      </c>
      <c r="AA25" s="578">
        <v>20</v>
      </c>
      <c r="AB25" s="579">
        <v>31</v>
      </c>
      <c r="AC25" s="579">
        <v>16</v>
      </c>
    </row>
    <row r="26" spans="1:29" ht="10.5">
      <c r="A26" s="579" t="s">
        <v>219</v>
      </c>
      <c r="B26" s="579">
        <v>20</v>
      </c>
      <c r="C26" s="579">
        <v>20</v>
      </c>
      <c r="D26" s="579">
        <v>13</v>
      </c>
      <c r="E26" s="579" t="str">
        <f>"LI-INTESA3-"&amp;$G$14</f>
        <v>LI-INTESA3-06</v>
      </c>
      <c r="F26" s="579" t="s">
        <v>220</v>
      </c>
      <c r="G26" s="579">
        <v>3</v>
      </c>
      <c r="H26" s="579">
        <v>5</v>
      </c>
      <c r="I26" s="579">
        <v>4</v>
      </c>
      <c r="J26" s="579">
        <v>6</v>
      </c>
      <c r="K26" s="579">
        <v>7</v>
      </c>
      <c r="L26" s="579">
        <v>8</v>
      </c>
      <c r="M26" s="579">
        <v>9</v>
      </c>
      <c r="N26" s="579">
        <v>12</v>
      </c>
      <c r="O26" s="579">
        <v>13</v>
      </c>
      <c r="P26" s="579">
        <v>16</v>
      </c>
      <c r="Q26" s="579">
        <v>19</v>
      </c>
      <c r="R26" s="579">
        <v>30</v>
      </c>
      <c r="S26" s="579">
        <v>0</v>
      </c>
      <c r="T26" s="579">
        <v>0</v>
      </c>
      <c r="U26" s="579">
        <v>0</v>
      </c>
      <c r="V26" s="579">
        <v>0</v>
      </c>
      <c r="W26" s="579">
        <v>25</v>
      </c>
      <c r="X26" s="579">
        <v>9</v>
      </c>
      <c r="Y26" s="579">
        <v>41</v>
      </c>
      <c r="Z26" s="579">
        <v>31</v>
      </c>
      <c r="AA26" s="578">
        <v>20</v>
      </c>
      <c r="AB26" s="579">
        <v>31</v>
      </c>
      <c r="AC26" s="579">
        <v>16</v>
      </c>
    </row>
    <row r="27" spans="1:29" ht="10.5">
      <c r="A27" s="579" t="s">
        <v>221</v>
      </c>
      <c r="B27" s="579">
        <v>20</v>
      </c>
      <c r="C27" s="579">
        <v>20</v>
      </c>
      <c r="D27" s="579">
        <v>13</v>
      </c>
      <c r="E27" s="579" t="str">
        <f>"LI-INTESA4-"&amp;$G$14</f>
        <v>LI-INTESA4-06</v>
      </c>
      <c r="F27" s="579" t="s">
        <v>222</v>
      </c>
      <c r="G27" s="579">
        <v>3</v>
      </c>
      <c r="H27" s="579">
        <v>5</v>
      </c>
      <c r="I27" s="579">
        <v>4</v>
      </c>
      <c r="J27" s="579">
        <v>6</v>
      </c>
      <c r="K27" s="579">
        <v>7</v>
      </c>
      <c r="L27" s="579">
        <v>8</v>
      </c>
      <c r="M27" s="579">
        <v>9</v>
      </c>
      <c r="N27" s="579">
        <v>12</v>
      </c>
      <c r="O27" s="579">
        <v>13</v>
      </c>
      <c r="P27" s="579">
        <v>16</v>
      </c>
      <c r="Q27" s="579">
        <v>19</v>
      </c>
      <c r="R27" s="579">
        <v>30</v>
      </c>
      <c r="S27" s="579">
        <v>0</v>
      </c>
      <c r="T27" s="579">
        <v>0</v>
      </c>
      <c r="U27" s="579">
        <v>0</v>
      </c>
      <c r="V27" s="579">
        <v>0</v>
      </c>
      <c r="W27" s="579">
        <v>26</v>
      </c>
      <c r="X27" s="579">
        <v>9</v>
      </c>
      <c r="Y27" s="579">
        <v>41</v>
      </c>
      <c r="Z27" s="579">
        <v>31</v>
      </c>
      <c r="AA27" s="578">
        <v>20</v>
      </c>
      <c r="AB27" s="579">
        <v>31</v>
      </c>
      <c r="AC27" s="579">
        <v>16</v>
      </c>
    </row>
    <row r="28" spans="1:29" ht="10.5">
      <c r="A28" s="579" t="s">
        <v>223</v>
      </c>
      <c r="B28" s="579">
        <v>20</v>
      </c>
      <c r="C28" s="579">
        <v>20</v>
      </c>
      <c r="D28" s="579">
        <v>13</v>
      </c>
      <c r="E28" s="579" t="str">
        <f>"LI-CUYANA-"&amp;$G$14</f>
        <v>LI-CUYANA-06</v>
      </c>
      <c r="F28" s="579" t="s">
        <v>224</v>
      </c>
      <c r="G28" s="579">
        <v>3</v>
      </c>
      <c r="H28" s="579">
        <v>5</v>
      </c>
      <c r="I28" s="579">
        <v>4</v>
      </c>
      <c r="J28" s="579">
        <v>6</v>
      </c>
      <c r="K28" s="579">
        <v>7</v>
      </c>
      <c r="L28" s="579">
        <v>8</v>
      </c>
      <c r="M28" s="579">
        <v>9</v>
      </c>
      <c r="N28" s="579">
        <v>12</v>
      </c>
      <c r="O28" s="579">
        <v>13</v>
      </c>
      <c r="P28" s="579">
        <v>16</v>
      </c>
      <c r="Q28" s="579">
        <v>19</v>
      </c>
      <c r="R28" s="579">
        <v>30</v>
      </c>
      <c r="S28" s="579">
        <v>0</v>
      </c>
      <c r="T28" s="579">
        <v>0</v>
      </c>
      <c r="U28" s="579">
        <v>0</v>
      </c>
      <c r="V28" s="579">
        <v>0</v>
      </c>
      <c r="W28" s="579">
        <v>27</v>
      </c>
      <c r="X28" s="579">
        <v>9</v>
      </c>
      <c r="Y28" s="579">
        <v>41</v>
      </c>
      <c r="Z28" s="579">
        <v>31</v>
      </c>
      <c r="AA28" s="578">
        <v>20</v>
      </c>
      <c r="AB28" s="579">
        <v>31</v>
      </c>
      <c r="AC28" s="579">
        <v>16</v>
      </c>
    </row>
    <row r="29" spans="1:29" ht="10.5">
      <c r="A29" s="579" t="s">
        <v>225</v>
      </c>
      <c r="B29" s="579">
        <v>20</v>
      </c>
      <c r="C29" s="579">
        <v>20</v>
      </c>
      <c r="D29" s="579">
        <v>13</v>
      </c>
      <c r="E29" s="579" t="str">
        <f>"LI-LIMSA-"&amp;$G$14</f>
        <v>LI-LIMSA-06</v>
      </c>
      <c r="F29" s="579" t="s">
        <v>226</v>
      </c>
      <c r="G29" s="579">
        <v>3</v>
      </c>
      <c r="H29" s="579">
        <v>5</v>
      </c>
      <c r="I29" s="579">
        <v>4</v>
      </c>
      <c r="J29" s="579">
        <v>6</v>
      </c>
      <c r="K29" s="579">
        <v>7</v>
      </c>
      <c r="L29" s="579">
        <v>8</v>
      </c>
      <c r="M29" s="579">
        <v>9</v>
      </c>
      <c r="N29" s="579">
        <v>12</v>
      </c>
      <c r="O29" s="579">
        <v>13</v>
      </c>
      <c r="P29" s="579">
        <v>16</v>
      </c>
      <c r="Q29" s="579">
        <v>19</v>
      </c>
      <c r="R29" s="579">
        <v>30</v>
      </c>
      <c r="S29" s="579">
        <v>0</v>
      </c>
      <c r="T29" s="579">
        <v>0</v>
      </c>
      <c r="U29" s="579">
        <v>0</v>
      </c>
      <c r="V29" s="579">
        <v>0</v>
      </c>
      <c r="W29" s="579">
        <v>28</v>
      </c>
      <c r="X29" s="579">
        <v>9</v>
      </c>
      <c r="Y29" s="579">
        <v>41</v>
      </c>
      <c r="Z29" s="579">
        <v>31</v>
      </c>
      <c r="AA29" s="578">
        <v>20</v>
      </c>
      <c r="AB29" s="579">
        <v>31</v>
      </c>
      <c r="AC29" s="579">
        <v>16</v>
      </c>
    </row>
    <row r="30" spans="1:29" ht="10.5">
      <c r="A30" s="579" t="s">
        <v>227</v>
      </c>
      <c r="B30" s="579">
        <v>20</v>
      </c>
      <c r="C30" s="579">
        <v>20</v>
      </c>
      <c r="D30" s="579">
        <v>13</v>
      </c>
      <c r="E30" s="579" t="str">
        <f>"LI-RIOJA-"&amp;$G$14</f>
        <v>LI-RIOJA-06</v>
      </c>
      <c r="F30" s="579" t="s">
        <v>228</v>
      </c>
      <c r="G30" s="579">
        <v>3</v>
      </c>
      <c r="H30" s="579">
        <v>5</v>
      </c>
      <c r="I30" s="579">
        <v>4</v>
      </c>
      <c r="J30" s="579">
        <v>6</v>
      </c>
      <c r="K30" s="579">
        <v>7</v>
      </c>
      <c r="L30" s="579">
        <v>8</v>
      </c>
      <c r="M30" s="579">
        <v>9</v>
      </c>
      <c r="N30" s="579">
        <v>12</v>
      </c>
      <c r="O30" s="579">
        <v>13</v>
      </c>
      <c r="P30" s="579">
        <v>16</v>
      </c>
      <c r="Q30" s="579">
        <v>19</v>
      </c>
      <c r="R30" s="579">
        <v>30</v>
      </c>
      <c r="S30" s="579">
        <v>0</v>
      </c>
      <c r="T30" s="579">
        <v>0</v>
      </c>
      <c r="U30" s="579">
        <v>0</v>
      </c>
      <c r="V30" s="579">
        <v>0</v>
      </c>
      <c r="W30" s="579">
        <v>29</v>
      </c>
      <c r="X30" s="579">
        <v>9</v>
      </c>
      <c r="Y30" s="579">
        <v>41</v>
      </c>
      <c r="Z30" s="579">
        <v>31</v>
      </c>
      <c r="AA30" s="578">
        <v>20</v>
      </c>
      <c r="AB30" s="579">
        <v>31</v>
      </c>
      <c r="AC30" s="579">
        <v>16</v>
      </c>
    </row>
    <row r="31" spans="1:29" ht="10.5">
      <c r="A31" s="580" t="s">
        <v>229</v>
      </c>
      <c r="B31" s="580">
        <v>22</v>
      </c>
      <c r="C31" s="581">
        <v>20</v>
      </c>
      <c r="D31" s="580">
        <v>14</v>
      </c>
      <c r="E31" s="580" t="str">
        <f>"TR-"&amp;$G$14</f>
        <v>TR-06</v>
      </c>
      <c r="F31" s="580" t="s">
        <v>230</v>
      </c>
      <c r="G31" s="579">
        <v>3</v>
      </c>
      <c r="H31" s="579">
        <v>5</v>
      </c>
      <c r="I31" s="579">
        <v>4</v>
      </c>
      <c r="J31" s="579">
        <v>6</v>
      </c>
      <c r="K31" s="579">
        <v>7</v>
      </c>
      <c r="L31" s="581">
        <v>8</v>
      </c>
      <c r="M31" s="581">
        <v>9</v>
      </c>
      <c r="N31" s="581">
        <v>11</v>
      </c>
      <c r="O31" s="581">
        <v>12</v>
      </c>
      <c r="P31" s="581">
        <v>15</v>
      </c>
      <c r="Q31" s="581">
        <v>17</v>
      </c>
      <c r="R31" s="581">
        <v>18</v>
      </c>
      <c r="S31" s="581">
        <v>28</v>
      </c>
      <c r="T31" s="581">
        <v>0</v>
      </c>
      <c r="U31" s="581">
        <v>0</v>
      </c>
      <c r="V31" s="581">
        <v>0</v>
      </c>
      <c r="W31" s="581">
        <v>33</v>
      </c>
      <c r="X31" s="579">
        <v>9</v>
      </c>
      <c r="Y31" s="580">
        <v>43</v>
      </c>
      <c r="Z31" s="580">
        <v>29</v>
      </c>
      <c r="AA31" s="580">
        <v>20</v>
      </c>
      <c r="AB31" s="580">
        <v>29</v>
      </c>
      <c r="AC31" s="580">
        <v>15</v>
      </c>
    </row>
    <row r="32" spans="1:29" ht="10.5">
      <c r="A32" s="578" t="s">
        <v>231</v>
      </c>
      <c r="B32" s="578">
        <v>22</v>
      </c>
      <c r="C32" s="579">
        <v>20</v>
      </c>
      <c r="D32" s="580">
        <v>14</v>
      </c>
      <c r="E32" s="578" t="str">
        <f>"TR-LITSA-"&amp;$G$14</f>
        <v>TR-LITSA-06</v>
      </c>
      <c r="F32" s="578" t="s">
        <v>232</v>
      </c>
      <c r="G32" s="579">
        <v>3</v>
      </c>
      <c r="H32" s="579">
        <v>5</v>
      </c>
      <c r="I32" s="579">
        <v>4</v>
      </c>
      <c r="J32" s="579">
        <v>6</v>
      </c>
      <c r="K32" s="579">
        <v>7</v>
      </c>
      <c r="L32" s="581">
        <v>8</v>
      </c>
      <c r="M32" s="581">
        <v>9</v>
      </c>
      <c r="N32" s="581">
        <v>11</v>
      </c>
      <c r="O32" s="581">
        <v>12</v>
      </c>
      <c r="P32" s="581">
        <v>15</v>
      </c>
      <c r="Q32" s="581">
        <v>17</v>
      </c>
      <c r="R32" s="581">
        <v>18</v>
      </c>
      <c r="S32" s="581">
        <v>28</v>
      </c>
      <c r="T32" s="581">
        <v>0</v>
      </c>
      <c r="U32" s="581">
        <v>0</v>
      </c>
      <c r="V32" s="581">
        <v>0</v>
      </c>
      <c r="W32" s="581">
        <v>34</v>
      </c>
      <c r="X32" s="579">
        <v>9</v>
      </c>
      <c r="Y32" s="580">
        <v>43</v>
      </c>
      <c r="Z32" s="580">
        <v>29</v>
      </c>
      <c r="AA32" s="580">
        <v>20</v>
      </c>
      <c r="AB32" s="580">
        <v>29</v>
      </c>
      <c r="AC32" s="580">
        <v>15</v>
      </c>
    </row>
    <row r="33" spans="1:29" ht="10.5">
      <c r="A33" s="578" t="s">
        <v>233</v>
      </c>
      <c r="B33" s="578">
        <v>22</v>
      </c>
      <c r="C33" s="579">
        <v>20</v>
      </c>
      <c r="D33" s="580">
        <v>14</v>
      </c>
      <c r="E33" s="578" t="str">
        <f>"TR-LITS2-"&amp;$G$14</f>
        <v>TR-LITS2-06</v>
      </c>
      <c r="F33" s="578" t="s">
        <v>234</v>
      </c>
      <c r="G33" s="579">
        <v>3</v>
      </c>
      <c r="H33" s="579">
        <v>5</v>
      </c>
      <c r="I33" s="579">
        <v>4</v>
      </c>
      <c r="J33" s="579">
        <v>6</v>
      </c>
      <c r="K33" s="579">
        <v>7</v>
      </c>
      <c r="L33" s="581">
        <v>8</v>
      </c>
      <c r="M33" s="581">
        <v>9</v>
      </c>
      <c r="N33" s="581">
        <v>11</v>
      </c>
      <c r="O33" s="581">
        <v>12</v>
      </c>
      <c r="P33" s="581">
        <v>15</v>
      </c>
      <c r="Q33" s="581">
        <v>17</v>
      </c>
      <c r="R33" s="581">
        <v>18</v>
      </c>
      <c r="S33" s="581">
        <v>28</v>
      </c>
      <c r="T33" s="581">
        <v>0</v>
      </c>
      <c r="U33" s="581">
        <v>0</v>
      </c>
      <c r="V33" s="581">
        <v>0</v>
      </c>
      <c r="W33" s="581">
        <v>35</v>
      </c>
      <c r="X33" s="579">
        <v>9</v>
      </c>
      <c r="Y33" s="580">
        <v>43</v>
      </c>
      <c r="Z33" s="580">
        <v>29</v>
      </c>
      <c r="AA33" s="580">
        <v>20</v>
      </c>
      <c r="AB33" s="580">
        <v>29</v>
      </c>
      <c r="AC33" s="580">
        <v>15</v>
      </c>
    </row>
    <row r="34" spans="1:29" ht="10.5">
      <c r="A34" s="578" t="s">
        <v>235</v>
      </c>
      <c r="B34" s="578">
        <v>22</v>
      </c>
      <c r="C34" s="579">
        <v>20</v>
      </c>
      <c r="D34" s="580">
        <v>14</v>
      </c>
      <c r="E34" s="578" t="str">
        <f>"TR-LINSA-"&amp;$G$14</f>
        <v>TR-LINSA-06</v>
      </c>
      <c r="F34" s="578" t="s">
        <v>236</v>
      </c>
      <c r="G34" s="579">
        <v>3</v>
      </c>
      <c r="H34" s="579">
        <v>5</v>
      </c>
      <c r="I34" s="579">
        <v>4</v>
      </c>
      <c r="J34" s="579">
        <v>6</v>
      </c>
      <c r="K34" s="579">
        <v>7</v>
      </c>
      <c r="L34" s="581">
        <v>8</v>
      </c>
      <c r="M34" s="581">
        <v>9</v>
      </c>
      <c r="N34" s="581">
        <v>11</v>
      </c>
      <c r="O34" s="581">
        <v>12</v>
      </c>
      <c r="P34" s="581">
        <v>15</v>
      </c>
      <c r="Q34" s="581">
        <v>17</v>
      </c>
      <c r="R34" s="581">
        <v>18</v>
      </c>
      <c r="S34" s="581">
        <v>28</v>
      </c>
      <c r="T34" s="581">
        <v>0</v>
      </c>
      <c r="U34" s="581">
        <v>0</v>
      </c>
      <c r="V34" s="581">
        <v>0</v>
      </c>
      <c r="W34" s="581">
        <v>36</v>
      </c>
      <c r="X34" s="579">
        <v>9</v>
      </c>
      <c r="Y34" s="580">
        <v>43</v>
      </c>
      <c r="Z34" s="580">
        <v>29</v>
      </c>
      <c r="AA34" s="580">
        <v>20</v>
      </c>
      <c r="AB34" s="580">
        <v>29</v>
      </c>
      <c r="AC34" s="580">
        <v>15</v>
      </c>
    </row>
    <row r="35" spans="1:29" ht="10.5">
      <c r="A35" s="578" t="s">
        <v>237</v>
      </c>
      <c r="B35" s="578">
        <v>20</v>
      </c>
      <c r="C35" s="579">
        <v>20</v>
      </c>
      <c r="D35" s="580">
        <v>14</v>
      </c>
      <c r="E35" s="578" t="str">
        <f>"TR-TIBA-"&amp;$G$14</f>
        <v>TR-TIBA-06</v>
      </c>
      <c r="F35" s="578" t="s">
        <v>238</v>
      </c>
      <c r="G35" s="579">
        <v>3</v>
      </c>
      <c r="H35" s="579">
        <v>5</v>
      </c>
      <c r="I35" s="579">
        <v>4</v>
      </c>
      <c r="J35" s="579">
        <v>6</v>
      </c>
      <c r="K35" s="579">
        <v>7</v>
      </c>
      <c r="L35" s="581">
        <v>8</v>
      </c>
      <c r="M35" s="581">
        <v>9</v>
      </c>
      <c r="N35" s="581">
        <v>11</v>
      </c>
      <c r="O35" s="581">
        <v>12</v>
      </c>
      <c r="P35" s="581">
        <v>15</v>
      </c>
      <c r="Q35" s="581">
        <v>17</v>
      </c>
      <c r="R35" s="581">
        <v>18</v>
      </c>
      <c r="S35" s="581">
        <v>28</v>
      </c>
      <c r="T35" s="581">
        <v>0</v>
      </c>
      <c r="U35" s="581">
        <v>0</v>
      </c>
      <c r="V35" s="581">
        <v>0</v>
      </c>
      <c r="W35" s="581">
        <v>37</v>
      </c>
      <c r="X35" s="579">
        <v>9</v>
      </c>
      <c r="Y35" s="580">
        <v>41</v>
      </c>
      <c r="Z35" s="580">
        <v>29</v>
      </c>
      <c r="AA35" s="580">
        <v>18</v>
      </c>
      <c r="AB35" s="580">
        <v>29</v>
      </c>
      <c r="AC35" s="580">
        <v>15</v>
      </c>
    </row>
    <row r="36" spans="1:29" ht="10.5">
      <c r="A36" s="578" t="s">
        <v>239</v>
      </c>
      <c r="B36" s="578">
        <v>20</v>
      </c>
      <c r="C36" s="579">
        <v>20</v>
      </c>
      <c r="D36" s="580">
        <v>14</v>
      </c>
      <c r="E36" s="578" t="str">
        <f>"TR-ENECOR-"&amp;$G$14</f>
        <v>TR-ENECOR-06</v>
      </c>
      <c r="F36" s="578" t="s">
        <v>240</v>
      </c>
      <c r="G36" s="579">
        <v>3</v>
      </c>
      <c r="H36" s="579">
        <v>5</v>
      </c>
      <c r="I36" s="579">
        <v>4</v>
      </c>
      <c r="J36" s="579">
        <v>6</v>
      </c>
      <c r="K36" s="579">
        <v>7</v>
      </c>
      <c r="L36" s="581">
        <v>8</v>
      </c>
      <c r="M36" s="581">
        <v>9</v>
      </c>
      <c r="N36" s="581">
        <v>11</v>
      </c>
      <c r="O36" s="581">
        <v>12</v>
      </c>
      <c r="P36" s="581">
        <v>15</v>
      </c>
      <c r="Q36" s="581">
        <v>17</v>
      </c>
      <c r="R36" s="581">
        <v>18</v>
      </c>
      <c r="S36" s="581">
        <v>28</v>
      </c>
      <c r="T36" s="581">
        <v>0</v>
      </c>
      <c r="U36" s="581">
        <v>0</v>
      </c>
      <c r="V36" s="581">
        <v>0</v>
      </c>
      <c r="W36" s="581">
        <v>38</v>
      </c>
      <c r="X36" s="579">
        <v>9</v>
      </c>
      <c r="Y36" s="580">
        <v>41</v>
      </c>
      <c r="Z36" s="580">
        <v>29</v>
      </c>
      <c r="AA36" s="580">
        <v>20</v>
      </c>
      <c r="AB36" s="580">
        <v>29</v>
      </c>
      <c r="AC36" s="580">
        <v>15</v>
      </c>
    </row>
    <row r="37" spans="1:29" ht="10.5">
      <c r="A37" s="579" t="s">
        <v>241</v>
      </c>
      <c r="B37" s="579">
        <v>20</v>
      </c>
      <c r="C37" s="579">
        <v>20</v>
      </c>
      <c r="D37" s="581">
        <v>14</v>
      </c>
      <c r="E37" s="579" t="str">
        <f>"TR-INTESAR-"&amp;$G$14</f>
        <v>TR-INTESAR-06</v>
      </c>
      <c r="F37" s="579" t="s">
        <v>242</v>
      </c>
      <c r="G37" s="579">
        <v>3</v>
      </c>
      <c r="H37" s="579">
        <v>5</v>
      </c>
      <c r="I37" s="579">
        <v>4</v>
      </c>
      <c r="J37" s="579">
        <v>6</v>
      </c>
      <c r="K37" s="579">
        <v>7</v>
      </c>
      <c r="L37" s="581">
        <v>8</v>
      </c>
      <c r="M37" s="581">
        <v>9</v>
      </c>
      <c r="N37" s="581">
        <v>11</v>
      </c>
      <c r="O37" s="581">
        <v>12</v>
      </c>
      <c r="P37" s="581">
        <v>15</v>
      </c>
      <c r="Q37" s="581">
        <v>17</v>
      </c>
      <c r="R37" s="581">
        <v>18</v>
      </c>
      <c r="S37" s="581">
        <v>28</v>
      </c>
      <c r="T37" s="581">
        <v>0</v>
      </c>
      <c r="U37" s="581">
        <v>0</v>
      </c>
      <c r="V37" s="581">
        <v>0</v>
      </c>
      <c r="W37" s="581">
        <v>39</v>
      </c>
      <c r="X37" s="579">
        <v>9</v>
      </c>
      <c r="Y37" s="580">
        <v>41</v>
      </c>
      <c r="Z37" s="581">
        <v>29</v>
      </c>
      <c r="AA37" s="581">
        <v>20</v>
      </c>
      <c r="AB37" s="581">
        <v>29</v>
      </c>
      <c r="AC37" s="581">
        <v>15</v>
      </c>
    </row>
    <row r="38" spans="1:29" ht="10.5">
      <c r="A38" s="579" t="s">
        <v>243</v>
      </c>
      <c r="B38" s="579">
        <v>20</v>
      </c>
      <c r="C38" s="579">
        <v>20</v>
      </c>
      <c r="D38" s="581">
        <v>14</v>
      </c>
      <c r="E38" s="579" t="str">
        <f>"TR-INTESA3-"&amp;$G$14</f>
        <v>TR-INTESA3-06</v>
      </c>
      <c r="F38" s="579" t="s">
        <v>244</v>
      </c>
      <c r="G38" s="579">
        <v>3</v>
      </c>
      <c r="H38" s="579">
        <v>5</v>
      </c>
      <c r="I38" s="579">
        <v>4</v>
      </c>
      <c r="J38" s="579">
        <v>6</v>
      </c>
      <c r="K38" s="579">
        <v>7</v>
      </c>
      <c r="L38" s="581">
        <v>8</v>
      </c>
      <c r="M38" s="581">
        <v>9</v>
      </c>
      <c r="N38" s="581">
        <v>11</v>
      </c>
      <c r="O38" s="581">
        <v>12</v>
      </c>
      <c r="P38" s="581">
        <v>15</v>
      </c>
      <c r="Q38" s="581">
        <v>17</v>
      </c>
      <c r="R38" s="581">
        <v>18</v>
      </c>
      <c r="S38" s="581">
        <v>28</v>
      </c>
      <c r="T38" s="581">
        <v>0</v>
      </c>
      <c r="U38" s="581">
        <v>0</v>
      </c>
      <c r="V38" s="581">
        <v>0</v>
      </c>
      <c r="W38" s="581">
        <v>40</v>
      </c>
      <c r="X38" s="579">
        <v>9</v>
      </c>
      <c r="Y38" s="580">
        <v>41</v>
      </c>
      <c r="Z38" s="581">
        <v>29</v>
      </c>
      <c r="AA38" s="581">
        <v>20</v>
      </c>
      <c r="AB38" s="581">
        <v>29</v>
      </c>
      <c r="AC38" s="581">
        <v>15</v>
      </c>
    </row>
    <row r="39" spans="1:29" ht="10.5">
      <c r="A39" s="579" t="s">
        <v>245</v>
      </c>
      <c r="B39" s="579">
        <v>20</v>
      </c>
      <c r="C39" s="579">
        <v>20</v>
      </c>
      <c r="D39" s="581">
        <v>14</v>
      </c>
      <c r="E39" s="579" t="str">
        <f>"TR-INTESA4-"&amp;$G$14</f>
        <v>TR-INTESA4-06</v>
      </c>
      <c r="F39" s="579" t="s">
        <v>246</v>
      </c>
      <c r="G39" s="579">
        <v>3</v>
      </c>
      <c r="H39" s="579">
        <v>5</v>
      </c>
      <c r="I39" s="579">
        <v>4</v>
      </c>
      <c r="J39" s="579">
        <v>6</v>
      </c>
      <c r="K39" s="579">
        <v>7</v>
      </c>
      <c r="L39" s="581">
        <v>8</v>
      </c>
      <c r="M39" s="581">
        <v>9</v>
      </c>
      <c r="N39" s="581">
        <v>11</v>
      </c>
      <c r="O39" s="581">
        <v>12</v>
      </c>
      <c r="P39" s="581">
        <v>15</v>
      </c>
      <c r="Q39" s="581">
        <v>17</v>
      </c>
      <c r="R39" s="581">
        <v>18</v>
      </c>
      <c r="S39" s="581">
        <v>28</v>
      </c>
      <c r="T39" s="581">
        <v>0</v>
      </c>
      <c r="U39" s="581">
        <v>0</v>
      </c>
      <c r="V39" s="581">
        <v>0</v>
      </c>
      <c r="W39" s="581">
        <v>41</v>
      </c>
      <c r="X39" s="579">
        <v>9</v>
      </c>
      <c r="Y39" s="580">
        <v>41</v>
      </c>
      <c r="Z39" s="581">
        <v>29</v>
      </c>
      <c r="AA39" s="581">
        <v>20</v>
      </c>
      <c r="AB39" s="581">
        <v>29</v>
      </c>
      <c r="AC39" s="581">
        <v>15</v>
      </c>
    </row>
    <row r="40" spans="1:29" ht="10.5">
      <c r="A40" s="579" t="s">
        <v>247</v>
      </c>
      <c r="B40" s="579">
        <v>20</v>
      </c>
      <c r="C40" s="579">
        <v>20</v>
      </c>
      <c r="D40" s="581">
        <v>14</v>
      </c>
      <c r="E40" s="579" t="str">
        <f>"TR-LIMSA-"&amp;$G$14</f>
        <v>TR-LIMSA-06</v>
      </c>
      <c r="F40" s="579" t="s">
        <v>248</v>
      </c>
      <c r="G40" s="579">
        <v>3</v>
      </c>
      <c r="H40" s="579">
        <v>5</v>
      </c>
      <c r="I40" s="579">
        <v>4</v>
      </c>
      <c r="J40" s="579">
        <v>6</v>
      </c>
      <c r="K40" s="579">
        <v>7</v>
      </c>
      <c r="L40" s="581">
        <v>8</v>
      </c>
      <c r="M40" s="581">
        <v>9</v>
      </c>
      <c r="N40" s="581">
        <v>11</v>
      </c>
      <c r="O40" s="581">
        <v>12</v>
      </c>
      <c r="P40" s="581">
        <v>15</v>
      </c>
      <c r="Q40" s="581">
        <v>17</v>
      </c>
      <c r="R40" s="581">
        <v>18</v>
      </c>
      <c r="S40" s="581">
        <v>28</v>
      </c>
      <c r="T40" s="581">
        <v>0</v>
      </c>
      <c r="U40" s="581">
        <v>0</v>
      </c>
      <c r="V40" s="581">
        <v>0</v>
      </c>
      <c r="W40" s="581">
        <v>42</v>
      </c>
      <c r="X40" s="579">
        <v>9</v>
      </c>
      <c r="Y40" s="580">
        <v>41</v>
      </c>
      <c r="Z40" s="581">
        <v>29</v>
      </c>
      <c r="AA40" s="581">
        <v>20</v>
      </c>
      <c r="AB40" s="581">
        <v>29</v>
      </c>
      <c r="AC40" s="581">
        <v>15</v>
      </c>
    </row>
    <row r="41" spans="1:29" ht="10.5">
      <c r="A41" s="579" t="s">
        <v>249</v>
      </c>
      <c r="B41" s="579">
        <v>20</v>
      </c>
      <c r="C41" s="579">
        <v>20</v>
      </c>
      <c r="D41" s="581">
        <v>14</v>
      </c>
      <c r="E41" s="579" t="str">
        <f>"TR-CUYANA-"&amp;$G$14</f>
        <v>TR-CUYANA-06</v>
      </c>
      <c r="F41" s="579" t="s">
        <v>250</v>
      </c>
      <c r="G41" s="579">
        <v>3</v>
      </c>
      <c r="H41" s="579">
        <v>5</v>
      </c>
      <c r="I41" s="579">
        <v>4</v>
      </c>
      <c r="J41" s="579">
        <v>6</v>
      </c>
      <c r="K41" s="579">
        <v>7</v>
      </c>
      <c r="L41" s="581">
        <v>8</v>
      </c>
      <c r="M41" s="581">
        <v>9</v>
      </c>
      <c r="N41" s="581">
        <v>11</v>
      </c>
      <c r="O41" s="581">
        <v>12</v>
      </c>
      <c r="P41" s="581">
        <v>15</v>
      </c>
      <c r="Q41" s="581">
        <v>17</v>
      </c>
      <c r="R41" s="581">
        <v>18</v>
      </c>
      <c r="S41" s="581">
        <v>28</v>
      </c>
      <c r="T41" s="581">
        <v>0</v>
      </c>
      <c r="U41" s="581">
        <v>0</v>
      </c>
      <c r="V41" s="581">
        <v>0</v>
      </c>
      <c r="W41" s="581">
        <v>43</v>
      </c>
      <c r="X41" s="579">
        <v>9</v>
      </c>
      <c r="Y41" s="580">
        <v>41</v>
      </c>
      <c r="Z41" s="581">
        <v>29</v>
      </c>
      <c r="AA41" s="581">
        <v>20</v>
      </c>
      <c r="AB41" s="581">
        <v>29</v>
      </c>
      <c r="AC41" s="581">
        <v>15</v>
      </c>
    </row>
    <row r="42" spans="1:29" ht="10.5">
      <c r="A42" s="579" t="s">
        <v>251</v>
      </c>
      <c r="B42" s="579">
        <v>20</v>
      </c>
      <c r="C42" s="579">
        <v>20</v>
      </c>
      <c r="D42" s="581">
        <v>14</v>
      </c>
      <c r="E42" s="579" t="str">
        <f>"TR-COBRA-"&amp;$G$14</f>
        <v>TR-COBRA-06</v>
      </c>
      <c r="F42" s="579" t="s">
        <v>252</v>
      </c>
      <c r="G42" s="579">
        <v>3</v>
      </c>
      <c r="H42" s="579">
        <v>5</v>
      </c>
      <c r="I42" s="579">
        <v>4</v>
      </c>
      <c r="J42" s="579">
        <v>6</v>
      </c>
      <c r="K42" s="579">
        <v>7</v>
      </c>
      <c r="L42" s="581">
        <v>8</v>
      </c>
      <c r="M42" s="581">
        <v>9</v>
      </c>
      <c r="N42" s="581">
        <v>11</v>
      </c>
      <c r="O42" s="581">
        <v>12</v>
      </c>
      <c r="P42" s="581">
        <v>15</v>
      </c>
      <c r="Q42" s="581">
        <v>17</v>
      </c>
      <c r="R42" s="581">
        <v>18</v>
      </c>
      <c r="S42" s="581">
        <v>28</v>
      </c>
      <c r="T42" s="581">
        <v>0</v>
      </c>
      <c r="U42" s="581">
        <v>0</v>
      </c>
      <c r="V42" s="581">
        <v>0</v>
      </c>
      <c r="W42" s="581">
        <v>44</v>
      </c>
      <c r="X42" s="579">
        <v>9</v>
      </c>
      <c r="Y42" s="580">
        <v>41</v>
      </c>
      <c r="Z42" s="581">
        <v>29</v>
      </c>
      <c r="AA42" s="581">
        <v>20</v>
      </c>
      <c r="AB42" s="581">
        <v>29</v>
      </c>
      <c r="AC42" s="581">
        <v>15</v>
      </c>
    </row>
    <row r="43" spans="1:29" ht="10.5">
      <c r="A43" s="578" t="s">
        <v>253</v>
      </c>
      <c r="B43" s="578">
        <v>24</v>
      </c>
      <c r="C43" s="579">
        <v>20</v>
      </c>
      <c r="D43" s="579">
        <v>11</v>
      </c>
      <c r="E43" s="578" t="str">
        <f>"SA-"&amp;$G$14</f>
        <v>SA-06</v>
      </c>
      <c r="F43" s="578" t="s">
        <v>254</v>
      </c>
      <c r="G43" s="578">
        <v>3</v>
      </c>
      <c r="H43" s="579">
        <v>5</v>
      </c>
      <c r="I43" s="579">
        <v>4</v>
      </c>
      <c r="J43" s="578">
        <v>6</v>
      </c>
      <c r="K43" s="578">
        <v>7</v>
      </c>
      <c r="L43" s="578">
        <v>8</v>
      </c>
      <c r="M43" s="578">
        <v>10</v>
      </c>
      <c r="N43" s="578">
        <v>11</v>
      </c>
      <c r="O43" s="578">
        <v>14</v>
      </c>
      <c r="P43" s="578">
        <v>15</v>
      </c>
      <c r="Q43" s="578">
        <v>21</v>
      </c>
      <c r="R43" s="578">
        <v>0</v>
      </c>
      <c r="S43" s="578">
        <v>0</v>
      </c>
      <c r="T43" s="578">
        <v>0</v>
      </c>
      <c r="U43" s="578">
        <v>0</v>
      </c>
      <c r="V43" s="578">
        <v>0</v>
      </c>
      <c r="W43" s="579">
        <v>46</v>
      </c>
      <c r="X43" s="579">
        <v>9</v>
      </c>
      <c r="Y43" s="578">
        <v>45</v>
      </c>
      <c r="Z43" s="578">
        <v>22</v>
      </c>
      <c r="AA43" s="578">
        <v>22</v>
      </c>
      <c r="AB43" s="578">
        <v>22</v>
      </c>
      <c r="AC43" s="579">
        <v>14</v>
      </c>
    </row>
    <row r="44" spans="1:29" ht="10.5">
      <c r="A44" s="578" t="s">
        <v>255</v>
      </c>
      <c r="B44" s="578">
        <v>22</v>
      </c>
      <c r="C44" s="579">
        <v>20</v>
      </c>
      <c r="D44" s="579">
        <v>11</v>
      </c>
      <c r="E44" s="578" t="str">
        <f>"SA-TIBA-"&amp;$G$14</f>
        <v>SA-TIBA-06</v>
      </c>
      <c r="F44" s="578" t="s">
        <v>256</v>
      </c>
      <c r="G44" s="578">
        <v>3</v>
      </c>
      <c r="H44" s="579">
        <v>5</v>
      </c>
      <c r="I44" s="579">
        <v>4</v>
      </c>
      <c r="J44" s="578">
        <v>6</v>
      </c>
      <c r="K44" s="578">
        <v>7</v>
      </c>
      <c r="L44" s="578">
        <v>8</v>
      </c>
      <c r="M44" s="578">
        <v>10</v>
      </c>
      <c r="N44" s="578">
        <v>11</v>
      </c>
      <c r="O44" s="578">
        <v>14</v>
      </c>
      <c r="P44" s="578">
        <v>15</v>
      </c>
      <c r="Q44" s="578">
        <v>21</v>
      </c>
      <c r="R44" s="578">
        <v>0</v>
      </c>
      <c r="S44" s="578">
        <v>0</v>
      </c>
      <c r="T44" s="578">
        <v>0</v>
      </c>
      <c r="U44" s="578">
        <v>0</v>
      </c>
      <c r="V44" s="578">
        <v>0</v>
      </c>
      <c r="W44" s="579">
        <v>47</v>
      </c>
      <c r="X44" s="579">
        <v>9</v>
      </c>
      <c r="Y44" s="578">
        <v>43</v>
      </c>
      <c r="Z44" s="578">
        <v>22</v>
      </c>
      <c r="AA44" s="578">
        <v>20</v>
      </c>
      <c r="AB44" s="578">
        <v>22</v>
      </c>
      <c r="AC44" s="579">
        <v>14</v>
      </c>
    </row>
    <row r="45" spans="1:29" ht="10.5">
      <c r="A45" s="578" t="s">
        <v>257</v>
      </c>
      <c r="B45" s="578">
        <v>22</v>
      </c>
      <c r="C45" s="579">
        <v>20</v>
      </c>
      <c r="D45" s="579">
        <v>11</v>
      </c>
      <c r="E45" s="578" t="str">
        <f>"SA-ENECOR-"&amp;$G$14</f>
        <v>SA-ENECOR-06</v>
      </c>
      <c r="F45" s="578" t="s">
        <v>258</v>
      </c>
      <c r="G45" s="578">
        <v>3</v>
      </c>
      <c r="H45" s="579">
        <v>5</v>
      </c>
      <c r="I45" s="579">
        <v>4</v>
      </c>
      <c r="J45" s="578">
        <v>6</v>
      </c>
      <c r="K45" s="578">
        <v>7</v>
      </c>
      <c r="L45" s="578">
        <v>8</v>
      </c>
      <c r="M45" s="578">
        <v>10</v>
      </c>
      <c r="N45" s="578">
        <v>11</v>
      </c>
      <c r="O45" s="578">
        <v>14</v>
      </c>
      <c r="P45" s="578">
        <v>15</v>
      </c>
      <c r="Q45" s="578">
        <v>21</v>
      </c>
      <c r="R45" s="578">
        <v>0</v>
      </c>
      <c r="S45" s="578">
        <v>0</v>
      </c>
      <c r="T45" s="578">
        <v>0</v>
      </c>
      <c r="U45" s="578">
        <v>0</v>
      </c>
      <c r="V45" s="578">
        <v>0</v>
      </c>
      <c r="W45" s="579">
        <v>48</v>
      </c>
      <c r="X45" s="579">
        <v>9</v>
      </c>
      <c r="Y45" s="578">
        <v>43</v>
      </c>
      <c r="Z45" s="578">
        <v>22</v>
      </c>
      <c r="AA45" s="578">
        <v>20</v>
      </c>
      <c r="AB45" s="578">
        <v>22</v>
      </c>
      <c r="AC45" s="579">
        <v>14</v>
      </c>
    </row>
    <row r="46" spans="1:29" ht="10.5">
      <c r="A46" s="578" t="s">
        <v>259</v>
      </c>
      <c r="B46" s="578">
        <v>24</v>
      </c>
      <c r="C46" s="579">
        <v>20</v>
      </c>
      <c r="D46" s="579">
        <v>11</v>
      </c>
      <c r="E46" s="578" t="str">
        <f>"SA-INTESA3-"&amp;$G$14</f>
        <v>SA-INTESA3-06</v>
      </c>
      <c r="F46" s="578" t="s">
        <v>260</v>
      </c>
      <c r="G46" s="578">
        <v>3</v>
      </c>
      <c r="H46" s="579">
        <v>5</v>
      </c>
      <c r="I46" s="579">
        <v>4</v>
      </c>
      <c r="J46" s="578">
        <v>6</v>
      </c>
      <c r="K46" s="578">
        <v>7</v>
      </c>
      <c r="L46" s="578">
        <v>8</v>
      </c>
      <c r="M46" s="578">
        <v>10</v>
      </c>
      <c r="N46" s="578">
        <v>11</v>
      </c>
      <c r="O46" s="578">
        <v>14</v>
      </c>
      <c r="P46" s="578">
        <v>15</v>
      </c>
      <c r="Q46" s="578">
        <v>21</v>
      </c>
      <c r="R46" s="578">
        <v>0</v>
      </c>
      <c r="S46" s="578">
        <v>0</v>
      </c>
      <c r="T46" s="578">
        <v>0</v>
      </c>
      <c r="U46" s="578">
        <v>0</v>
      </c>
      <c r="V46" s="578">
        <v>0</v>
      </c>
      <c r="W46" s="579">
        <v>49</v>
      </c>
      <c r="X46" s="579">
        <v>9</v>
      </c>
      <c r="Y46" s="578">
        <v>45</v>
      </c>
      <c r="Z46" s="578">
        <v>22</v>
      </c>
      <c r="AA46" s="578">
        <v>22</v>
      </c>
      <c r="AB46" s="578">
        <v>22</v>
      </c>
      <c r="AC46" s="579">
        <v>14</v>
      </c>
    </row>
    <row r="47" spans="1:29" ht="10.5">
      <c r="A47" s="578" t="s">
        <v>261</v>
      </c>
      <c r="B47" s="578">
        <v>24</v>
      </c>
      <c r="C47" s="579">
        <v>20</v>
      </c>
      <c r="D47" s="579">
        <v>11</v>
      </c>
      <c r="E47" s="578" t="str">
        <f>"SA-INTESA4-"&amp;$G$14</f>
        <v>SA-INTESA4-06</v>
      </c>
      <c r="F47" s="578" t="s">
        <v>262</v>
      </c>
      <c r="G47" s="578">
        <v>3</v>
      </c>
      <c r="H47" s="579">
        <v>5</v>
      </c>
      <c r="I47" s="579">
        <v>4</v>
      </c>
      <c r="J47" s="578">
        <v>6</v>
      </c>
      <c r="K47" s="578">
        <v>7</v>
      </c>
      <c r="L47" s="578">
        <v>8</v>
      </c>
      <c r="M47" s="578">
        <v>10</v>
      </c>
      <c r="N47" s="578">
        <v>11</v>
      </c>
      <c r="O47" s="578">
        <v>14</v>
      </c>
      <c r="P47" s="578">
        <v>15</v>
      </c>
      <c r="Q47" s="578">
        <v>21</v>
      </c>
      <c r="R47" s="578">
        <v>0</v>
      </c>
      <c r="S47" s="578">
        <v>0</v>
      </c>
      <c r="T47" s="578">
        <v>0</v>
      </c>
      <c r="U47" s="578">
        <v>0</v>
      </c>
      <c r="V47" s="578">
        <v>0</v>
      </c>
      <c r="W47" s="579">
        <v>50</v>
      </c>
      <c r="X47" s="579">
        <v>9</v>
      </c>
      <c r="Y47" s="578">
        <v>45</v>
      </c>
      <c r="Z47" s="578">
        <v>22</v>
      </c>
      <c r="AA47" s="578">
        <v>22</v>
      </c>
      <c r="AB47" s="578">
        <v>22</v>
      </c>
      <c r="AC47" s="579">
        <v>14</v>
      </c>
    </row>
    <row r="48" spans="1:29" ht="10.5">
      <c r="A48" s="579" t="s">
        <v>263</v>
      </c>
      <c r="B48" s="578">
        <v>24</v>
      </c>
      <c r="C48" s="578">
        <v>20</v>
      </c>
      <c r="D48" s="579">
        <v>11</v>
      </c>
      <c r="E48" s="579" t="str">
        <f>"SA-TESA-"&amp;$G$14</f>
        <v>SA-TESA-06</v>
      </c>
      <c r="F48" s="579" t="s">
        <v>264</v>
      </c>
      <c r="G48" s="579">
        <v>3</v>
      </c>
      <c r="H48" s="579">
        <v>5</v>
      </c>
      <c r="I48" s="579">
        <v>4</v>
      </c>
      <c r="J48" s="579">
        <v>6</v>
      </c>
      <c r="K48" s="579">
        <v>7</v>
      </c>
      <c r="L48" s="579">
        <v>8</v>
      </c>
      <c r="M48" s="579">
        <v>10</v>
      </c>
      <c r="N48" s="579">
        <v>11</v>
      </c>
      <c r="O48" s="579">
        <v>14</v>
      </c>
      <c r="P48" s="579">
        <v>15</v>
      </c>
      <c r="Q48" s="578">
        <v>21</v>
      </c>
      <c r="R48" s="579">
        <v>0</v>
      </c>
      <c r="S48" s="579">
        <v>0</v>
      </c>
      <c r="T48" s="579">
        <v>0</v>
      </c>
      <c r="U48" s="579">
        <v>0</v>
      </c>
      <c r="V48" s="579">
        <v>0</v>
      </c>
      <c r="W48" s="579">
        <v>51</v>
      </c>
      <c r="X48" s="579">
        <v>9</v>
      </c>
      <c r="Y48" s="578">
        <v>45</v>
      </c>
      <c r="Z48" s="579">
        <v>22</v>
      </c>
      <c r="AA48" s="579">
        <v>22</v>
      </c>
      <c r="AB48" s="579">
        <v>22</v>
      </c>
      <c r="AC48" s="579">
        <v>14</v>
      </c>
    </row>
    <row r="49" spans="1:29" ht="10.5">
      <c r="A49" s="579" t="s">
        <v>265</v>
      </c>
      <c r="B49" s="578">
        <v>24</v>
      </c>
      <c r="C49" s="578">
        <v>20</v>
      </c>
      <c r="D49" s="579">
        <v>11</v>
      </c>
      <c r="E49" s="579" t="str">
        <f>"SA-CTM-"&amp;$G$14</f>
        <v>SA-CTM-06</v>
      </c>
      <c r="F49" s="579" t="s">
        <v>266</v>
      </c>
      <c r="G49" s="579">
        <v>3</v>
      </c>
      <c r="H49" s="579">
        <v>5</v>
      </c>
      <c r="I49" s="579">
        <v>4</v>
      </c>
      <c r="J49" s="579">
        <v>6</v>
      </c>
      <c r="K49" s="579">
        <v>7</v>
      </c>
      <c r="L49" s="579">
        <v>8</v>
      </c>
      <c r="M49" s="579">
        <v>10</v>
      </c>
      <c r="N49" s="579">
        <v>11</v>
      </c>
      <c r="O49" s="579">
        <v>14</v>
      </c>
      <c r="P49" s="579">
        <v>15</v>
      </c>
      <c r="Q49" s="578">
        <v>21</v>
      </c>
      <c r="R49" s="579">
        <v>0</v>
      </c>
      <c r="S49" s="579">
        <v>0</v>
      </c>
      <c r="T49" s="579">
        <v>0</v>
      </c>
      <c r="U49" s="579">
        <v>0</v>
      </c>
      <c r="V49" s="579">
        <v>0</v>
      </c>
      <c r="W49" s="579">
        <v>52</v>
      </c>
      <c r="X49" s="579">
        <v>9</v>
      </c>
      <c r="Y49" s="578">
        <v>45</v>
      </c>
      <c r="Z49" s="579">
        <v>22</v>
      </c>
      <c r="AA49" s="579">
        <v>22</v>
      </c>
      <c r="AB49" s="579">
        <v>22</v>
      </c>
      <c r="AC49" s="579">
        <v>14</v>
      </c>
    </row>
    <row r="50" spans="1:29" ht="10.5">
      <c r="A50" s="578" t="s">
        <v>267</v>
      </c>
      <c r="B50" s="578">
        <v>24</v>
      </c>
      <c r="C50" s="579">
        <v>20</v>
      </c>
      <c r="D50" s="579">
        <v>11</v>
      </c>
      <c r="E50" s="578" t="str">
        <f>"SA-LIMSA-"&amp;$G$14</f>
        <v>SA-LIMSA-06</v>
      </c>
      <c r="F50" s="578" t="s">
        <v>268</v>
      </c>
      <c r="G50" s="578">
        <v>3</v>
      </c>
      <c r="H50" s="579">
        <v>5</v>
      </c>
      <c r="I50" s="579">
        <v>4</v>
      </c>
      <c r="J50" s="578">
        <v>6</v>
      </c>
      <c r="K50" s="578">
        <v>7</v>
      </c>
      <c r="L50" s="578">
        <v>8</v>
      </c>
      <c r="M50" s="578">
        <v>10</v>
      </c>
      <c r="N50" s="578">
        <v>11</v>
      </c>
      <c r="O50" s="578">
        <v>14</v>
      </c>
      <c r="P50" s="578">
        <v>15</v>
      </c>
      <c r="Q50" s="578">
        <v>21</v>
      </c>
      <c r="R50" s="578">
        <v>0</v>
      </c>
      <c r="S50" s="578">
        <v>0</v>
      </c>
      <c r="T50" s="578">
        <v>0</v>
      </c>
      <c r="U50" s="578">
        <v>0</v>
      </c>
      <c r="V50" s="578">
        <v>0</v>
      </c>
      <c r="W50" s="579">
        <v>53</v>
      </c>
      <c r="X50" s="579">
        <v>9</v>
      </c>
      <c r="Y50" s="578">
        <v>45</v>
      </c>
      <c r="Z50" s="578">
        <v>22</v>
      </c>
      <c r="AA50" s="578">
        <v>22</v>
      </c>
      <c r="AB50" s="578">
        <v>22</v>
      </c>
      <c r="AC50" s="579">
        <v>14</v>
      </c>
    </row>
    <row r="51" spans="1:29" ht="10.5">
      <c r="A51" s="578" t="s">
        <v>269</v>
      </c>
      <c r="B51" s="578">
        <v>24</v>
      </c>
      <c r="C51" s="579">
        <v>20</v>
      </c>
      <c r="D51" s="579">
        <v>11</v>
      </c>
      <c r="E51" s="578" t="str">
        <f>"SA-LITSA-"&amp;$G$14</f>
        <v>SA-LITSA-06</v>
      </c>
      <c r="F51" s="578" t="s">
        <v>270</v>
      </c>
      <c r="G51" s="578">
        <v>3</v>
      </c>
      <c r="H51" s="579">
        <v>5</v>
      </c>
      <c r="I51" s="579">
        <v>4</v>
      </c>
      <c r="J51" s="578">
        <v>6</v>
      </c>
      <c r="K51" s="578">
        <v>7</v>
      </c>
      <c r="L51" s="578">
        <v>8</v>
      </c>
      <c r="M51" s="578">
        <v>10</v>
      </c>
      <c r="N51" s="578">
        <v>11</v>
      </c>
      <c r="O51" s="578">
        <v>14</v>
      </c>
      <c r="P51" s="578">
        <v>15</v>
      </c>
      <c r="Q51" s="578">
        <v>21</v>
      </c>
      <c r="R51" s="578">
        <v>0</v>
      </c>
      <c r="S51" s="578">
        <v>0</v>
      </c>
      <c r="T51" s="578">
        <v>0</v>
      </c>
      <c r="U51" s="578">
        <v>0</v>
      </c>
      <c r="V51" s="578">
        <v>0</v>
      </c>
      <c r="W51" s="579">
        <v>54</v>
      </c>
      <c r="X51" s="579">
        <v>9</v>
      </c>
      <c r="Y51" s="578">
        <v>45</v>
      </c>
      <c r="Z51" s="578">
        <v>22</v>
      </c>
      <c r="AA51" s="578">
        <v>22</v>
      </c>
      <c r="AB51" s="578">
        <v>22</v>
      </c>
      <c r="AC51" s="579">
        <v>14</v>
      </c>
    </row>
    <row r="52" spans="1:29" ht="10.5">
      <c r="A52" s="578" t="s">
        <v>271</v>
      </c>
      <c r="B52" s="578">
        <v>24</v>
      </c>
      <c r="C52" s="579">
        <v>20</v>
      </c>
      <c r="D52" s="579">
        <v>11</v>
      </c>
      <c r="E52" s="578" t="str">
        <f>"SA-LITS2-"&amp;$G$14</f>
        <v>SA-LITS2-06</v>
      </c>
      <c r="F52" s="578" t="s">
        <v>272</v>
      </c>
      <c r="G52" s="578">
        <v>3</v>
      </c>
      <c r="H52" s="579">
        <v>5</v>
      </c>
      <c r="I52" s="579">
        <v>4</v>
      </c>
      <c r="J52" s="578">
        <v>6</v>
      </c>
      <c r="K52" s="578">
        <v>7</v>
      </c>
      <c r="L52" s="578">
        <v>8</v>
      </c>
      <c r="M52" s="578">
        <v>10</v>
      </c>
      <c r="N52" s="578">
        <v>11</v>
      </c>
      <c r="O52" s="578">
        <v>14</v>
      </c>
      <c r="P52" s="578">
        <v>15</v>
      </c>
      <c r="Q52" s="578">
        <v>21</v>
      </c>
      <c r="R52" s="578">
        <v>0</v>
      </c>
      <c r="S52" s="578">
        <v>0</v>
      </c>
      <c r="T52" s="578">
        <v>0</v>
      </c>
      <c r="U52" s="578">
        <v>0</v>
      </c>
      <c r="V52" s="578">
        <v>0</v>
      </c>
      <c r="W52" s="579">
        <v>55</v>
      </c>
      <c r="X52" s="579">
        <v>9</v>
      </c>
      <c r="Y52" s="578">
        <v>45</v>
      </c>
      <c r="Z52" s="578">
        <v>22</v>
      </c>
      <c r="AA52" s="578">
        <v>22</v>
      </c>
      <c r="AB52" s="578">
        <v>22</v>
      </c>
      <c r="AC52" s="579">
        <v>14</v>
      </c>
    </row>
    <row r="53" spans="1:29" ht="10.5">
      <c r="A53" s="578" t="s">
        <v>273</v>
      </c>
      <c r="B53" s="578">
        <v>24</v>
      </c>
      <c r="C53" s="579">
        <v>20</v>
      </c>
      <c r="D53" s="579">
        <v>11</v>
      </c>
      <c r="E53" s="578" t="str">
        <f>"SA-LINSA-"&amp;$G$14</f>
        <v>SA-LINSA-06</v>
      </c>
      <c r="F53" s="578" t="s">
        <v>274</v>
      </c>
      <c r="G53" s="578">
        <v>3</v>
      </c>
      <c r="H53" s="579">
        <v>5</v>
      </c>
      <c r="I53" s="579">
        <v>4</v>
      </c>
      <c r="J53" s="578">
        <v>6</v>
      </c>
      <c r="K53" s="578">
        <v>7</v>
      </c>
      <c r="L53" s="578">
        <v>8</v>
      </c>
      <c r="M53" s="578">
        <v>10</v>
      </c>
      <c r="N53" s="578">
        <v>11</v>
      </c>
      <c r="O53" s="578">
        <v>14</v>
      </c>
      <c r="P53" s="578">
        <v>15</v>
      </c>
      <c r="Q53" s="578">
        <v>21</v>
      </c>
      <c r="R53" s="578">
        <v>0</v>
      </c>
      <c r="S53" s="578">
        <v>0</v>
      </c>
      <c r="T53" s="578">
        <v>0</v>
      </c>
      <c r="U53" s="578">
        <v>0</v>
      </c>
      <c r="V53" s="578">
        <v>0</v>
      </c>
      <c r="W53" s="579">
        <v>56</v>
      </c>
      <c r="X53" s="579">
        <v>9</v>
      </c>
      <c r="Y53" s="578">
        <v>45</v>
      </c>
      <c r="Z53" s="578">
        <v>22</v>
      </c>
      <c r="AA53" s="578">
        <v>22</v>
      </c>
      <c r="AB53" s="578">
        <v>22</v>
      </c>
      <c r="AC53" s="579">
        <v>14</v>
      </c>
    </row>
    <row r="54" spans="1:29" ht="10.5">
      <c r="A54" s="578" t="s">
        <v>275</v>
      </c>
      <c r="B54" s="578">
        <v>22</v>
      </c>
      <c r="C54" s="578">
        <v>20</v>
      </c>
      <c r="D54" s="578">
        <v>12</v>
      </c>
      <c r="E54" s="578" t="str">
        <f>"RE-"&amp;$G$14</f>
        <v>RE-06</v>
      </c>
      <c r="F54" s="578" t="s">
        <v>276</v>
      </c>
      <c r="G54" s="578">
        <v>3</v>
      </c>
      <c r="H54" s="579">
        <v>5</v>
      </c>
      <c r="I54" s="579">
        <v>4</v>
      </c>
      <c r="J54" s="578">
        <v>6</v>
      </c>
      <c r="K54" s="578">
        <v>7</v>
      </c>
      <c r="L54" s="578">
        <v>8</v>
      </c>
      <c r="M54" s="578">
        <v>10</v>
      </c>
      <c r="N54" s="578">
        <v>11</v>
      </c>
      <c r="O54" s="578">
        <v>14</v>
      </c>
      <c r="P54" s="578">
        <v>16</v>
      </c>
      <c r="Q54" s="578">
        <v>25</v>
      </c>
      <c r="R54" s="578">
        <v>15</v>
      </c>
      <c r="S54" s="578">
        <v>0</v>
      </c>
      <c r="T54" s="578">
        <v>0</v>
      </c>
      <c r="U54" s="578">
        <v>0</v>
      </c>
      <c r="V54" s="578">
        <v>0</v>
      </c>
      <c r="W54" s="579">
        <v>59</v>
      </c>
      <c r="X54" s="579">
        <v>9</v>
      </c>
      <c r="Y54" s="578">
        <v>43</v>
      </c>
      <c r="Z54" s="578">
        <v>26</v>
      </c>
      <c r="AA54" s="578">
        <v>20</v>
      </c>
      <c r="AB54" s="578">
        <v>23</v>
      </c>
      <c r="AC54" s="578">
        <v>14</v>
      </c>
    </row>
    <row r="55" spans="1:29" ht="10.5">
      <c r="A55" s="578" t="s">
        <v>277</v>
      </c>
      <c r="B55" s="578">
        <v>22</v>
      </c>
      <c r="C55" s="578">
        <v>20</v>
      </c>
      <c r="D55" s="578">
        <v>12</v>
      </c>
      <c r="E55" s="578" t="str">
        <f>"RE-YACY-"&amp;$G$14</f>
        <v>RE-YACY-06</v>
      </c>
      <c r="F55" s="578" t="s">
        <v>278</v>
      </c>
      <c r="G55" s="578">
        <v>3</v>
      </c>
      <c r="H55" s="579">
        <v>5</v>
      </c>
      <c r="I55" s="579">
        <v>4</v>
      </c>
      <c r="J55" s="578">
        <v>6</v>
      </c>
      <c r="K55" s="578">
        <v>7</v>
      </c>
      <c r="L55" s="578">
        <v>8</v>
      </c>
      <c r="M55" s="578">
        <v>10</v>
      </c>
      <c r="N55" s="578">
        <v>11</v>
      </c>
      <c r="O55" s="578">
        <v>14</v>
      </c>
      <c r="P55" s="578">
        <v>16</v>
      </c>
      <c r="Q55" s="578">
        <v>25</v>
      </c>
      <c r="R55" s="578">
        <v>15</v>
      </c>
      <c r="S55" s="578">
        <v>0</v>
      </c>
      <c r="T55" s="578">
        <v>0</v>
      </c>
      <c r="U55" s="578">
        <v>0</v>
      </c>
      <c r="V55" s="578">
        <v>0</v>
      </c>
      <c r="W55" s="579">
        <v>61</v>
      </c>
      <c r="X55" s="579">
        <v>9</v>
      </c>
      <c r="Y55" s="578">
        <v>43</v>
      </c>
      <c r="Z55" s="578">
        <v>26</v>
      </c>
      <c r="AA55" s="578">
        <v>20</v>
      </c>
      <c r="AB55" s="578">
        <v>23</v>
      </c>
      <c r="AC55" s="578">
        <v>14</v>
      </c>
    </row>
    <row r="56" spans="1:29" ht="10.5">
      <c r="A56" s="578" t="s">
        <v>279</v>
      </c>
      <c r="B56" s="578">
        <v>24</v>
      </c>
      <c r="C56" s="578">
        <v>20</v>
      </c>
      <c r="D56" s="578">
        <v>12</v>
      </c>
      <c r="E56" s="578" t="s">
        <v>279</v>
      </c>
      <c r="F56" s="578" t="s">
        <v>280</v>
      </c>
      <c r="G56" s="578">
        <v>3</v>
      </c>
      <c r="H56" s="579">
        <v>5</v>
      </c>
      <c r="I56" s="579">
        <v>4</v>
      </c>
      <c r="J56" s="578">
        <v>6</v>
      </c>
      <c r="K56" s="578">
        <v>7</v>
      </c>
      <c r="L56" s="578">
        <v>8</v>
      </c>
      <c r="M56" s="578">
        <v>10</v>
      </c>
      <c r="N56" s="578">
        <v>11</v>
      </c>
      <c r="O56" s="578">
        <v>14</v>
      </c>
      <c r="P56" s="578">
        <v>16</v>
      </c>
      <c r="Q56" s="578">
        <v>22</v>
      </c>
      <c r="R56" s="578">
        <v>15</v>
      </c>
      <c r="S56" s="578">
        <v>0</v>
      </c>
      <c r="T56" s="578">
        <v>0</v>
      </c>
      <c r="U56" s="578">
        <v>0</v>
      </c>
      <c r="V56" s="578">
        <v>0</v>
      </c>
      <c r="W56" s="579">
        <v>62</v>
      </c>
      <c r="X56" s="579">
        <v>9</v>
      </c>
      <c r="Y56" s="578">
        <v>45</v>
      </c>
      <c r="Z56" s="578">
        <v>24</v>
      </c>
      <c r="AA56" s="578">
        <v>22</v>
      </c>
      <c r="AB56" s="578">
        <v>24</v>
      </c>
      <c r="AC56" s="578">
        <v>15</v>
      </c>
    </row>
    <row r="57" spans="1:29" ht="10.5">
      <c r="A57" s="578" t="s">
        <v>281</v>
      </c>
      <c r="B57" s="578">
        <v>24</v>
      </c>
      <c r="C57" s="578">
        <v>20</v>
      </c>
      <c r="D57" s="578">
        <v>12</v>
      </c>
      <c r="E57" s="578" t="s">
        <v>281</v>
      </c>
      <c r="F57" s="578" t="s">
        <v>282</v>
      </c>
      <c r="G57" s="578">
        <v>3</v>
      </c>
      <c r="H57" s="579">
        <v>5</v>
      </c>
      <c r="I57" s="579">
        <v>4</v>
      </c>
      <c r="J57" s="578">
        <v>6</v>
      </c>
      <c r="K57" s="578">
        <v>7</v>
      </c>
      <c r="L57" s="578">
        <v>8</v>
      </c>
      <c r="M57" s="578">
        <v>10</v>
      </c>
      <c r="N57" s="578">
        <v>11</v>
      </c>
      <c r="O57" s="578">
        <v>14</v>
      </c>
      <c r="P57" s="578">
        <v>16</v>
      </c>
      <c r="Q57" s="578">
        <v>22</v>
      </c>
      <c r="R57" s="578">
        <v>15</v>
      </c>
      <c r="S57" s="578">
        <v>0</v>
      </c>
      <c r="T57" s="578">
        <v>0</v>
      </c>
      <c r="U57" s="578">
        <v>0</v>
      </c>
      <c r="V57" s="578">
        <v>0</v>
      </c>
      <c r="W57" s="579">
        <v>63</v>
      </c>
      <c r="X57" s="579">
        <v>9</v>
      </c>
      <c r="Y57" s="578">
        <v>45</v>
      </c>
      <c r="Z57" s="578">
        <v>24</v>
      </c>
      <c r="AA57" s="578">
        <v>22</v>
      </c>
      <c r="AB57" s="578">
        <v>24</v>
      </c>
      <c r="AC57" s="578">
        <v>15</v>
      </c>
    </row>
    <row r="58" spans="1:29" ht="10.5">
      <c r="A58" s="578" t="s">
        <v>283</v>
      </c>
      <c r="B58" s="578">
        <v>24</v>
      </c>
      <c r="C58" s="578">
        <v>20</v>
      </c>
      <c r="D58" s="578">
        <v>12</v>
      </c>
      <c r="E58" s="578" t="s">
        <v>283</v>
      </c>
      <c r="F58" s="578" t="s">
        <v>284</v>
      </c>
      <c r="G58" s="578">
        <v>3</v>
      </c>
      <c r="H58" s="579">
        <v>5</v>
      </c>
      <c r="I58" s="579">
        <v>4</v>
      </c>
      <c r="J58" s="578">
        <v>6</v>
      </c>
      <c r="K58" s="578">
        <v>7</v>
      </c>
      <c r="L58" s="578">
        <v>8</v>
      </c>
      <c r="M58" s="578">
        <v>10</v>
      </c>
      <c r="N58" s="578">
        <v>11</v>
      </c>
      <c r="O58" s="578">
        <v>14</v>
      </c>
      <c r="P58" s="578">
        <v>16</v>
      </c>
      <c r="Q58" s="578">
        <v>22</v>
      </c>
      <c r="R58" s="578">
        <v>15</v>
      </c>
      <c r="S58" s="578">
        <v>0</v>
      </c>
      <c r="T58" s="578">
        <v>0</v>
      </c>
      <c r="U58" s="578">
        <v>0</v>
      </c>
      <c r="V58" s="578">
        <v>0</v>
      </c>
      <c r="W58" s="579">
        <v>64</v>
      </c>
      <c r="X58" s="579">
        <v>9</v>
      </c>
      <c r="Y58" s="578">
        <v>45</v>
      </c>
      <c r="Z58" s="578">
        <v>24</v>
      </c>
      <c r="AA58" s="578">
        <v>22</v>
      </c>
      <c r="AB58" s="578">
        <v>24</v>
      </c>
      <c r="AC58" s="578">
        <v>15</v>
      </c>
    </row>
    <row r="59" spans="1:29" ht="10.5">
      <c r="A59" s="578" t="s">
        <v>285</v>
      </c>
      <c r="B59" s="578">
        <v>24</v>
      </c>
      <c r="C59" s="578">
        <v>20</v>
      </c>
      <c r="D59" s="578">
        <v>12</v>
      </c>
      <c r="E59" s="578" t="str">
        <f>"RE-LITSA-"&amp;$G$14</f>
        <v>RE-LITSA-06</v>
      </c>
      <c r="F59" s="578" t="s">
        <v>286</v>
      </c>
      <c r="G59" s="578">
        <v>3</v>
      </c>
      <c r="H59" s="579">
        <v>5</v>
      </c>
      <c r="I59" s="579">
        <v>4</v>
      </c>
      <c r="J59" s="578">
        <v>6</v>
      </c>
      <c r="K59" s="578">
        <v>7</v>
      </c>
      <c r="L59" s="578">
        <v>8</v>
      </c>
      <c r="M59" s="578">
        <v>10</v>
      </c>
      <c r="N59" s="578">
        <v>11</v>
      </c>
      <c r="O59" s="578">
        <v>14</v>
      </c>
      <c r="P59" s="578">
        <v>16</v>
      </c>
      <c r="Q59" s="578">
        <v>22</v>
      </c>
      <c r="R59" s="578">
        <v>15</v>
      </c>
      <c r="S59" s="578">
        <v>0</v>
      </c>
      <c r="T59" s="578">
        <v>0</v>
      </c>
      <c r="U59" s="578">
        <v>0</v>
      </c>
      <c r="V59" s="578">
        <v>0</v>
      </c>
      <c r="W59" s="579">
        <v>65</v>
      </c>
      <c r="X59" s="579">
        <v>9</v>
      </c>
      <c r="Y59" s="578">
        <v>45</v>
      </c>
      <c r="Z59" s="578">
        <v>24</v>
      </c>
      <c r="AA59" s="578">
        <v>22</v>
      </c>
      <c r="AB59" s="578">
        <v>24</v>
      </c>
      <c r="AC59" s="578">
        <v>15</v>
      </c>
    </row>
    <row r="60" spans="1:29" ht="10.5">
      <c r="A60" s="578" t="s">
        <v>287</v>
      </c>
      <c r="B60" s="578">
        <v>24</v>
      </c>
      <c r="C60" s="578">
        <v>20</v>
      </c>
      <c r="D60" s="578">
        <v>12</v>
      </c>
      <c r="E60" s="578" t="str">
        <f>"RE-LITS2-"&amp;$G$14</f>
        <v>RE-LITS2-06</v>
      </c>
      <c r="F60" s="578" t="s">
        <v>288</v>
      </c>
      <c r="G60" s="578">
        <v>3</v>
      </c>
      <c r="H60" s="579">
        <v>5</v>
      </c>
      <c r="I60" s="579">
        <v>4</v>
      </c>
      <c r="J60" s="578">
        <v>6</v>
      </c>
      <c r="K60" s="578">
        <v>7</v>
      </c>
      <c r="L60" s="578">
        <v>8</v>
      </c>
      <c r="M60" s="578">
        <v>10</v>
      </c>
      <c r="N60" s="578">
        <v>11</v>
      </c>
      <c r="O60" s="578">
        <v>14</v>
      </c>
      <c r="P60" s="578">
        <v>16</v>
      </c>
      <c r="Q60" s="578">
        <v>22</v>
      </c>
      <c r="R60" s="578">
        <v>15</v>
      </c>
      <c r="S60" s="578">
        <v>0</v>
      </c>
      <c r="T60" s="578">
        <v>0</v>
      </c>
      <c r="U60" s="578">
        <v>0</v>
      </c>
      <c r="V60" s="578">
        <v>0</v>
      </c>
      <c r="W60" s="579">
        <v>66</v>
      </c>
      <c r="X60" s="579">
        <v>9</v>
      </c>
      <c r="Y60" s="578">
        <v>45</v>
      </c>
      <c r="Z60" s="578">
        <v>24</v>
      </c>
      <c r="AA60" s="578">
        <v>22</v>
      </c>
      <c r="AB60" s="578">
        <v>24</v>
      </c>
      <c r="AC60" s="578">
        <v>15</v>
      </c>
    </row>
    <row r="61" spans="1:29" ht="10.5">
      <c r="A61" s="578" t="s">
        <v>289</v>
      </c>
      <c r="B61" s="578">
        <v>24</v>
      </c>
      <c r="C61" s="578">
        <v>20</v>
      </c>
      <c r="D61" s="578">
        <v>12</v>
      </c>
      <c r="E61" s="578" t="str">
        <f>"RE-LINSA-"&amp;$G$14</f>
        <v>RE-LINSA-06</v>
      </c>
      <c r="F61" s="578" t="s">
        <v>290</v>
      </c>
      <c r="G61" s="578">
        <v>3</v>
      </c>
      <c r="H61" s="579">
        <v>5</v>
      </c>
      <c r="I61" s="579">
        <v>4</v>
      </c>
      <c r="J61" s="578">
        <v>6</v>
      </c>
      <c r="K61" s="578">
        <v>7</v>
      </c>
      <c r="L61" s="578">
        <v>8</v>
      </c>
      <c r="M61" s="578">
        <v>10</v>
      </c>
      <c r="N61" s="578">
        <v>11</v>
      </c>
      <c r="O61" s="578">
        <v>14</v>
      </c>
      <c r="P61" s="578">
        <v>16</v>
      </c>
      <c r="Q61" s="578">
        <v>22</v>
      </c>
      <c r="R61" s="578">
        <v>15</v>
      </c>
      <c r="S61" s="578">
        <v>0</v>
      </c>
      <c r="T61" s="578">
        <v>0</v>
      </c>
      <c r="U61" s="578">
        <v>0</v>
      </c>
      <c r="V61" s="578">
        <v>0</v>
      </c>
      <c r="W61" s="579">
        <v>67</v>
      </c>
      <c r="X61" s="579">
        <v>9</v>
      </c>
      <c r="Y61" s="578">
        <v>45</v>
      </c>
      <c r="Z61" s="578">
        <v>24</v>
      </c>
      <c r="AA61" s="578">
        <v>22</v>
      </c>
      <c r="AB61" s="578">
        <v>24</v>
      </c>
      <c r="AC61" s="578">
        <v>15</v>
      </c>
    </row>
    <row r="62" spans="1:29" ht="10.5">
      <c r="A62" s="578" t="s">
        <v>291</v>
      </c>
      <c r="B62" s="578">
        <v>22</v>
      </c>
      <c r="C62" s="578">
        <v>20</v>
      </c>
      <c r="D62" s="578">
        <v>12</v>
      </c>
      <c r="E62" s="578" t="str">
        <f>"RE-IV-"&amp;$G$14</f>
        <v>RE-IV-06</v>
      </c>
      <c r="F62" s="578" t="s">
        <v>292</v>
      </c>
      <c r="G62" s="578">
        <v>3</v>
      </c>
      <c r="H62" s="579">
        <v>5</v>
      </c>
      <c r="I62" s="579">
        <v>4</v>
      </c>
      <c r="J62" s="578">
        <v>6</v>
      </c>
      <c r="K62" s="578">
        <v>7</v>
      </c>
      <c r="L62" s="578">
        <v>8</v>
      </c>
      <c r="M62" s="578">
        <v>10</v>
      </c>
      <c r="N62" s="578">
        <v>11</v>
      </c>
      <c r="O62" s="578">
        <v>14</v>
      </c>
      <c r="P62" s="578">
        <v>16</v>
      </c>
      <c r="Q62" s="578">
        <v>22</v>
      </c>
      <c r="R62" s="578">
        <v>15</v>
      </c>
      <c r="S62" s="578">
        <v>0</v>
      </c>
      <c r="T62" s="578">
        <v>0</v>
      </c>
      <c r="U62" s="578">
        <v>0</v>
      </c>
      <c r="V62" s="578">
        <v>0</v>
      </c>
      <c r="W62" s="579">
        <v>68</v>
      </c>
      <c r="X62" s="578">
        <v>9</v>
      </c>
      <c r="Y62" s="578">
        <v>43</v>
      </c>
      <c r="Z62" s="578">
        <v>24</v>
      </c>
      <c r="AA62" s="578">
        <v>20</v>
      </c>
      <c r="AB62" s="578">
        <v>23</v>
      </c>
      <c r="AC62" s="578">
        <v>14</v>
      </c>
    </row>
    <row r="63" spans="1:29" ht="10.5">
      <c r="A63" s="578" t="s">
        <v>293</v>
      </c>
      <c r="B63" s="578">
        <v>22</v>
      </c>
      <c r="C63" s="578">
        <v>20</v>
      </c>
      <c r="D63" s="578">
        <v>12</v>
      </c>
      <c r="E63" s="578" t="str">
        <f>"RE-LIMSA-"&amp;$G$14</f>
        <v>RE-LIMSA-06</v>
      </c>
      <c r="F63" s="578" t="s">
        <v>294</v>
      </c>
      <c r="G63" s="578">
        <v>3</v>
      </c>
      <c r="H63" s="579">
        <v>5</v>
      </c>
      <c r="I63" s="579">
        <v>4</v>
      </c>
      <c r="J63" s="578">
        <v>6</v>
      </c>
      <c r="K63" s="578">
        <v>7</v>
      </c>
      <c r="L63" s="578">
        <v>8</v>
      </c>
      <c r="M63" s="578">
        <v>10</v>
      </c>
      <c r="N63" s="578">
        <v>11</v>
      </c>
      <c r="O63" s="578">
        <v>14</v>
      </c>
      <c r="P63" s="578">
        <v>16</v>
      </c>
      <c r="Q63" s="578">
        <v>25</v>
      </c>
      <c r="R63" s="578">
        <v>15</v>
      </c>
      <c r="S63" s="578">
        <v>0</v>
      </c>
      <c r="T63" s="578">
        <v>0</v>
      </c>
      <c r="U63" s="578">
        <v>0</v>
      </c>
      <c r="V63" s="578">
        <v>0</v>
      </c>
      <c r="W63" s="579">
        <v>69</v>
      </c>
      <c r="X63" s="579">
        <v>9</v>
      </c>
      <c r="Y63" s="578">
        <v>43</v>
      </c>
      <c r="Z63" s="578">
        <v>26</v>
      </c>
      <c r="AA63" s="578">
        <v>20</v>
      </c>
      <c r="AB63" s="578">
        <v>23</v>
      </c>
      <c r="AC63" s="578">
        <v>14</v>
      </c>
    </row>
    <row r="64" spans="1:29" ht="10.5">
      <c r="A64" s="582" t="s">
        <v>295</v>
      </c>
      <c r="B64" s="583">
        <v>32</v>
      </c>
      <c r="C64" s="583">
        <v>25</v>
      </c>
      <c r="D64" s="583">
        <v>11</v>
      </c>
      <c r="E64" s="582" t="s">
        <v>295</v>
      </c>
      <c r="F64" s="583" t="s">
        <v>206</v>
      </c>
      <c r="G64" s="583">
        <v>0</v>
      </c>
      <c r="H64" s="583">
        <v>0</v>
      </c>
      <c r="I64" s="583">
        <v>0</v>
      </c>
      <c r="J64" s="583">
        <v>4</v>
      </c>
      <c r="K64" s="583">
        <v>5</v>
      </c>
      <c r="L64" s="583">
        <v>6</v>
      </c>
      <c r="M64" s="583">
        <v>7</v>
      </c>
      <c r="N64" s="583">
        <v>10</v>
      </c>
      <c r="O64" s="583">
        <v>11</v>
      </c>
      <c r="P64" s="583">
        <v>14</v>
      </c>
      <c r="Q64" s="583">
        <v>17</v>
      </c>
      <c r="R64" s="583">
        <v>28</v>
      </c>
      <c r="S64" s="583">
        <v>0</v>
      </c>
      <c r="T64" s="583">
        <v>0</v>
      </c>
      <c r="U64" s="583">
        <v>0</v>
      </c>
      <c r="V64" s="583">
        <v>0</v>
      </c>
      <c r="W64" s="583">
        <v>0</v>
      </c>
      <c r="X64" s="583">
        <v>0</v>
      </c>
      <c r="Y64" s="583">
        <v>0</v>
      </c>
      <c r="Z64" s="583">
        <v>0</v>
      </c>
      <c r="AA64" s="583">
        <v>0</v>
      </c>
      <c r="AB64" s="583">
        <v>0</v>
      </c>
      <c r="AC64" s="583">
        <v>0</v>
      </c>
    </row>
    <row r="65" spans="1:29" s="584" customFormat="1" ht="10.5">
      <c r="A65" s="582" t="s">
        <v>295</v>
      </c>
      <c r="B65" s="582">
        <v>70</v>
      </c>
      <c r="C65" s="582">
        <v>4</v>
      </c>
      <c r="D65" s="582">
        <v>11</v>
      </c>
      <c r="E65" s="582" t="s">
        <v>295</v>
      </c>
      <c r="F65" s="583" t="s">
        <v>278</v>
      </c>
      <c r="G65" s="582">
        <v>0</v>
      </c>
      <c r="H65" s="582">
        <v>0</v>
      </c>
      <c r="I65" s="582">
        <v>0</v>
      </c>
      <c r="J65" s="582">
        <v>4</v>
      </c>
      <c r="K65" s="582">
        <v>5</v>
      </c>
      <c r="L65" s="582">
        <v>6</v>
      </c>
      <c r="M65" s="582">
        <v>10</v>
      </c>
      <c r="N65" s="582">
        <v>11</v>
      </c>
      <c r="O65" s="582">
        <v>14</v>
      </c>
      <c r="P65" s="582">
        <v>16</v>
      </c>
      <c r="Q65" s="582">
        <v>28</v>
      </c>
      <c r="R65" s="582">
        <v>0</v>
      </c>
      <c r="S65" s="582">
        <v>0</v>
      </c>
      <c r="T65" s="582">
        <v>0</v>
      </c>
      <c r="U65" s="582">
        <v>0</v>
      </c>
      <c r="V65" s="582">
        <v>0</v>
      </c>
      <c r="W65" s="582">
        <v>0</v>
      </c>
      <c r="X65" s="582">
        <v>0</v>
      </c>
      <c r="Y65" s="582">
        <v>0</v>
      </c>
      <c r="Z65" s="582">
        <v>0</v>
      </c>
      <c r="AA65" s="582">
        <v>0</v>
      </c>
      <c r="AB65" s="582">
        <v>0</v>
      </c>
      <c r="AC65" s="582">
        <v>0</v>
      </c>
    </row>
    <row r="66" spans="1:29" ht="10.5">
      <c r="A66" s="582" t="s">
        <v>296</v>
      </c>
      <c r="B66" s="583">
        <v>90</v>
      </c>
      <c r="C66" s="583">
        <v>10</v>
      </c>
      <c r="D66" s="585">
        <v>12</v>
      </c>
      <c r="E66" s="582" t="s">
        <v>296</v>
      </c>
      <c r="F66" s="583" t="s">
        <v>270</v>
      </c>
      <c r="G66" s="583">
        <v>0</v>
      </c>
      <c r="H66" s="583">
        <v>0</v>
      </c>
      <c r="I66" s="583">
        <v>0</v>
      </c>
      <c r="J66" s="583">
        <v>4</v>
      </c>
      <c r="K66" s="583">
        <v>5</v>
      </c>
      <c r="L66" s="583">
        <v>6</v>
      </c>
      <c r="M66" s="583">
        <v>10</v>
      </c>
      <c r="N66" s="583">
        <v>11</v>
      </c>
      <c r="O66" s="583">
        <v>14</v>
      </c>
      <c r="P66" s="583">
        <v>15</v>
      </c>
      <c r="Q66" s="583">
        <v>28</v>
      </c>
      <c r="R66" s="583">
        <v>0</v>
      </c>
      <c r="S66" s="583">
        <v>0</v>
      </c>
      <c r="T66" s="583">
        <v>0</v>
      </c>
      <c r="U66" s="583">
        <v>0</v>
      </c>
      <c r="V66" s="583">
        <v>0</v>
      </c>
      <c r="W66" s="583">
        <v>0</v>
      </c>
      <c r="X66" s="583">
        <v>0</v>
      </c>
      <c r="Y66" s="583">
        <v>0</v>
      </c>
      <c r="Z66" s="583">
        <v>0</v>
      </c>
      <c r="AA66" s="583">
        <v>0</v>
      </c>
      <c r="AB66" s="583">
        <v>0</v>
      </c>
      <c r="AC66" s="583">
        <v>0</v>
      </c>
    </row>
    <row r="67" spans="1:29" ht="10.5">
      <c r="A67" s="582" t="s">
        <v>296</v>
      </c>
      <c r="B67" s="583">
        <v>61</v>
      </c>
      <c r="C67" s="583">
        <v>24</v>
      </c>
      <c r="D67" s="585">
        <v>12</v>
      </c>
      <c r="E67" s="582" t="s">
        <v>296</v>
      </c>
      <c r="F67" s="583" t="s">
        <v>232</v>
      </c>
      <c r="G67" s="583">
        <v>0</v>
      </c>
      <c r="H67" s="583">
        <v>0</v>
      </c>
      <c r="I67" s="583">
        <v>0</v>
      </c>
      <c r="J67" s="583">
        <v>4</v>
      </c>
      <c r="K67" s="583">
        <v>5</v>
      </c>
      <c r="L67" s="583">
        <v>6</v>
      </c>
      <c r="M67" s="583">
        <v>8</v>
      </c>
      <c r="N67" s="583">
        <v>9</v>
      </c>
      <c r="O67" s="583">
        <v>10</v>
      </c>
      <c r="P67" s="583">
        <v>13</v>
      </c>
      <c r="Q67" s="583">
        <v>15</v>
      </c>
      <c r="R67" s="583">
        <v>16</v>
      </c>
      <c r="S67" s="583">
        <v>0</v>
      </c>
      <c r="T67" s="583">
        <v>0</v>
      </c>
      <c r="U67" s="583">
        <v>0</v>
      </c>
      <c r="V67" s="583">
        <v>0</v>
      </c>
      <c r="W67" s="583">
        <v>0</v>
      </c>
      <c r="X67" s="583">
        <v>0</v>
      </c>
      <c r="Y67" s="583">
        <v>0</v>
      </c>
      <c r="Z67" s="583">
        <v>0</v>
      </c>
      <c r="AA67" s="583">
        <v>0</v>
      </c>
      <c r="AB67" s="583">
        <v>0</v>
      </c>
      <c r="AC67" s="583">
        <v>0</v>
      </c>
    </row>
    <row r="68" spans="1:29" ht="10.5">
      <c r="A68" s="582" t="s">
        <v>296</v>
      </c>
      <c r="B68" s="583">
        <v>32</v>
      </c>
      <c r="C68" s="583">
        <v>24</v>
      </c>
      <c r="D68" s="583">
        <v>11</v>
      </c>
      <c r="E68" s="582" t="s">
        <v>296</v>
      </c>
      <c r="F68" s="583" t="s">
        <v>208</v>
      </c>
      <c r="G68" s="583">
        <v>0</v>
      </c>
      <c r="H68" s="583">
        <v>0</v>
      </c>
      <c r="I68" s="583">
        <v>0</v>
      </c>
      <c r="J68" s="583">
        <v>4</v>
      </c>
      <c r="K68" s="583">
        <v>5</v>
      </c>
      <c r="L68" s="583">
        <v>6</v>
      </c>
      <c r="M68" s="583">
        <v>7</v>
      </c>
      <c r="N68" s="583">
        <v>10</v>
      </c>
      <c r="O68" s="583">
        <v>11</v>
      </c>
      <c r="P68" s="583">
        <v>14</v>
      </c>
      <c r="Q68" s="583">
        <v>17</v>
      </c>
      <c r="R68" s="583">
        <v>28</v>
      </c>
      <c r="S68" s="583">
        <v>0</v>
      </c>
      <c r="T68" s="583">
        <v>0</v>
      </c>
      <c r="U68" s="583">
        <v>0</v>
      </c>
      <c r="V68" s="583">
        <v>0</v>
      </c>
      <c r="W68" s="583">
        <v>0</v>
      </c>
      <c r="X68" s="583">
        <v>0</v>
      </c>
      <c r="Y68" s="583">
        <v>0</v>
      </c>
      <c r="Z68" s="583">
        <v>0</v>
      </c>
      <c r="AA68" s="583">
        <v>0</v>
      </c>
      <c r="AB68" s="583">
        <v>0</v>
      </c>
      <c r="AC68" s="583">
        <v>0</v>
      </c>
    </row>
    <row r="69" spans="1:29" s="584" customFormat="1" ht="10.5">
      <c r="A69" s="582" t="s">
        <v>296</v>
      </c>
      <c r="B69" s="582">
        <v>105</v>
      </c>
      <c r="C69" s="582">
        <v>8</v>
      </c>
      <c r="D69" s="582">
        <v>11</v>
      </c>
      <c r="E69" s="582" t="s">
        <v>296</v>
      </c>
      <c r="F69" s="583" t="s">
        <v>286</v>
      </c>
      <c r="G69" s="582">
        <v>0</v>
      </c>
      <c r="H69" s="582">
        <v>0</v>
      </c>
      <c r="I69" s="582">
        <v>0</v>
      </c>
      <c r="J69" s="582">
        <v>4</v>
      </c>
      <c r="K69" s="582">
        <v>5</v>
      </c>
      <c r="L69" s="582">
        <v>6</v>
      </c>
      <c r="M69" s="582">
        <v>10</v>
      </c>
      <c r="N69" s="582">
        <v>11</v>
      </c>
      <c r="O69" s="582">
        <v>14</v>
      </c>
      <c r="P69" s="582">
        <v>16</v>
      </c>
      <c r="Q69" s="582">
        <v>28</v>
      </c>
      <c r="R69" s="582">
        <v>0</v>
      </c>
      <c r="S69" s="582">
        <v>0</v>
      </c>
      <c r="T69" s="582">
        <v>0</v>
      </c>
      <c r="U69" s="582">
        <v>0</v>
      </c>
      <c r="V69" s="582">
        <v>0</v>
      </c>
      <c r="W69" s="582">
        <v>0</v>
      </c>
      <c r="X69" s="582">
        <v>0</v>
      </c>
      <c r="Y69" s="582">
        <v>0</v>
      </c>
      <c r="Z69" s="582">
        <v>0</v>
      </c>
      <c r="AA69" s="582">
        <v>0</v>
      </c>
      <c r="AB69" s="582">
        <v>0</v>
      </c>
      <c r="AC69" s="582">
        <v>0</v>
      </c>
    </row>
    <row r="70" spans="1:29" ht="10.5">
      <c r="A70" s="582" t="s">
        <v>297</v>
      </c>
      <c r="B70" s="583">
        <v>90</v>
      </c>
      <c r="C70" s="583">
        <v>10</v>
      </c>
      <c r="D70" s="585">
        <v>12</v>
      </c>
      <c r="E70" s="582" t="s">
        <v>297</v>
      </c>
      <c r="F70" s="583" t="s">
        <v>272</v>
      </c>
      <c r="G70" s="583">
        <v>0</v>
      </c>
      <c r="H70" s="583">
        <v>0</v>
      </c>
      <c r="I70" s="583">
        <v>0</v>
      </c>
      <c r="J70" s="583">
        <v>4</v>
      </c>
      <c r="K70" s="583">
        <v>5</v>
      </c>
      <c r="L70" s="583">
        <v>6</v>
      </c>
      <c r="M70" s="583">
        <v>10</v>
      </c>
      <c r="N70" s="583">
        <v>11</v>
      </c>
      <c r="O70" s="583">
        <v>14</v>
      </c>
      <c r="P70" s="583">
        <v>15</v>
      </c>
      <c r="Q70" s="583">
        <v>28</v>
      </c>
      <c r="R70" s="583">
        <v>0</v>
      </c>
      <c r="S70" s="583">
        <v>0</v>
      </c>
      <c r="T70" s="583">
        <v>0</v>
      </c>
      <c r="U70" s="583">
        <v>0</v>
      </c>
      <c r="V70" s="583">
        <v>0</v>
      </c>
      <c r="W70" s="583">
        <v>0</v>
      </c>
      <c r="X70" s="583">
        <v>0</v>
      </c>
      <c r="Y70" s="583">
        <v>0</v>
      </c>
      <c r="Z70" s="583">
        <v>0</v>
      </c>
      <c r="AA70" s="583">
        <v>0</v>
      </c>
      <c r="AB70" s="583">
        <v>0</v>
      </c>
      <c r="AC70" s="583">
        <v>0</v>
      </c>
    </row>
    <row r="71" spans="1:29" ht="10.5">
      <c r="A71" s="582" t="s">
        <v>297</v>
      </c>
      <c r="B71" s="583">
        <v>61</v>
      </c>
      <c r="C71" s="583">
        <v>24</v>
      </c>
      <c r="D71" s="585">
        <v>12</v>
      </c>
      <c r="E71" s="582" t="s">
        <v>297</v>
      </c>
      <c r="F71" s="583" t="s">
        <v>234</v>
      </c>
      <c r="G71" s="583">
        <v>0</v>
      </c>
      <c r="H71" s="583">
        <v>0</v>
      </c>
      <c r="I71" s="583">
        <v>0</v>
      </c>
      <c r="J71" s="583">
        <v>4</v>
      </c>
      <c r="K71" s="583">
        <v>5</v>
      </c>
      <c r="L71" s="583">
        <v>6</v>
      </c>
      <c r="M71" s="583">
        <v>8</v>
      </c>
      <c r="N71" s="583">
        <v>9</v>
      </c>
      <c r="O71" s="583">
        <v>10</v>
      </c>
      <c r="P71" s="583">
        <v>13</v>
      </c>
      <c r="Q71" s="583">
        <v>15</v>
      </c>
      <c r="R71" s="583">
        <v>16</v>
      </c>
      <c r="S71" s="583">
        <v>0</v>
      </c>
      <c r="T71" s="583">
        <v>0</v>
      </c>
      <c r="U71" s="583">
        <v>0</v>
      </c>
      <c r="V71" s="583">
        <v>0</v>
      </c>
      <c r="W71" s="583">
        <v>0</v>
      </c>
      <c r="X71" s="583">
        <v>0</v>
      </c>
      <c r="Y71" s="583">
        <v>0</v>
      </c>
      <c r="Z71" s="583">
        <v>0</v>
      </c>
      <c r="AA71" s="583">
        <v>0</v>
      </c>
      <c r="AB71" s="583">
        <v>0</v>
      </c>
      <c r="AC71" s="583">
        <v>0</v>
      </c>
    </row>
    <row r="72" spans="1:29" ht="10.5">
      <c r="A72" s="582" t="s">
        <v>297</v>
      </c>
      <c r="B72" s="583">
        <v>32</v>
      </c>
      <c r="C72" s="583">
        <v>24</v>
      </c>
      <c r="D72" s="583">
        <v>11</v>
      </c>
      <c r="E72" s="582" t="s">
        <v>297</v>
      </c>
      <c r="F72" s="583" t="s">
        <v>210</v>
      </c>
      <c r="G72" s="583">
        <v>0</v>
      </c>
      <c r="H72" s="583">
        <v>0</v>
      </c>
      <c r="I72" s="583">
        <v>0</v>
      </c>
      <c r="J72" s="583">
        <v>4</v>
      </c>
      <c r="K72" s="583">
        <v>5</v>
      </c>
      <c r="L72" s="583">
        <v>6</v>
      </c>
      <c r="M72" s="583">
        <v>7</v>
      </c>
      <c r="N72" s="583">
        <v>10</v>
      </c>
      <c r="O72" s="583">
        <v>11</v>
      </c>
      <c r="P72" s="583">
        <v>14</v>
      </c>
      <c r="Q72" s="583">
        <v>17</v>
      </c>
      <c r="R72" s="583">
        <v>28</v>
      </c>
      <c r="S72" s="583">
        <v>0</v>
      </c>
      <c r="T72" s="583">
        <v>0</v>
      </c>
      <c r="U72" s="583">
        <v>0</v>
      </c>
      <c r="V72" s="583">
        <v>0</v>
      </c>
      <c r="W72" s="583">
        <v>0</v>
      </c>
      <c r="X72" s="583">
        <v>0</v>
      </c>
      <c r="Y72" s="583">
        <v>0</v>
      </c>
      <c r="Z72" s="583">
        <v>0</v>
      </c>
      <c r="AA72" s="583">
        <v>0</v>
      </c>
      <c r="AB72" s="583">
        <v>0</v>
      </c>
      <c r="AC72" s="583">
        <v>0</v>
      </c>
    </row>
    <row r="73" spans="1:29" s="584" customFormat="1" ht="10.5">
      <c r="A73" s="582" t="s">
        <v>297</v>
      </c>
      <c r="B73" s="582">
        <v>105</v>
      </c>
      <c r="C73" s="582">
        <v>8</v>
      </c>
      <c r="D73" s="582">
        <v>11</v>
      </c>
      <c r="E73" s="582" t="s">
        <v>297</v>
      </c>
      <c r="F73" s="583" t="s">
        <v>288</v>
      </c>
      <c r="G73" s="582">
        <v>0</v>
      </c>
      <c r="H73" s="582">
        <v>0</v>
      </c>
      <c r="I73" s="582">
        <v>0</v>
      </c>
      <c r="J73" s="582">
        <v>4</v>
      </c>
      <c r="K73" s="582">
        <v>5</v>
      </c>
      <c r="L73" s="582">
        <v>6</v>
      </c>
      <c r="M73" s="582">
        <v>10</v>
      </c>
      <c r="N73" s="582">
        <v>11</v>
      </c>
      <c r="O73" s="582">
        <v>14</v>
      </c>
      <c r="P73" s="582">
        <v>16</v>
      </c>
      <c r="Q73" s="582">
        <v>28</v>
      </c>
      <c r="R73" s="582">
        <v>0</v>
      </c>
      <c r="S73" s="582">
        <v>0</v>
      </c>
      <c r="T73" s="582">
        <v>0</v>
      </c>
      <c r="U73" s="582">
        <v>0</v>
      </c>
      <c r="V73" s="582">
        <v>0</v>
      </c>
      <c r="W73" s="582">
        <v>0</v>
      </c>
      <c r="X73" s="582">
        <v>0</v>
      </c>
      <c r="Y73" s="582">
        <v>0</v>
      </c>
      <c r="Z73" s="582">
        <v>0</v>
      </c>
      <c r="AA73" s="582">
        <v>0</v>
      </c>
      <c r="AB73" s="582">
        <v>0</v>
      </c>
      <c r="AC73" s="582">
        <v>0</v>
      </c>
    </row>
    <row r="74" spans="1:29" ht="10.5">
      <c r="A74" s="582" t="s">
        <v>298</v>
      </c>
      <c r="B74" s="583">
        <v>60</v>
      </c>
      <c r="C74" s="583">
        <v>36</v>
      </c>
      <c r="D74" s="583">
        <v>9</v>
      </c>
      <c r="E74" s="582" t="s">
        <v>298</v>
      </c>
      <c r="F74" s="583" t="s">
        <v>256</v>
      </c>
      <c r="G74" s="583">
        <v>0</v>
      </c>
      <c r="H74" s="583">
        <v>0</v>
      </c>
      <c r="I74" s="583">
        <v>0</v>
      </c>
      <c r="J74" s="583">
        <v>4</v>
      </c>
      <c r="K74" s="583">
        <v>5</v>
      </c>
      <c r="L74" s="583">
        <v>7</v>
      </c>
      <c r="M74" s="583">
        <v>9</v>
      </c>
      <c r="N74" s="583">
        <v>10</v>
      </c>
      <c r="O74" s="583">
        <v>13</v>
      </c>
      <c r="P74" s="583">
        <v>14</v>
      </c>
      <c r="Q74" s="583">
        <v>21</v>
      </c>
      <c r="R74" s="583">
        <v>0</v>
      </c>
      <c r="S74" s="583">
        <v>0</v>
      </c>
      <c r="T74" s="583">
        <v>0</v>
      </c>
      <c r="U74" s="583">
        <v>0</v>
      </c>
      <c r="V74" s="583">
        <v>0</v>
      </c>
      <c r="W74" s="583">
        <v>0</v>
      </c>
      <c r="X74" s="583">
        <v>0</v>
      </c>
      <c r="Y74" s="583">
        <v>0</v>
      </c>
      <c r="Z74" s="583">
        <v>0</v>
      </c>
      <c r="AA74" s="583">
        <v>0</v>
      </c>
      <c r="AB74" s="583">
        <v>0</v>
      </c>
      <c r="AC74" s="583">
        <v>0</v>
      </c>
    </row>
    <row r="75" spans="1:29" ht="10.5">
      <c r="A75" s="582" t="s">
        <v>298</v>
      </c>
      <c r="B75" s="583">
        <v>31</v>
      </c>
      <c r="C75" s="583">
        <v>25</v>
      </c>
      <c r="D75" s="585">
        <v>12</v>
      </c>
      <c r="E75" s="582" t="s">
        <v>298</v>
      </c>
      <c r="F75" s="583" t="s">
        <v>238</v>
      </c>
      <c r="G75" s="583">
        <v>0</v>
      </c>
      <c r="H75" s="583">
        <v>0</v>
      </c>
      <c r="I75" s="583">
        <v>0</v>
      </c>
      <c r="J75" s="583">
        <v>4</v>
      </c>
      <c r="K75" s="583">
        <v>5</v>
      </c>
      <c r="L75" s="583">
        <v>6</v>
      </c>
      <c r="M75" s="583">
        <v>7</v>
      </c>
      <c r="N75" s="583">
        <v>9</v>
      </c>
      <c r="O75" s="583">
        <v>10</v>
      </c>
      <c r="P75" s="583">
        <v>13</v>
      </c>
      <c r="Q75" s="583">
        <v>15</v>
      </c>
      <c r="R75" s="583">
        <v>16</v>
      </c>
      <c r="S75" s="583">
        <v>0</v>
      </c>
      <c r="T75" s="583">
        <v>0</v>
      </c>
      <c r="U75" s="583">
        <v>0</v>
      </c>
      <c r="V75" s="583">
        <v>0</v>
      </c>
      <c r="W75" s="583">
        <v>0</v>
      </c>
      <c r="X75" s="583">
        <v>0</v>
      </c>
      <c r="Y75" s="583">
        <v>0</v>
      </c>
      <c r="Z75" s="583">
        <v>0</v>
      </c>
      <c r="AA75" s="583">
        <v>0</v>
      </c>
      <c r="AB75" s="583">
        <v>0</v>
      </c>
      <c r="AC75" s="583">
        <v>0</v>
      </c>
    </row>
    <row r="76" spans="1:29" ht="10.5">
      <c r="A76" s="582" t="s">
        <v>299</v>
      </c>
      <c r="B76" s="583">
        <v>60</v>
      </c>
      <c r="C76" s="583">
        <v>25</v>
      </c>
      <c r="D76" s="583">
        <v>9</v>
      </c>
      <c r="E76" s="582" t="s">
        <v>299</v>
      </c>
      <c r="F76" s="583" t="s">
        <v>258</v>
      </c>
      <c r="G76" s="583">
        <v>0</v>
      </c>
      <c r="H76" s="583">
        <v>0</v>
      </c>
      <c r="I76" s="583">
        <v>0</v>
      </c>
      <c r="J76" s="583">
        <v>4</v>
      </c>
      <c r="K76" s="583">
        <v>5</v>
      </c>
      <c r="L76" s="583">
        <v>7</v>
      </c>
      <c r="M76" s="583">
        <v>9</v>
      </c>
      <c r="N76" s="583">
        <v>10</v>
      </c>
      <c r="O76" s="583">
        <v>13</v>
      </c>
      <c r="P76" s="583">
        <v>14</v>
      </c>
      <c r="Q76" s="583">
        <v>21</v>
      </c>
      <c r="R76" s="583">
        <v>0</v>
      </c>
      <c r="S76" s="583">
        <v>0</v>
      </c>
      <c r="T76" s="583">
        <v>0</v>
      </c>
      <c r="U76" s="583">
        <v>0</v>
      </c>
      <c r="V76" s="583">
        <v>0</v>
      </c>
      <c r="W76" s="583">
        <v>0</v>
      </c>
      <c r="X76" s="583">
        <v>0</v>
      </c>
      <c r="Y76" s="583">
        <v>0</v>
      </c>
      <c r="Z76" s="583">
        <v>0</v>
      </c>
      <c r="AA76" s="583">
        <v>0</v>
      </c>
      <c r="AB76" s="583">
        <v>0</v>
      </c>
      <c r="AC76" s="583">
        <v>0</v>
      </c>
    </row>
    <row r="77" spans="1:29" ht="10.5">
      <c r="A77" s="582" t="s">
        <v>299</v>
      </c>
      <c r="B77" s="583">
        <v>31</v>
      </c>
      <c r="C77" s="583">
        <v>25</v>
      </c>
      <c r="D77" s="585">
        <v>12</v>
      </c>
      <c r="E77" s="582" t="s">
        <v>299</v>
      </c>
      <c r="F77" s="583" t="s">
        <v>240</v>
      </c>
      <c r="G77" s="583">
        <v>0</v>
      </c>
      <c r="H77" s="583">
        <v>0</v>
      </c>
      <c r="I77" s="583">
        <v>0</v>
      </c>
      <c r="J77" s="583">
        <v>4</v>
      </c>
      <c r="K77" s="583">
        <v>5</v>
      </c>
      <c r="L77" s="583">
        <v>6</v>
      </c>
      <c r="M77" s="583">
        <v>7</v>
      </c>
      <c r="N77" s="583">
        <v>9</v>
      </c>
      <c r="O77" s="583">
        <v>10</v>
      </c>
      <c r="P77" s="583">
        <v>13</v>
      </c>
      <c r="Q77" s="583">
        <v>15</v>
      </c>
      <c r="R77" s="583">
        <v>16</v>
      </c>
      <c r="S77" s="583">
        <v>0</v>
      </c>
      <c r="T77" s="583">
        <v>0</v>
      </c>
      <c r="U77" s="583">
        <v>0</v>
      </c>
      <c r="V77" s="583">
        <v>0</v>
      </c>
      <c r="W77" s="583">
        <v>0</v>
      </c>
      <c r="X77" s="583">
        <v>0</v>
      </c>
      <c r="Y77" s="583">
        <v>0</v>
      </c>
      <c r="Z77" s="583">
        <v>0</v>
      </c>
      <c r="AA77" s="583">
        <v>0</v>
      </c>
      <c r="AB77" s="583">
        <v>0</v>
      </c>
      <c r="AC77" s="583">
        <v>0</v>
      </c>
    </row>
    <row r="78" spans="1:29" ht="10.5">
      <c r="A78" s="582" t="s">
        <v>300</v>
      </c>
      <c r="B78" s="582">
        <v>32</v>
      </c>
      <c r="C78" s="582">
        <v>3</v>
      </c>
      <c r="D78" s="582">
        <v>9</v>
      </c>
      <c r="E78" s="582" t="s">
        <v>300</v>
      </c>
      <c r="F78" s="582" t="s">
        <v>264</v>
      </c>
      <c r="G78" s="582">
        <v>0</v>
      </c>
      <c r="H78" s="582">
        <v>0</v>
      </c>
      <c r="I78" s="582">
        <v>0</v>
      </c>
      <c r="J78" s="582">
        <v>4</v>
      </c>
      <c r="K78" s="582">
        <v>5</v>
      </c>
      <c r="L78" s="582">
        <v>7</v>
      </c>
      <c r="M78" s="582">
        <v>9</v>
      </c>
      <c r="N78" s="582">
        <v>10</v>
      </c>
      <c r="O78" s="582">
        <v>13</v>
      </c>
      <c r="P78" s="582">
        <v>14</v>
      </c>
      <c r="Q78" s="582">
        <v>21</v>
      </c>
      <c r="R78" s="582">
        <v>0</v>
      </c>
      <c r="S78" s="582">
        <v>0</v>
      </c>
      <c r="T78" s="582">
        <v>0</v>
      </c>
      <c r="U78" s="582">
        <v>0</v>
      </c>
      <c r="V78" s="582">
        <v>0</v>
      </c>
      <c r="W78" s="582">
        <v>0</v>
      </c>
      <c r="X78" s="582">
        <v>0</v>
      </c>
      <c r="Y78" s="582">
        <v>0</v>
      </c>
      <c r="Z78" s="582">
        <v>0</v>
      </c>
      <c r="AA78" s="582">
        <v>0</v>
      </c>
      <c r="AB78" s="582">
        <v>0</v>
      </c>
      <c r="AC78" s="582">
        <v>0</v>
      </c>
    </row>
    <row r="79" spans="1:29" ht="10.5">
      <c r="A79" s="582" t="s">
        <v>301</v>
      </c>
      <c r="B79" s="582">
        <v>32</v>
      </c>
      <c r="C79" s="582">
        <v>3</v>
      </c>
      <c r="D79" s="582">
        <v>9</v>
      </c>
      <c r="E79" s="582" t="s">
        <v>301</v>
      </c>
      <c r="F79" s="582" t="s">
        <v>266</v>
      </c>
      <c r="G79" s="582">
        <v>0</v>
      </c>
      <c r="H79" s="582">
        <v>0</v>
      </c>
      <c r="I79" s="582">
        <v>0</v>
      </c>
      <c r="J79" s="582">
        <v>4</v>
      </c>
      <c r="K79" s="582">
        <v>5</v>
      </c>
      <c r="L79" s="582">
        <v>7</v>
      </c>
      <c r="M79" s="582">
        <v>9</v>
      </c>
      <c r="N79" s="582">
        <v>10</v>
      </c>
      <c r="O79" s="582">
        <v>13</v>
      </c>
      <c r="P79" s="582">
        <v>14</v>
      </c>
      <c r="Q79" s="582">
        <v>21</v>
      </c>
      <c r="R79" s="582">
        <v>0</v>
      </c>
      <c r="S79" s="582">
        <v>0</v>
      </c>
      <c r="T79" s="582">
        <v>0</v>
      </c>
      <c r="U79" s="582">
        <v>0</v>
      </c>
      <c r="V79" s="582">
        <v>0</v>
      </c>
      <c r="W79" s="582">
        <v>0</v>
      </c>
      <c r="X79" s="582">
        <v>0</v>
      </c>
      <c r="Y79" s="582">
        <v>0</v>
      </c>
      <c r="Z79" s="582">
        <v>0</v>
      </c>
      <c r="AA79" s="582">
        <v>0</v>
      </c>
      <c r="AB79" s="582">
        <v>0</v>
      </c>
      <c r="AC79" s="582">
        <v>0</v>
      </c>
    </row>
    <row r="80" spans="1:29" ht="10.5">
      <c r="A80" s="582" t="s">
        <v>302</v>
      </c>
      <c r="B80" s="582">
        <v>32</v>
      </c>
      <c r="C80" s="582">
        <v>4</v>
      </c>
      <c r="D80" s="582">
        <v>11</v>
      </c>
      <c r="E80" s="582" t="s">
        <v>302</v>
      </c>
      <c r="F80" s="582" t="s">
        <v>216</v>
      </c>
      <c r="G80" s="582">
        <v>0</v>
      </c>
      <c r="H80" s="582">
        <v>0</v>
      </c>
      <c r="I80" s="582">
        <v>0</v>
      </c>
      <c r="J80" s="582">
        <v>4</v>
      </c>
      <c r="K80" s="582">
        <v>5</v>
      </c>
      <c r="L80" s="582">
        <v>6</v>
      </c>
      <c r="M80" s="582">
        <v>7</v>
      </c>
      <c r="N80" s="582">
        <v>10</v>
      </c>
      <c r="O80" s="582">
        <v>11</v>
      </c>
      <c r="P80" s="582">
        <v>14</v>
      </c>
      <c r="Q80" s="582">
        <v>17</v>
      </c>
      <c r="R80" s="582">
        <v>28</v>
      </c>
      <c r="S80" s="582">
        <v>0</v>
      </c>
      <c r="T80" s="582">
        <v>0</v>
      </c>
      <c r="U80" s="582">
        <v>0</v>
      </c>
      <c r="V80" s="582">
        <v>0</v>
      </c>
      <c r="W80" s="582">
        <v>0</v>
      </c>
      <c r="X80" s="582">
        <v>0</v>
      </c>
      <c r="Y80" s="582">
        <v>0</v>
      </c>
      <c r="Z80" s="582">
        <v>0</v>
      </c>
      <c r="AA80" s="582">
        <v>0</v>
      </c>
      <c r="AB80" s="582">
        <v>0</v>
      </c>
      <c r="AC80" s="582">
        <v>0</v>
      </c>
    </row>
    <row r="81" spans="1:29" ht="10.5">
      <c r="A81" s="582" t="s">
        <v>302</v>
      </c>
      <c r="B81" s="582">
        <v>40</v>
      </c>
      <c r="C81" s="582">
        <v>4</v>
      </c>
      <c r="D81" s="582">
        <v>12</v>
      </c>
      <c r="E81" s="582" t="s">
        <v>302</v>
      </c>
      <c r="F81" s="582" t="s">
        <v>242</v>
      </c>
      <c r="G81" s="582">
        <v>0</v>
      </c>
      <c r="H81" s="582">
        <v>0</v>
      </c>
      <c r="I81" s="582">
        <v>0</v>
      </c>
      <c r="J81" s="582">
        <v>4</v>
      </c>
      <c r="K81" s="582">
        <v>5</v>
      </c>
      <c r="L81" s="582">
        <v>6</v>
      </c>
      <c r="M81" s="582">
        <v>8</v>
      </c>
      <c r="N81" s="582">
        <v>9</v>
      </c>
      <c r="O81" s="582">
        <v>10</v>
      </c>
      <c r="P81" s="582">
        <v>13</v>
      </c>
      <c r="Q81" s="582">
        <v>15</v>
      </c>
      <c r="R81" s="582">
        <v>16</v>
      </c>
      <c r="S81" s="582">
        <v>0</v>
      </c>
      <c r="T81" s="582">
        <v>0</v>
      </c>
      <c r="U81" s="582">
        <v>0</v>
      </c>
      <c r="V81" s="582">
        <v>0</v>
      </c>
      <c r="W81" s="582">
        <v>0</v>
      </c>
      <c r="X81" s="582">
        <v>0</v>
      </c>
      <c r="Y81" s="582">
        <v>0</v>
      </c>
      <c r="Z81" s="582">
        <v>0</v>
      </c>
      <c r="AA81" s="582">
        <v>0</v>
      </c>
      <c r="AB81" s="582">
        <v>0</v>
      </c>
      <c r="AC81" s="582">
        <v>0</v>
      </c>
    </row>
    <row r="82" spans="1:29" ht="10.5">
      <c r="A82" s="582" t="s">
        <v>303</v>
      </c>
      <c r="B82" s="582">
        <v>32</v>
      </c>
      <c r="C82" s="582">
        <v>4</v>
      </c>
      <c r="D82" s="582">
        <v>11</v>
      </c>
      <c r="E82" s="582" t="s">
        <v>303</v>
      </c>
      <c r="F82" s="582" t="s">
        <v>218</v>
      </c>
      <c r="G82" s="582">
        <v>0</v>
      </c>
      <c r="H82" s="582">
        <v>0</v>
      </c>
      <c r="I82" s="582">
        <v>0</v>
      </c>
      <c r="J82" s="582">
        <v>4</v>
      </c>
      <c r="K82" s="582">
        <v>5</v>
      </c>
      <c r="L82" s="582">
        <v>6</v>
      </c>
      <c r="M82" s="582">
        <v>7</v>
      </c>
      <c r="N82" s="582">
        <v>10</v>
      </c>
      <c r="O82" s="582">
        <v>11</v>
      </c>
      <c r="P82" s="582">
        <v>14</v>
      </c>
      <c r="Q82" s="582">
        <v>17</v>
      </c>
      <c r="R82" s="582">
        <v>28</v>
      </c>
      <c r="S82" s="582">
        <v>0</v>
      </c>
      <c r="T82" s="582">
        <v>0</v>
      </c>
      <c r="U82" s="582">
        <v>0</v>
      </c>
      <c r="V82" s="582">
        <v>0</v>
      </c>
      <c r="W82" s="582">
        <v>0</v>
      </c>
      <c r="X82" s="582">
        <v>0</v>
      </c>
      <c r="Y82" s="582">
        <v>0</v>
      </c>
      <c r="Z82" s="582">
        <v>0</v>
      </c>
      <c r="AA82" s="582">
        <v>0</v>
      </c>
      <c r="AB82" s="582">
        <v>0</v>
      </c>
      <c r="AC82" s="582">
        <v>0</v>
      </c>
    </row>
    <row r="83" spans="1:29" ht="10.5">
      <c r="A83" s="582" t="s">
        <v>303</v>
      </c>
      <c r="B83" s="582">
        <v>40</v>
      </c>
      <c r="C83" s="582">
        <v>4</v>
      </c>
      <c r="D83" s="582">
        <v>12</v>
      </c>
      <c r="E83" s="582" t="s">
        <v>303</v>
      </c>
      <c r="F83" s="582" t="s">
        <v>304</v>
      </c>
      <c r="G83" s="582">
        <v>0</v>
      </c>
      <c r="H83" s="582">
        <v>0</v>
      </c>
      <c r="I83" s="582">
        <v>0</v>
      </c>
      <c r="J83" s="582">
        <v>4</v>
      </c>
      <c r="K83" s="582">
        <v>5</v>
      </c>
      <c r="L83" s="582">
        <v>6</v>
      </c>
      <c r="M83" s="582">
        <v>8</v>
      </c>
      <c r="N83" s="582">
        <v>9</v>
      </c>
      <c r="O83" s="582">
        <v>10</v>
      </c>
      <c r="P83" s="582">
        <v>13</v>
      </c>
      <c r="Q83" s="582">
        <v>15</v>
      </c>
      <c r="R83" s="582">
        <v>16</v>
      </c>
      <c r="S83" s="582">
        <v>0</v>
      </c>
      <c r="T83" s="582">
        <v>0</v>
      </c>
      <c r="U83" s="582">
        <v>0</v>
      </c>
      <c r="V83" s="582">
        <v>0</v>
      </c>
      <c r="W83" s="582">
        <v>0</v>
      </c>
      <c r="X83" s="582">
        <v>0</v>
      </c>
      <c r="Y83" s="582">
        <v>0</v>
      </c>
      <c r="Z83" s="582">
        <v>0</v>
      </c>
      <c r="AA83" s="582">
        <v>0</v>
      </c>
      <c r="AB83" s="582">
        <v>0</v>
      </c>
      <c r="AC83" s="582">
        <v>0</v>
      </c>
    </row>
    <row r="84" spans="1:29" ht="10.5">
      <c r="A84" s="582" t="s">
        <v>305</v>
      </c>
      <c r="B84" s="582">
        <v>32</v>
      </c>
      <c r="C84" s="582">
        <v>4</v>
      </c>
      <c r="D84" s="582">
        <v>11</v>
      </c>
      <c r="E84" s="582" t="s">
        <v>305</v>
      </c>
      <c r="F84" s="582" t="s">
        <v>220</v>
      </c>
      <c r="G84" s="582">
        <v>0</v>
      </c>
      <c r="H84" s="582">
        <v>0</v>
      </c>
      <c r="I84" s="582">
        <v>0</v>
      </c>
      <c r="J84" s="582">
        <v>4</v>
      </c>
      <c r="K84" s="582">
        <v>5</v>
      </c>
      <c r="L84" s="582">
        <v>6</v>
      </c>
      <c r="M84" s="582">
        <v>7</v>
      </c>
      <c r="N84" s="582">
        <v>10</v>
      </c>
      <c r="O84" s="582">
        <v>11</v>
      </c>
      <c r="P84" s="582">
        <v>14</v>
      </c>
      <c r="Q84" s="582">
        <v>17</v>
      </c>
      <c r="R84" s="582">
        <v>28</v>
      </c>
      <c r="S84" s="582">
        <v>0</v>
      </c>
      <c r="T84" s="582">
        <v>0</v>
      </c>
      <c r="U84" s="582">
        <v>0</v>
      </c>
      <c r="V84" s="582">
        <v>0</v>
      </c>
      <c r="W84" s="582">
        <v>0</v>
      </c>
      <c r="X84" s="582">
        <v>0</v>
      </c>
      <c r="Y84" s="582">
        <v>0</v>
      </c>
      <c r="Z84" s="582">
        <v>0</v>
      </c>
      <c r="AA84" s="582">
        <v>0</v>
      </c>
      <c r="AB84" s="582">
        <v>0</v>
      </c>
      <c r="AC84" s="582">
        <v>0</v>
      </c>
    </row>
    <row r="85" spans="1:29" ht="10.5">
      <c r="A85" s="582" t="s">
        <v>305</v>
      </c>
      <c r="B85" s="582">
        <v>40</v>
      </c>
      <c r="C85" s="582">
        <v>4</v>
      </c>
      <c r="D85" s="582">
        <v>12</v>
      </c>
      <c r="E85" s="582" t="s">
        <v>305</v>
      </c>
      <c r="F85" s="582" t="s">
        <v>244</v>
      </c>
      <c r="G85" s="582">
        <v>0</v>
      </c>
      <c r="H85" s="582">
        <v>0</v>
      </c>
      <c r="I85" s="582">
        <v>0</v>
      </c>
      <c r="J85" s="582">
        <v>4</v>
      </c>
      <c r="K85" s="582">
        <v>5</v>
      </c>
      <c r="L85" s="582">
        <v>6</v>
      </c>
      <c r="M85" s="582">
        <v>8</v>
      </c>
      <c r="N85" s="582">
        <v>9</v>
      </c>
      <c r="O85" s="582">
        <v>10</v>
      </c>
      <c r="P85" s="582">
        <v>13</v>
      </c>
      <c r="Q85" s="582">
        <v>15</v>
      </c>
      <c r="R85" s="582">
        <v>16</v>
      </c>
      <c r="S85" s="582">
        <v>0</v>
      </c>
      <c r="T85" s="582">
        <v>0</v>
      </c>
      <c r="U85" s="582">
        <v>0</v>
      </c>
      <c r="V85" s="582">
        <v>0</v>
      </c>
      <c r="W85" s="582">
        <v>0</v>
      </c>
      <c r="X85" s="582">
        <v>0</v>
      </c>
      <c r="Y85" s="582">
        <v>0</v>
      </c>
      <c r="Z85" s="582">
        <v>0</v>
      </c>
      <c r="AA85" s="582">
        <v>0</v>
      </c>
      <c r="AB85" s="582">
        <v>0</v>
      </c>
      <c r="AC85" s="582">
        <v>0</v>
      </c>
    </row>
    <row r="86" spans="1:29" ht="10.5">
      <c r="A86" s="582" t="s">
        <v>306</v>
      </c>
      <c r="B86" s="582">
        <v>32</v>
      </c>
      <c r="C86" s="582">
        <v>4</v>
      </c>
      <c r="D86" s="582">
        <v>11</v>
      </c>
      <c r="E86" s="582" t="s">
        <v>306</v>
      </c>
      <c r="F86" s="582" t="s">
        <v>222</v>
      </c>
      <c r="G86" s="582">
        <v>0</v>
      </c>
      <c r="H86" s="582">
        <v>0</v>
      </c>
      <c r="I86" s="582">
        <v>0</v>
      </c>
      <c r="J86" s="582">
        <v>4</v>
      </c>
      <c r="K86" s="582">
        <v>5</v>
      </c>
      <c r="L86" s="582">
        <v>6</v>
      </c>
      <c r="M86" s="582">
        <v>7</v>
      </c>
      <c r="N86" s="582">
        <v>10</v>
      </c>
      <c r="O86" s="582">
        <v>11</v>
      </c>
      <c r="P86" s="582">
        <v>14</v>
      </c>
      <c r="Q86" s="582">
        <v>17</v>
      </c>
      <c r="R86" s="582">
        <v>28</v>
      </c>
      <c r="S86" s="582">
        <v>0</v>
      </c>
      <c r="T86" s="582">
        <v>0</v>
      </c>
      <c r="U86" s="582">
        <v>0</v>
      </c>
      <c r="V86" s="582">
        <v>0</v>
      </c>
      <c r="W86" s="582">
        <v>0</v>
      </c>
      <c r="X86" s="582">
        <v>0</v>
      </c>
      <c r="Y86" s="582">
        <v>0</v>
      </c>
      <c r="Z86" s="582">
        <v>0</v>
      </c>
      <c r="AA86" s="582">
        <v>0</v>
      </c>
      <c r="AB86" s="582">
        <v>0</v>
      </c>
      <c r="AC86" s="582">
        <v>0</v>
      </c>
    </row>
    <row r="87" spans="1:29" ht="10.5">
      <c r="A87" s="582" t="s">
        <v>306</v>
      </c>
      <c r="B87" s="582">
        <v>40</v>
      </c>
      <c r="C87" s="582">
        <v>4</v>
      </c>
      <c r="D87" s="582">
        <v>12</v>
      </c>
      <c r="E87" s="582" t="s">
        <v>306</v>
      </c>
      <c r="F87" s="582" t="s">
        <v>246</v>
      </c>
      <c r="G87" s="582">
        <v>0</v>
      </c>
      <c r="H87" s="582">
        <v>0</v>
      </c>
      <c r="I87" s="582">
        <v>0</v>
      </c>
      <c r="J87" s="582">
        <v>4</v>
      </c>
      <c r="K87" s="582">
        <v>5</v>
      </c>
      <c r="L87" s="582">
        <v>6</v>
      </c>
      <c r="M87" s="582">
        <v>8</v>
      </c>
      <c r="N87" s="582">
        <v>9</v>
      </c>
      <c r="O87" s="582">
        <v>10</v>
      </c>
      <c r="P87" s="582">
        <v>13</v>
      </c>
      <c r="Q87" s="582">
        <v>15</v>
      </c>
      <c r="R87" s="582">
        <v>16</v>
      </c>
      <c r="S87" s="582">
        <v>0</v>
      </c>
      <c r="T87" s="582">
        <v>0</v>
      </c>
      <c r="U87" s="582">
        <v>0</v>
      </c>
      <c r="V87" s="582">
        <v>0</v>
      </c>
      <c r="W87" s="582">
        <v>0</v>
      </c>
      <c r="X87" s="582">
        <v>0</v>
      </c>
      <c r="Y87" s="582">
        <v>0</v>
      </c>
      <c r="Z87" s="582">
        <v>0</v>
      </c>
      <c r="AA87" s="582">
        <v>0</v>
      </c>
      <c r="AB87" s="582">
        <v>0</v>
      </c>
      <c r="AC87" s="582">
        <v>0</v>
      </c>
    </row>
    <row r="88" spans="1:29" ht="10.5">
      <c r="A88" s="582" t="s">
        <v>307</v>
      </c>
      <c r="B88" s="582">
        <v>32</v>
      </c>
      <c r="C88" s="582">
        <v>4</v>
      </c>
      <c r="D88" s="582">
        <v>11</v>
      </c>
      <c r="E88" s="582" t="s">
        <v>307</v>
      </c>
      <c r="F88" s="582" t="s">
        <v>224</v>
      </c>
      <c r="G88" s="582">
        <v>0</v>
      </c>
      <c r="H88" s="582">
        <v>0</v>
      </c>
      <c r="I88" s="582">
        <v>0</v>
      </c>
      <c r="J88" s="582">
        <v>4</v>
      </c>
      <c r="K88" s="582">
        <v>5</v>
      </c>
      <c r="L88" s="582">
        <v>6</v>
      </c>
      <c r="M88" s="582">
        <v>7</v>
      </c>
      <c r="N88" s="582">
        <v>10</v>
      </c>
      <c r="O88" s="582">
        <v>11</v>
      </c>
      <c r="P88" s="582">
        <v>14</v>
      </c>
      <c r="Q88" s="582">
        <v>17</v>
      </c>
      <c r="R88" s="582">
        <v>28</v>
      </c>
      <c r="S88" s="582">
        <v>0</v>
      </c>
      <c r="T88" s="582">
        <v>0</v>
      </c>
      <c r="U88" s="582">
        <v>0</v>
      </c>
      <c r="V88" s="582">
        <v>0</v>
      </c>
      <c r="W88" s="582">
        <v>0</v>
      </c>
      <c r="X88" s="582">
        <v>0</v>
      </c>
      <c r="Y88" s="582">
        <v>0</v>
      </c>
      <c r="Z88" s="582">
        <v>0</v>
      </c>
      <c r="AA88" s="582">
        <v>0</v>
      </c>
      <c r="AB88" s="582">
        <v>0</v>
      </c>
      <c r="AC88" s="582">
        <v>0</v>
      </c>
    </row>
    <row r="89" spans="1:29" ht="10.5">
      <c r="A89" s="582" t="s">
        <v>307</v>
      </c>
      <c r="B89" s="582">
        <v>40</v>
      </c>
      <c r="C89" s="582">
        <v>4</v>
      </c>
      <c r="D89" s="586">
        <v>12</v>
      </c>
      <c r="E89" s="582" t="s">
        <v>307</v>
      </c>
      <c r="F89" s="582" t="s">
        <v>250</v>
      </c>
      <c r="G89" s="582">
        <v>0</v>
      </c>
      <c r="H89" s="582">
        <v>0</v>
      </c>
      <c r="I89" s="582">
        <v>0</v>
      </c>
      <c r="J89" s="582">
        <v>4</v>
      </c>
      <c r="K89" s="582">
        <v>5</v>
      </c>
      <c r="L89" s="582">
        <v>6</v>
      </c>
      <c r="M89" s="582">
        <v>8</v>
      </c>
      <c r="N89" s="582">
        <v>9</v>
      </c>
      <c r="O89" s="582">
        <v>10</v>
      </c>
      <c r="P89" s="582">
        <v>13</v>
      </c>
      <c r="Q89" s="582">
        <v>15</v>
      </c>
      <c r="R89" s="582">
        <v>16</v>
      </c>
      <c r="S89" s="582">
        <v>0</v>
      </c>
      <c r="T89" s="582">
        <v>0</v>
      </c>
      <c r="U89" s="582">
        <v>0</v>
      </c>
      <c r="V89" s="582">
        <v>0</v>
      </c>
      <c r="W89" s="582">
        <v>0</v>
      </c>
      <c r="X89" s="582">
        <v>0</v>
      </c>
      <c r="Y89" s="582">
        <v>0</v>
      </c>
      <c r="Z89" s="582">
        <v>0</v>
      </c>
      <c r="AA89" s="582">
        <v>0</v>
      </c>
      <c r="AB89" s="582">
        <v>0</v>
      </c>
      <c r="AC89" s="582">
        <v>0</v>
      </c>
    </row>
    <row r="90" spans="1:29" ht="10.5">
      <c r="A90" s="582" t="s">
        <v>308</v>
      </c>
      <c r="B90" s="582">
        <v>52</v>
      </c>
      <c r="C90" s="582">
        <v>10</v>
      </c>
      <c r="D90" s="586">
        <v>12</v>
      </c>
      <c r="E90" s="582" t="s">
        <v>308</v>
      </c>
      <c r="F90" s="582" t="s">
        <v>268</v>
      </c>
      <c r="G90" s="582">
        <v>0</v>
      </c>
      <c r="H90" s="582">
        <v>0</v>
      </c>
      <c r="I90" s="582">
        <v>0</v>
      </c>
      <c r="J90" s="583">
        <v>4</v>
      </c>
      <c r="K90" s="583">
        <v>5</v>
      </c>
      <c r="L90" s="583">
        <v>6</v>
      </c>
      <c r="M90" s="583">
        <v>10</v>
      </c>
      <c r="N90" s="583">
        <v>11</v>
      </c>
      <c r="O90" s="583">
        <v>14</v>
      </c>
      <c r="P90" s="583">
        <v>15</v>
      </c>
      <c r="Q90" s="583">
        <v>28</v>
      </c>
      <c r="R90" s="582">
        <v>0</v>
      </c>
      <c r="S90" s="582">
        <v>0</v>
      </c>
      <c r="T90" s="582">
        <v>0</v>
      </c>
      <c r="U90" s="582">
        <v>0</v>
      </c>
      <c r="V90" s="582">
        <v>0</v>
      </c>
      <c r="W90" s="582">
        <v>0</v>
      </c>
      <c r="X90" s="582">
        <v>0</v>
      </c>
      <c r="Y90" s="582">
        <v>0</v>
      </c>
      <c r="Z90" s="582">
        <v>0</v>
      </c>
      <c r="AA90" s="582">
        <v>0</v>
      </c>
      <c r="AB90" s="582">
        <v>0</v>
      </c>
      <c r="AC90" s="582">
        <v>0</v>
      </c>
    </row>
    <row r="91" spans="1:29" ht="10.5">
      <c r="A91" s="582" t="s">
        <v>308</v>
      </c>
      <c r="B91" s="582">
        <v>45</v>
      </c>
      <c r="C91" s="582">
        <v>2</v>
      </c>
      <c r="D91" s="586">
        <v>12</v>
      </c>
      <c r="E91" s="582" t="s">
        <v>308</v>
      </c>
      <c r="F91" s="582" t="s">
        <v>248</v>
      </c>
      <c r="G91" s="582">
        <v>0</v>
      </c>
      <c r="H91" s="582">
        <v>0</v>
      </c>
      <c r="I91" s="582">
        <v>0</v>
      </c>
      <c r="J91" s="582">
        <v>4</v>
      </c>
      <c r="K91" s="582">
        <v>5</v>
      </c>
      <c r="L91" s="582">
        <v>6</v>
      </c>
      <c r="M91" s="582">
        <v>8</v>
      </c>
      <c r="N91" s="582">
        <v>9</v>
      </c>
      <c r="O91" s="582">
        <v>10</v>
      </c>
      <c r="P91" s="582">
        <v>13</v>
      </c>
      <c r="Q91" s="582">
        <v>15</v>
      </c>
      <c r="R91" s="582">
        <v>16</v>
      </c>
      <c r="S91" s="582">
        <v>0</v>
      </c>
      <c r="T91" s="582">
        <v>0</v>
      </c>
      <c r="U91" s="582">
        <v>0</v>
      </c>
      <c r="V91" s="582">
        <v>0</v>
      </c>
      <c r="W91" s="582">
        <v>0</v>
      </c>
      <c r="X91" s="582">
        <v>0</v>
      </c>
      <c r="Y91" s="582">
        <v>0</v>
      </c>
      <c r="Z91" s="582">
        <v>0</v>
      </c>
      <c r="AA91" s="582">
        <v>0</v>
      </c>
      <c r="AB91" s="582">
        <v>0</v>
      </c>
      <c r="AC91" s="582">
        <v>0</v>
      </c>
    </row>
    <row r="92" spans="1:29" ht="10.5">
      <c r="A92" s="582" t="s">
        <v>308</v>
      </c>
      <c r="B92" s="582">
        <v>33</v>
      </c>
      <c r="C92" s="582">
        <v>7</v>
      </c>
      <c r="D92" s="582">
        <v>11</v>
      </c>
      <c r="E92" s="582" t="s">
        <v>308</v>
      </c>
      <c r="F92" s="582" t="s">
        <v>226</v>
      </c>
      <c r="G92" s="582">
        <v>0</v>
      </c>
      <c r="H92" s="582">
        <v>0</v>
      </c>
      <c r="I92" s="582">
        <v>0</v>
      </c>
      <c r="J92" s="582">
        <v>4</v>
      </c>
      <c r="K92" s="582">
        <v>5</v>
      </c>
      <c r="L92" s="582">
        <v>6</v>
      </c>
      <c r="M92" s="582">
        <v>7</v>
      </c>
      <c r="N92" s="582">
        <v>10</v>
      </c>
      <c r="O92" s="582">
        <v>11</v>
      </c>
      <c r="P92" s="582">
        <v>14</v>
      </c>
      <c r="Q92" s="582">
        <v>17</v>
      </c>
      <c r="R92" s="582">
        <v>28</v>
      </c>
      <c r="S92" s="582">
        <v>0</v>
      </c>
      <c r="T92" s="582">
        <v>0</v>
      </c>
      <c r="U92" s="582">
        <v>0</v>
      </c>
      <c r="V92" s="582">
        <v>0</v>
      </c>
      <c r="W92" s="582">
        <v>0</v>
      </c>
      <c r="X92" s="582">
        <v>0</v>
      </c>
      <c r="Y92" s="582">
        <v>0</v>
      </c>
      <c r="Z92" s="582">
        <v>0</v>
      </c>
      <c r="AA92" s="582">
        <v>0</v>
      </c>
      <c r="AB92" s="582">
        <v>0</v>
      </c>
      <c r="AC92" s="582">
        <v>0</v>
      </c>
    </row>
    <row r="93" spans="1:29" s="584" customFormat="1" ht="10.5">
      <c r="A93" s="582" t="s">
        <v>308</v>
      </c>
      <c r="B93" s="582">
        <v>67</v>
      </c>
      <c r="C93" s="582">
        <v>8</v>
      </c>
      <c r="D93" s="582">
        <v>11</v>
      </c>
      <c r="E93" s="582" t="s">
        <v>308</v>
      </c>
      <c r="F93" s="583" t="s">
        <v>294</v>
      </c>
      <c r="G93" s="582">
        <v>0</v>
      </c>
      <c r="H93" s="582">
        <v>0</v>
      </c>
      <c r="I93" s="582">
        <v>0</v>
      </c>
      <c r="J93" s="582">
        <v>4</v>
      </c>
      <c r="K93" s="582">
        <v>5</v>
      </c>
      <c r="L93" s="582">
        <v>6</v>
      </c>
      <c r="M93" s="582">
        <v>10</v>
      </c>
      <c r="N93" s="582">
        <v>11</v>
      </c>
      <c r="O93" s="582">
        <v>14</v>
      </c>
      <c r="P93" s="582">
        <v>16</v>
      </c>
      <c r="Q93" s="582">
        <v>28</v>
      </c>
      <c r="R93" s="582">
        <v>0</v>
      </c>
      <c r="S93" s="582">
        <v>0</v>
      </c>
      <c r="T93" s="582">
        <v>0</v>
      </c>
      <c r="U93" s="582">
        <v>0</v>
      </c>
      <c r="V93" s="582">
        <v>0</v>
      </c>
      <c r="W93" s="582">
        <v>0</v>
      </c>
      <c r="X93" s="582">
        <v>0</v>
      </c>
      <c r="Y93" s="582">
        <v>0</v>
      </c>
      <c r="Z93" s="582">
        <v>0</v>
      </c>
      <c r="AA93" s="582">
        <v>0</v>
      </c>
      <c r="AB93" s="582">
        <v>0</v>
      </c>
      <c r="AC93" s="582">
        <v>0</v>
      </c>
    </row>
    <row r="94" spans="1:29" ht="10.5">
      <c r="A94" s="582" t="s">
        <v>309</v>
      </c>
      <c r="B94" s="582">
        <v>52</v>
      </c>
      <c r="C94" s="582">
        <v>10</v>
      </c>
      <c r="D94" s="586">
        <v>12</v>
      </c>
      <c r="E94" s="582" t="s">
        <v>309</v>
      </c>
      <c r="F94" s="582" t="s">
        <v>274</v>
      </c>
      <c r="G94" s="582">
        <v>0</v>
      </c>
      <c r="H94" s="582">
        <v>0</v>
      </c>
      <c r="I94" s="582">
        <v>0</v>
      </c>
      <c r="J94" s="583">
        <v>4</v>
      </c>
      <c r="K94" s="583">
        <v>5</v>
      </c>
      <c r="L94" s="583">
        <v>6</v>
      </c>
      <c r="M94" s="583">
        <v>10</v>
      </c>
      <c r="N94" s="583">
        <v>11</v>
      </c>
      <c r="O94" s="583">
        <v>14</v>
      </c>
      <c r="P94" s="583">
        <v>15</v>
      </c>
      <c r="Q94" s="583">
        <v>28</v>
      </c>
      <c r="R94" s="582">
        <v>0</v>
      </c>
      <c r="S94" s="582">
        <v>0</v>
      </c>
      <c r="T94" s="582">
        <v>0</v>
      </c>
      <c r="U94" s="582">
        <v>0</v>
      </c>
      <c r="V94" s="582">
        <v>0</v>
      </c>
      <c r="W94" s="582">
        <v>0</v>
      </c>
      <c r="X94" s="582">
        <v>0</v>
      </c>
      <c r="Y94" s="582">
        <v>0</v>
      </c>
      <c r="Z94" s="582">
        <v>0</v>
      </c>
      <c r="AA94" s="582">
        <v>0</v>
      </c>
      <c r="AB94" s="582">
        <v>0</v>
      </c>
      <c r="AC94" s="582">
        <v>0</v>
      </c>
    </row>
    <row r="95" spans="1:29" ht="10.5">
      <c r="A95" s="582" t="s">
        <v>309</v>
      </c>
      <c r="B95" s="582">
        <v>45</v>
      </c>
      <c r="C95" s="582">
        <v>2</v>
      </c>
      <c r="D95" s="586">
        <v>12</v>
      </c>
      <c r="E95" s="582" t="s">
        <v>309</v>
      </c>
      <c r="F95" s="582" t="s">
        <v>236</v>
      </c>
      <c r="G95" s="582">
        <v>0</v>
      </c>
      <c r="H95" s="582">
        <v>0</v>
      </c>
      <c r="I95" s="582">
        <v>0</v>
      </c>
      <c r="J95" s="582">
        <v>4</v>
      </c>
      <c r="K95" s="582">
        <v>5</v>
      </c>
      <c r="L95" s="582">
        <v>6</v>
      </c>
      <c r="M95" s="582">
        <v>8</v>
      </c>
      <c r="N95" s="582">
        <v>9</v>
      </c>
      <c r="O95" s="582">
        <v>10</v>
      </c>
      <c r="P95" s="582">
        <v>13</v>
      </c>
      <c r="Q95" s="582">
        <v>15</v>
      </c>
      <c r="R95" s="582">
        <v>16</v>
      </c>
      <c r="S95" s="582">
        <v>0</v>
      </c>
      <c r="T95" s="582">
        <v>0</v>
      </c>
      <c r="U95" s="582">
        <v>0</v>
      </c>
      <c r="V95" s="582">
        <v>0</v>
      </c>
      <c r="W95" s="582">
        <v>0</v>
      </c>
      <c r="X95" s="582">
        <v>0</v>
      </c>
      <c r="Y95" s="582">
        <v>0</v>
      </c>
      <c r="Z95" s="582">
        <v>0</v>
      </c>
      <c r="AA95" s="582">
        <v>0</v>
      </c>
      <c r="AB95" s="582">
        <v>0</v>
      </c>
      <c r="AC95" s="582">
        <v>0</v>
      </c>
    </row>
    <row r="96" spans="1:29" ht="10.5">
      <c r="A96" s="582" t="s">
        <v>309</v>
      </c>
      <c r="B96" s="582">
        <v>33</v>
      </c>
      <c r="C96" s="582">
        <v>7</v>
      </c>
      <c r="D96" s="582">
        <v>11</v>
      </c>
      <c r="E96" s="582" t="s">
        <v>309</v>
      </c>
      <c r="F96" s="582" t="s">
        <v>212</v>
      </c>
      <c r="G96" s="582">
        <v>0</v>
      </c>
      <c r="H96" s="582">
        <v>0</v>
      </c>
      <c r="I96" s="582">
        <v>0</v>
      </c>
      <c r="J96" s="582">
        <v>4</v>
      </c>
      <c r="K96" s="582">
        <v>5</v>
      </c>
      <c r="L96" s="582">
        <v>6</v>
      </c>
      <c r="M96" s="582">
        <v>7</v>
      </c>
      <c r="N96" s="582">
        <v>10</v>
      </c>
      <c r="O96" s="582">
        <v>11</v>
      </c>
      <c r="P96" s="582">
        <v>14</v>
      </c>
      <c r="Q96" s="582">
        <v>17</v>
      </c>
      <c r="R96" s="582">
        <v>28</v>
      </c>
      <c r="S96" s="582">
        <v>0</v>
      </c>
      <c r="T96" s="582">
        <v>0</v>
      </c>
      <c r="U96" s="582">
        <v>0</v>
      </c>
      <c r="V96" s="582">
        <v>0</v>
      </c>
      <c r="W96" s="582">
        <v>0</v>
      </c>
      <c r="X96" s="582">
        <v>0</v>
      </c>
      <c r="Y96" s="582">
        <v>0</v>
      </c>
      <c r="Z96" s="582">
        <v>0</v>
      </c>
      <c r="AA96" s="582">
        <v>0</v>
      </c>
      <c r="AB96" s="582">
        <v>0</v>
      </c>
      <c r="AC96" s="582">
        <v>0</v>
      </c>
    </row>
    <row r="97" spans="1:29" s="584" customFormat="1" ht="10.5">
      <c r="A97" s="582" t="s">
        <v>309</v>
      </c>
      <c r="B97" s="582">
        <v>67</v>
      </c>
      <c r="C97" s="582">
        <v>8</v>
      </c>
      <c r="D97" s="582">
        <v>11</v>
      </c>
      <c r="E97" s="582" t="s">
        <v>309</v>
      </c>
      <c r="F97" s="583" t="s">
        <v>290</v>
      </c>
      <c r="G97" s="582">
        <v>0</v>
      </c>
      <c r="H97" s="582">
        <v>0</v>
      </c>
      <c r="I97" s="582">
        <v>0</v>
      </c>
      <c r="J97" s="582">
        <v>4</v>
      </c>
      <c r="K97" s="582">
        <v>5</v>
      </c>
      <c r="L97" s="582">
        <v>6</v>
      </c>
      <c r="M97" s="582">
        <v>10</v>
      </c>
      <c r="N97" s="582">
        <v>11</v>
      </c>
      <c r="O97" s="582">
        <v>14</v>
      </c>
      <c r="P97" s="582">
        <v>16</v>
      </c>
      <c r="Q97" s="582">
        <v>28</v>
      </c>
      <c r="R97" s="582">
        <v>0</v>
      </c>
      <c r="S97" s="582">
        <v>0</v>
      </c>
      <c r="T97" s="582">
        <v>0</v>
      </c>
      <c r="U97" s="582">
        <v>0</v>
      </c>
      <c r="V97" s="582">
        <v>0</v>
      </c>
      <c r="W97" s="582">
        <v>0</v>
      </c>
      <c r="X97" s="582">
        <v>0</v>
      </c>
      <c r="Y97" s="582">
        <v>0</v>
      </c>
      <c r="Z97" s="582">
        <v>0</v>
      </c>
      <c r="AA97" s="582">
        <v>0</v>
      </c>
      <c r="AB97" s="582">
        <v>0</v>
      </c>
      <c r="AC97" s="582">
        <v>0</v>
      </c>
    </row>
    <row r="98" spans="1:29" ht="10.5">
      <c r="A98" s="582" t="s">
        <v>310</v>
      </c>
      <c r="B98" s="582">
        <v>32</v>
      </c>
      <c r="C98" s="582">
        <v>4</v>
      </c>
      <c r="D98" s="582">
        <v>11</v>
      </c>
      <c r="E98" s="582" t="s">
        <v>310</v>
      </c>
      <c r="F98" s="582" t="s">
        <v>228</v>
      </c>
      <c r="G98" s="582">
        <v>0</v>
      </c>
      <c r="H98" s="582">
        <v>0</v>
      </c>
      <c r="I98" s="582">
        <v>0</v>
      </c>
      <c r="J98" s="582">
        <v>4</v>
      </c>
      <c r="K98" s="582">
        <v>5</v>
      </c>
      <c r="L98" s="582">
        <v>6</v>
      </c>
      <c r="M98" s="582">
        <v>7</v>
      </c>
      <c r="N98" s="582">
        <v>10</v>
      </c>
      <c r="O98" s="582">
        <v>11</v>
      </c>
      <c r="P98" s="582">
        <v>14</v>
      </c>
      <c r="Q98" s="582">
        <v>17</v>
      </c>
      <c r="R98" s="582">
        <v>28</v>
      </c>
      <c r="S98" s="582">
        <v>0</v>
      </c>
      <c r="T98" s="582">
        <v>0</v>
      </c>
      <c r="U98" s="582">
        <v>0</v>
      </c>
      <c r="V98" s="582">
        <v>0</v>
      </c>
      <c r="W98" s="582">
        <v>0</v>
      </c>
      <c r="X98" s="582">
        <v>0</v>
      </c>
      <c r="Y98" s="582">
        <v>0</v>
      </c>
      <c r="Z98" s="582">
        <v>0</v>
      </c>
      <c r="AA98" s="582">
        <v>0</v>
      </c>
      <c r="AB98" s="582">
        <v>0</v>
      </c>
      <c r="AC98" s="582">
        <v>0</v>
      </c>
    </row>
    <row r="99" spans="1:29" ht="10.5">
      <c r="A99" s="582" t="s">
        <v>311</v>
      </c>
      <c r="B99" s="582">
        <v>40</v>
      </c>
      <c r="C99" s="582">
        <v>4</v>
      </c>
      <c r="D99" s="582">
        <v>12</v>
      </c>
      <c r="E99" s="582" t="s">
        <v>311</v>
      </c>
      <c r="F99" s="582" t="s">
        <v>252</v>
      </c>
      <c r="G99" s="582">
        <v>0</v>
      </c>
      <c r="H99" s="582">
        <v>0</v>
      </c>
      <c r="I99" s="582">
        <v>0</v>
      </c>
      <c r="J99" s="582">
        <v>4</v>
      </c>
      <c r="K99" s="582">
        <v>5</v>
      </c>
      <c r="L99" s="582">
        <v>6</v>
      </c>
      <c r="M99" s="582">
        <v>8</v>
      </c>
      <c r="N99" s="582">
        <v>9</v>
      </c>
      <c r="O99" s="582">
        <v>10</v>
      </c>
      <c r="P99" s="582">
        <v>13</v>
      </c>
      <c r="Q99" s="582">
        <v>15</v>
      </c>
      <c r="R99" s="582">
        <v>16</v>
      </c>
      <c r="S99" s="582">
        <v>0</v>
      </c>
      <c r="T99" s="582">
        <v>0</v>
      </c>
      <c r="U99" s="582">
        <v>0</v>
      </c>
      <c r="V99" s="582">
        <v>0</v>
      </c>
      <c r="W99" s="582">
        <v>0</v>
      </c>
      <c r="X99" s="582">
        <v>0</v>
      </c>
      <c r="Y99" s="582">
        <v>0</v>
      </c>
      <c r="Z99" s="582">
        <v>0</v>
      </c>
      <c r="AA99" s="582">
        <v>0</v>
      </c>
      <c r="AB99" s="582">
        <v>0</v>
      </c>
      <c r="AC99" s="582">
        <v>0</v>
      </c>
    </row>
    <row r="100" spans="1:29" ht="10.5">
      <c r="A100" s="582" t="s">
        <v>312</v>
      </c>
      <c r="B100" s="582">
        <v>19</v>
      </c>
      <c r="C100" s="582">
        <v>24</v>
      </c>
      <c r="D100" s="586">
        <v>4</v>
      </c>
      <c r="E100" s="582" t="str">
        <f>"CAUSAS-VST-"&amp;$G$14</f>
        <v>CAUSAS-VST-06</v>
      </c>
      <c r="F100" s="582" t="s">
        <v>313</v>
      </c>
      <c r="G100" s="582">
        <v>3</v>
      </c>
      <c r="H100" s="582">
        <v>4</v>
      </c>
      <c r="I100" s="582">
        <v>5</v>
      </c>
      <c r="J100" s="582">
        <v>6</v>
      </c>
      <c r="K100" s="582">
        <v>7</v>
      </c>
      <c r="L100" s="582">
        <v>0</v>
      </c>
      <c r="M100" s="582">
        <v>0</v>
      </c>
      <c r="N100" s="582">
        <v>0</v>
      </c>
      <c r="O100" s="582">
        <v>0</v>
      </c>
      <c r="P100" s="582">
        <v>0</v>
      </c>
      <c r="Q100" s="582">
        <v>0</v>
      </c>
      <c r="R100" s="582">
        <v>0</v>
      </c>
      <c r="S100" s="582">
        <v>0</v>
      </c>
      <c r="T100" s="582">
        <v>0</v>
      </c>
      <c r="U100" s="582">
        <v>0</v>
      </c>
      <c r="V100" s="582">
        <v>0</v>
      </c>
      <c r="W100" s="582">
        <v>999</v>
      </c>
      <c r="X100" s="582">
        <v>999</v>
      </c>
      <c r="Y100" s="582">
        <v>0</v>
      </c>
      <c r="Z100" s="582">
        <v>0</v>
      </c>
      <c r="AA100" s="582">
        <v>0</v>
      </c>
      <c r="AB100" s="582">
        <v>0</v>
      </c>
      <c r="AC100" s="582">
        <v>0</v>
      </c>
    </row>
    <row r="101" spans="1:29" ht="10.5">
      <c r="A101" s="587"/>
      <c r="B101" s="587">
        <v>30</v>
      </c>
      <c r="C101" s="587">
        <v>10</v>
      </c>
      <c r="D101" s="588">
        <v>11</v>
      </c>
      <c r="E101" s="587" t="s">
        <v>314</v>
      </c>
      <c r="F101" s="589" t="s">
        <v>315</v>
      </c>
      <c r="G101" s="587">
        <v>3</v>
      </c>
      <c r="H101" s="587">
        <v>5</v>
      </c>
      <c r="I101" s="589">
        <v>0</v>
      </c>
      <c r="J101" s="589">
        <v>4</v>
      </c>
      <c r="K101" s="589">
        <v>5</v>
      </c>
      <c r="L101" s="589">
        <v>6</v>
      </c>
      <c r="M101" s="589">
        <v>8</v>
      </c>
      <c r="N101" s="589">
        <v>9</v>
      </c>
      <c r="O101" s="589">
        <v>10</v>
      </c>
      <c r="P101" s="589">
        <v>13</v>
      </c>
      <c r="Q101" s="589">
        <v>15</v>
      </c>
      <c r="R101" s="589">
        <v>16</v>
      </c>
      <c r="S101" s="589">
        <v>0</v>
      </c>
      <c r="T101" s="589">
        <v>0</v>
      </c>
      <c r="U101" s="589">
        <v>0</v>
      </c>
      <c r="V101" s="589">
        <v>0</v>
      </c>
      <c r="W101" s="587">
        <v>0</v>
      </c>
      <c r="X101" s="587">
        <v>0</v>
      </c>
      <c r="Y101" s="587">
        <v>0</v>
      </c>
      <c r="Z101" s="587">
        <v>0</v>
      </c>
      <c r="AA101" s="587">
        <v>0</v>
      </c>
      <c r="AB101" s="587">
        <v>0</v>
      </c>
      <c r="AC101" s="587">
        <v>0</v>
      </c>
    </row>
    <row r="104" spans="6:9" ht="12.75">
      <c r="F104" s="590"/>
      <c r="G104" s="590"/>
      <c r="H104" s="590"/>
      <c r="I104" s="590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6" r:id="rId1"/>
  <headerFooter alignWithMargins="0">
    <oddFooter>&amp;L&amp;"Times New Roman,Normal"&amp;5&amp;F  - TRANSPORTE de ENERGÍA ELÉCTRICA - PJL - JI -JM -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zoomScale="60" zoomScaleNormal="60" zoomScalePageLayoutView="0" workbookViewId="0" topLeftCell="A1">
      <selection activeCell="A6" sqref="A6"/>
    </sheetView>
  </sheetViews>
  <sheetFormatPr defaultColWidth="11.421875" defaultRowHeight="12.75"/>
  <cols>
    <col min="1" max="1" width="23.57421875" style="2681" customWidth="1"/>
    <col min="2" max="2" width="15.7109375" style="2681" customWidth="1"/>
    <col min="3" max="3" width="3.421875" style="2681" customWidth="1"/>
    <col min="4" max="4" width="3.57421875" style="2681" customWidth="1"/>
    <col min="5" max="5" width="4.7109375" style="2681" customWidth="1"/>
    <col min="6" max="6" width="31.57421875" style="2681" customWidth="1"/>
    <col min="7" max="7" width="5.8515625" style="2681" customWidth="1"/>
    <col min="8" max="8" width="7.28125" style="2681" bestFit="1" customWidth="1"/>
    <col min="9" max="9" width="3.7109375" style="2681" customWidth="1"/>
    <col min="10" max="10" width="9.28125" style="2681" hidden="1" customWidth="1"/>
    <col min="11" max="11" width="10.8515625" style="2681" hidden="1" customWidth="1"/>
    <col min="12" max="13" width="16.28125" style="2681" customWidth="1"/>
    <col min="14" max="14" width="7.140625" style="2685" customWidth="1"/>
    <col min="15" max="15" width="7.8515625" style="2681" customWidth="1"/>
    <col min="16" max="16" width="7.140625" style="2681" customWidth="1"/>
    <col min="17" max="17" width="6.57421875" style="2681" customWidth="1"/>
    <col min="18" max="18" width="5.421875" style="2681" customWidth="1"/>
    <col min="19" max="19" width="6.00390625" style="2681" bestFit="1" customWidth="1"/>
    <col min="20" max="20" width="17.140625" style="2681" hidden="1" customWidth="1"/>
    <col min="21" max="21" width="16.28125" style="2681" hidden="1" customWidth="1"/>
    <col min="22" max="22" width="13.7109375" style="2681" hidden="1" customWidth="1"/>
    <col min="23" max="23" width="13.28125" style="2686" customWidth="1"/>
    <col min="24" max="24" width="8.57421875" style="2681" customWidth="1"/>
    <col min="25" max="25" width="7.421875" style="2681" bestFit="1" customWidth="1"/>
    <col min="26" max="26" width="7.28125" style="2686" customWidth="1"/>
    <col min="27" max="31" width="15.140625" style="2686" customWidth="1"/>
    <col min="32" max="32" width="15.140625" style="2686" hidden="1" customWidth="1"/>
    <col min="33" max="38" width="15.140625" style="2681" hidden="1" customWidth="1"/>
    <col min="39" max="41" width="15.140625" style="2681" customWidth="1"/>
    <col min="42" max="42" width="3.140625" style="2681" customWidth="1"/>
    <col min="43" max="43" width="3.57421875" style="2681" customWidth="1"/>
    <col min="44" max="44" width="24.28125" style="2681" customWidth="1"/>
    <col min="45" max="45" width="4.7109375" style="2681" customWidth="1"/>
    <col min="46" max="46" width="7.57421875" style="2681" customWidth="1"/>
    <col min="47" max="48" width="4.140625" style="2681" customWidth="1"/>
    <col min="49" max="49" width="7.140625" style="2681" customWidth="1"/>
    <col min="50" max="50" width="5.28125" style="2681" customWidth="1"/>
    <col min="51" max="51" width="5.421875" style="2681" customWidth="1"/>
    <col min="52" max="52" width="4.7109375" style="2681" customWidth="1"/>
    <col min="53" max="53" width="5.28125" style="2681" customWidth="1"/>
    <col min="54" max="55" width="13.28125" style="2681" customWidth="1"/>
    <col min="56" max="56" width="6.57421875" style="2681" customWidth="1"/>
    <col min="57" max="57" width="6.421875" style="2681" customWidth="1"/>
    <col min="58" max="61" width="11.421875" style="2681" customWidth="1"/>
    <col min="62" max="62" width="12.7109375" style="2681" customWidth="1"/>
    <col min="63" max="65" width="11.421875" style="2681" customWidth="1"/>
    <col min="66" max="66" width="21.00390625" style="2681" customWidth="1"/>
    <col min="67" max="16384" width="11.421875" style="2681" customWidth="1"/>
  </cols>
  <sheetData>
    <row r="1" spans="1:40" s="2439" customFormat="1" ht="26.25">
      <c r="A1" s="2438"/>
      <c r="N1" s="2438"/>
      <c r="W1" s="2438"/>
      <c r="Z1" s="2438"/>
      <c r="AA1" s="2438"/>
      <c r="AB1" s="2438"/>
      <c r="AC1" s="2438"/>
      <c r="AD1" s="2438"/>
      <c r="AE1" s="2438"/>
      <c r="AF1" s="2438"/>
      <c r="AN1" s="2440"/>
    </row>
    <row r="2" spans="1:40" s="2439" customFormat="1" ht="26.25">
      <c r="A2" s="2438"/>
      <c r="B2" s="2441" t="str">
        <f>+'TOT-0614'!B2</f>
        <v>ANEXO I al Memorándum D.T.E.E. N°         347   / 2015</v>
      </c>
      <c r="C2" s="2441"/>
      <c r="D2" s="2441"/>
      <c r="E2" s="2441"/>
      <c r="F2" s="2441"/>
      <c r="G2" s="2441"/>
      <c r="H2" s="2441"/>
      <c r="I2" s="2441"/>
      <c r="J2" s="2441"/>
      <c r="K2" s="2441"/>
      <c r="L2" s="2441"/>
      <c r="M2" s="2441"/>
      <c r="N2" s="2442"/>
      <c r="O2" s="2441"/>
      <c r="P2" s="2441"/>
      <c r="Q2" s="2441"/>
      <c r="R2" s="2441"/>
      <c r="S2" s="2441"/>
      <c r="T2" s="2441"/>
      <c r="U2" s="2441"/>
      <c r="V2" s="2441"/>
      <c r="W2" s="2442"/>
      <c r="X2" s="2441"/>
      <c r="Y2" s="2441"/>
      <c r="Z2" s="2442"/>
      <c r="AA2" s="2442"/>
      <c r="AB2" s="2442"/>
      <c r="AC2" s="2442"/>
      <c r="AD2" s="2442"/>
      <c r="AE2" s="2442"/>
      <c r="AF2" s="2442"/>
      <c r="AG2" s="2441"/>
      <c r="AH2" s="2441"/>
      <c r="AI2" s="2441"/>
      <c r="AJ2" s="2441"/>
      <c r="AK2" s="2441"/>
      <c r="AL2" s="2441"/>
      <c r="AM2" s="2441"/>
      <c r="AN2" s="2441"/>
    </row>
    <row r="3" spans="1:32" s="2444" customFormat="1" ht="12.75">
      <c r="A3" s="2443"/>
      <c r="N3" s="2443"/>
      <c r="W3" s="2443"/>
      <c r="Z3" s="2443"/>
      <c r="AA3" s="2443"/>
      <c r="AB3" s="2443"/>
      <c r="AC3" s="2443"/>
      <c r="AD3" s="2443"/>
      <c r="AE3" s="2443"/>
      <c r="AF3" s="2443"/>
    </row>
    <row r="4" spans="1:32" s="2447" customFormat="1" ht="11.25">
      <c r="A4" s="2445" t="s">
        <v>2</v>
      </c>
      <c r="B4" s="2446"/>
      <c r="C4" s="2446"/>
      <c r="D4" s="2446"/>
      <c r="N4" s="2448"/>
      <c r="W4" s="2448"/>
      <c r="Z4" s="2448"/>
      <c r="AA4" s="2448"/>
      <c r="AB4" s="2448"/>
      <c r="AC4" s="2448"/>
      <c r="AD4" s="2448"/>
      <c r="AE4" s="2448"/>
      <c r="AF4" s="2448"/>
    </row>
    <row r="5" spans="1:32" s="2447" customFormat="1" ht="11.25">
      <c r="A5" s="2445" t="s">
        <v>3</v>
      </c>
      <c r="B5" s="2446"/>
      <c r="C5" s="2446"/>
      <c r="D5" s="2446"/>
      <c r="N5" s="2448"/>
      <c r="W5" s="2448"/>
      <c r="Z5" s="2448"/>
      <c r="AA5" s="2448"/>
      <c r="AB5" s="2448"/>
      <c r="AC5" s="2448"/>
      <c r="AD5" s="2448"/>
      <c r="AE5" s="2448"/>
      <c r="AF5" s="2448"/>
    </row>
    <row r="6" spans="1:32" s="2447" customFormat="1" ht="93" customHeight="1" thickBot="1">
      <c r="A6" s="2445"/>
      <c r="B6" s="2446"/>
      <c r="C6" s="2446"/>
      <c r="D6" s="2446"/>
      <c r="N6" s="2448"/>
      <c r="W6" s="2448"/>
      <c r="Z6" s="2448"/>
      <c r="AA6" s="2448"/>
      <c r="AB6" s="2448"/>
      <c r="AC6" s="2448"/>
      <c r="AD6" s="2448"/>
      <c r="AE6" s="2448"/>
      <c r="AF6" s="2448"/>
    </row>
    <row r="7" spans="2:40" s="2444" customFormat="1" ht="13.5" thickTop="1">
      <c r="B7" s="2449"/>
      <c r="C7" s="2450"/>
      <c r="D7" s="2450"/>
      <c r="E7" s="2450"/>
      <c r="F7" s="2450"/>
      <c r="G7" s="2451"/>
      <c r="H7" s="2450"/>
      <c r="I7" s="2450"/>
      <c r="J7" s="2450"/>
      <c r="K7" s="2450"/>
      <c r="L7" s="2450"/>
      <c r="M7" s="2450"/>
      <c r="N7" s="2452"/>
      <c r="O7" s="2450"/>
      <c r="P7" s="2450"/>
      <c r="Q7" s="2450"/>
      <c r="R7" s="2450"/>
      <c r="S7" s="2450"/>
      <c r="T7" s="2450"/>
      <c r="U7" s="2450"/>
      <c r="V7" s="2450"/>
      <c r="W7" s="2452"/>
      <c r="X7" s="2450"/>
      <c r="Y7" s="2450"/>
      <c r="Z7" s="2452"/>
      <c r="AA7" s="2452"/>
      <c r="AB7" s="2452"/>
      <c r="AC7" s="2452"/>
      <c r="AD7" s="2452"/>
      <c r="AE7" s="2452"/>
      <c r="AF7" s="2452"/>
      <c r="AG7" s="2450"/>
      <c r="AH7" s="2450"/>
      <c r="AI7" s="2450"/>
      <c r="AJ7" s="2450"/>
      <c r="AK7" s="2450"/>
      <c r="AL7" s="2450"/>
      <c r="AM7" s="2450"/>
      <c r="AN7" s="2453"/>
    </row>
    <row r="8" spans="2:40" s="2454" customFormat="1" ht="20.25">
      <c r="B8" s="2455"/>
      <c r="C8" s="2456"/>
      <c r="D8" s="2456"/>
      <c r="E8" s="2456"/>
      <c r="F8" s="2457" t="str">
        <f>+'TOT-0614'!B7</f>
        <v>SISTEMA DE TRANSPORTE DE ENERGÍA ELÉCTRICA EN ALTA TENSIÓN</v>
      </c>
      <c r="G8" s="2456"/>
      <c r="H8" s="2456"/>
      <c r="I8" s="2456"/>
      <c r="J8" s="2456"/>
      <c r="N8" s="2458"/>
      <c r="P8" s="2456"/>
      <c r="Q8" s="2456"/>
      <c r="R8" s="2459"/>
      <c r="S8" s="2459"/>
      <c r="T8" s="2456"/>
      <c r="U8" s="2456"/>
      <c r="V8" s="2456"/>
      <c r="W8" s="2460"/>
      <c r="X8" s="2456"/>
      <c r="Y8" s="2456"/>
      <c r="Z8" s="2460"/>
      <c r="AA8" s="2460"/>
      <c r="AB8" s="2460"/>
      <c r="AC8" s="2460"/>
      <c r="AD8" s="2460"/>
      <c r="AE8" s="2460"/>
      <c r="AF8" s="2460"/>
      <c r="AG8" s="2456"/>
      <c r="AH8" s="2456"/>
      <c r="AI8" s="2456"/>
      <c r="AJ8" s="2456"/>
      <c r="AK8" s="2456"/>
      <c r="AL8" s="2456"/>
      <c r="AM8" s="2456"/>
      <c r="AN8" s="2461"/>
    </row>
    <row r="9" spans="2:40" s="2444" customFormat="1" ht="12.75">
      <c r="B9" s="2462"/>
      <c r="C9" s="2463"/>
      <c r="D9" s="2463"/>
      <c r="E9" s="2463"/>
      <c r="F9" s="2463"/>
      <c r="G9" s="2463"/>
      <c r="H9" s="2463"/>
      <c r="I9" s="2463"/>
      <c r="J9" s="2463"/>
      <c r="K9" s="2463"/>
      <c r="L9" s="2463"/>
      <c r="M9" s="2463"/>
      <c r="N9" s="2464"/>
      <c r="O9" s="2463"/>
      <c r="P9" s="2463"/>
      <c r="Q9" s="2463"/>
      <c r="R9" s="2463"/>
      <c r="S9" s="2463"/>
      <c r="T9" s="2463"/>
      <c r="U9" s="2463"/>
      <c r="V9" s="2463"/>
      <c r="W9" s="2464"/>
      <c r="X9" s="2463"/>
      <c r="Y9" s="2463"/>
      <c r="Z9" s="2464"/>
      <c r="AA9" s="2464"/>
      <c r="AB9" s="2464"/>
      <c r="AC9" s="2464"/>
      <c r="AD9" s="2464"/>
      <c r="AE9" s="2464"/>
      <c r="AF9" s="2464"/>
      <c r="AG9" s="2463"/>
      <c r="AH9" s="2463"/>
      <c r="AI9" s="2463"/>
      <c r="AJ9" s="2463"/>
      <c r="AK9" s="2463"/>
      <c r="AL9" s="2463"/>
      <c r="AM9" s="2463"/>
      <c r="AN9" s="2465"/>
    </row>
    <row r="10" spans="2:40" s="2454" customFormat="1" ht="20.25">
      <c r="B10" s="2455"/>
      <c r="C10" s="2456"/>
      <c r="D10" s="2456"/>
      <c r="E10" s="2456"/>
      <c r="F10" s="2466" t="s">
        <v>483</v>
      </c>
      <c r="G10" s="2456"/>
      <c r="H10" s="2456"/>
      <c r="I10" s="2456"/>
      <c r="J10" s="2456"/>
      <c r="K10" s="2456"/>
      <c r="L10" s="2456"/>
      <c r="M10" s="2456"/>
      <c r="N10" s="2460"/>
      <c r="O10" s="2456"/>
      <c r="P10" s="2456"/>
      <c r="Q10" s="2456"/>
      <c r="R10" s="2456"/>
      <c r="S10" s="2456"/>
      <c r="T10" s="2456"/>
      <c r="U10" s="2456"/>
      <c r="V10" s="2456"/>
      <c r="W10" s="2460"/>
      <c r="X10" s="2456"/>
      <c r="Y10" s="2456"/>
      <c r="Z10" s="2460"/>
      <c r="AA10" s="2460"/>
      <c r="AB10" s="2460"/>
      <c r="AC10" s="2460"/>
      <c r="AD10" s="2460"/>
      <c r="AE10" s="2460"/>
      <c r="AF10" s="2460"/>
      <c r="AG10" s="2456"/>
      <c r="AH10" s="2456"/>
      <c r="AI10" s="2456"/>
      <c r="AJ10" s="2456"/>
      <c r="AK10" s="2456"/>
      <c r="AL10" s="2456"/>
      <c r="AM10" s="2456"/>
      <c r="AN10" s="2461"/>
    </row>
    <row r="11" spans="2:40" s="2444" customFormat="1" ht="12.75">
      <c r="B11" s="2462"/>
      <c r="C11" s="2463"/>
      <c r="D11" s="2463"/>
      <c r="E11" s="2463"/>
      <c r="F11" s="2463"/>
      <c r="G11" s="2463"/>
      <c r="H11" s="2463"/>
      <c r="I11" s="2463"/>
      <c r="J11" s="2463"/>
      <c r="K11" s="2463"/>
      <c r="L11" s="2463"/>
      <c r="M11" s="2463"/>
      <c r="N11" s="2464"/>
      <c r="O11" s="2463"/>
      <c r="P11" s="2463"/>
      <c r="Q11" s="2463"/>
      <c r="R11" s="2463"/>
      <c r="S11" s="2463"/>
      <c r="T11" s="2463"/>
      <c r="U11" s="2463"/>
      <c r="V11" s="2463"/>
      <c r="W11" s="2464"/>
      <c r="X11" s="2463"/>
      <c r="Y11" s="2463"/>
      <c r="Z11" s="2464"/>
      <c r="AA11" s="2464"/>
      <c r="AB11" s="2464"/>
      <c r="AC11" s="2464"/>
      <c r="AD11" s="2464"/>
      <c r="AE11" s="2464"/>
      <c r="AF11" s="2464"/>
      <c r="AG11" s="2463"/>
      <c r="AH11" s="2463"/>
      <c r="AI11" s="2463"/>
      <c r="AJ11" s="2463"/>
      <c r="AK11" s="2463"/>
      <c r="AL11" s="2463"/>
      <c r="AM11" s="2463"/>
      <c r="AN11" s="2465"/>
    </row>
    <row r="12" spans="2:40" s="2444" customFormat="1" ht="12.75">
      <c r="B12" s="2462"/>
      <c r="C12" s="2463"/>
      <c r="D12" s="2463"/>
      <c r="E12" s="2463"/>
      <c r="F12" s="2463"/>
      <c r="G12" s="2463"/>
      <c r="H12" s="2463"/>
      <c r="I12" s="2463"/>
      <c r="J12" s="2463"/>
      <c r="K12" s="2463"/>
      <c r="L12" s="2463"/>
      <c r="M12" s="2463"/>
      <c r="N12" s="2464"/>
      <c r="O12" s="2463"/>
      <c r="P12" s="2463"/>
      <c r="Q12" s="2463"/>
      <c r="R12" s="2463"/>
      <c r="S12" s="2463"/>
      <c r="T12" s="2463"/>
      <c r="U12" s="2463"/>
      <c r="V12" s="2463"/>
      <c r="W12" s="2464"/>
      <c r="X12" s="2463"/>
      <c r="Y12" s="2463"/>
      <c r="Z12" s="2464"/>
      <c r="AA12" s="2464"/>
      <c r="AB12" s="2464"/>
      <c r="AC12" s="2464"/>
      <c r="AD12" s="2464"/>
      <c r="AE12" s="2464"/>
      <c r="AF12" s="2464"/>
      <c r="AG12" s="2463"/>
      <c r="AH12" s="2463"/>
      <c r="AI12" s="2463"/>
      <c r="AJ12" s="2463"/>
      <c r="AK12" s="2463"/>
      <c r="AL12" s="2463"/>
      <c r="AM12" s="2463"/>
      <c r="AN12" s="2465"/>
    </row>
    <row r="13" spans="2:40" s="2467" customFormat="1" ht="19.5">
      <c r="B13" s="2468" t="str">
        <f>+'TOT-0614'!B14</f>
        <v>Desde el 01 al 30 de junio de 2014</v>
      </c>
      <c r="C13" s="2469"/>
      <c r="D13" s="2469"/>
      <c r="E13" s="2469"/>
      <c r="F13" s="2469"/>
      <c r="G13" s="2469"/>
      <c r="H13" s="2469"/>
      <c r="I13" s="2469"/>
      <c r="J13" s="2469"/>
      <c r="K13" s="2469"/>
      <c r="L13" s="2469"/>
      <c r="M13" s="2469"/>
      <c r="N13" s="2470"/>
      <c r="O13" s="2469"/>
      <c r="P13" s="2471"/>
      <c r="Q13" s="2471"/>
      <c r="R13" s="2469"/>
      <c r="S13" s="2469"/>
      <c r="T13" s="2469"/>
      <c r="U13" s="2469"/>
      <c r="V13" s="2469"/>
      <c r="W13" s="2470"/>
      <c r="X13" s="2469"/>
      <c r="Y13" s="2469"/>
      <c r="Z13" s="2470"/>
      <c r="AA13" s="2470"/>
      <c r="AB13" s="2470"/>
      <c r="AC13" s="2470"/>
      <c r="AD13" s="2470"/>
      <c r="AE13" s="2470"/>
      <c r="AF13" s="2470"/>
      <c r="AG13" s="2469"/>
      <c r="AH13" s="2469"/>
      <c r="AI13" s="2469"/>
      <c r="AJ13" s="2469"/>
      <c r="AK13" s="2469"/>
      <c r="AL13" s="2469"/>
      <c r="AM13" s="2469"/>
      <c r="AN13" s="2472"/>
    </row>
    <row r="14" spans="2:40" s="2444" customFormat="1" ht="16.5" customHeight="1" thickBot="1">
      <c r="B14" s="2462"/>
      <c r="C14" s="2463"/>
      <c r="D14" s="2463"/>
      <c r="E14" s="2463"/>
      <c r="F14" s="2463"/>
      <c r="G14" s="2473"/>
      <c r="H14" s="2473"/>
      <c r="I14" s="2463"/>
      <c r="J14" s="2463"/>
      <c r="K14" s="2463"/>
      <c r="L14" s="2474"/>
      <c r="M14" s="2463"/>
      <c r="N14" s="2464"/>
      <c r="O14" s="2463"/>
      <c r="R14" s="2463"/>
      <c r="S14" s="2463"/>
      <c r="T14" s="2463"/>
      <c r="U14" s="2463"/>
      <c r="V14" s="2463"/>
      <c r="W14" s="2464"/>
      <c r="X14" s="2463"/>
      <c r="Y14" s="2463"/>
      <c r="Z14" s="2464"/>
      <c r="AA14" s="2464"/>
      <c r="AB14" s="2464"/>
      <c r="AC14" s="2464"/>
      <c r="AD14" s="2464"/>
      <c r="AE14" s="2464"/>
      <c r="AF14" s="2464"/>
      <c r="AG14" s="2463"/>
      <c r="AH14" s="2463"/>
      <c r="AI14" s="2463"/>
      <c r="AJ14" s="2463"/>
      <c r="AK14" s="2463"/>
      <c r="AL14" s="2463"/>
      <c r="AM14" s="2463"/>
      <c r="AN14" s="2465"/>
    </row>
    <row r="15" spans="2:40" s="2444" customFormat="1" ht="16.5" customHeight="1" thickBot="1" thickTop="1">
      <c r="B15" s="2462"/>
      <c r="C15" s="2463"/>
      <c r="D15" s="2463"/>
      <c r="E15" s="2463"/>
      <c r="F15" s="2475" t="s">
        <v>27</v>
      </c>
      <c r="G15" s="2476">
        <v>322</v>
      </c>
      <c r="H15" s="2477"/>
      <c r="I15" s="2463" t="s">
        <v>512</v>
      </c>
      <c r="J15" s="2463"/>
      <c r="K15" s="2463"/>
      <c r="L15" s="2478"/>
      <c r="M15" s="2463"/>
      <c r="N15" s="2464"/>
      <c r="O15" s="2463"/>
      <c r="P15" s="2463"/>
      <c r="Q15" s="2463"/>
      <c r="R15" s="2463"/>
      <c r="S15" s="2463"/>
      <c r="T15" s="2479" t="s">
        <v>484</v>
      </c>
      <c r="U15" s="2480"/>
      <c r="V15" s="2481"/>
      <c r="W15" s="2464"/>
      <c r="X15" s="2463"/>
      <c r="Y15" s="2463"/>
      <c r="Z15" s="2464"/>
      <c r="AA15" s="2464"/>
      <c r="AB15" s="2464"/>
      <c r="AC15" s="2464"/>
      <c r="AD15" s="2464"/>
      <c r="AE15" s="2464"/>
      <c r="AF15" s="2464"/>
      <c r="AG15" s="2463"/>
      <c r="AH15" s="2463"/>
      <c r="AI15" s="2482" t="s">
        <v>484</v>
      </c>
      <c r="AJ15" s="2483"/>
      <c r="AK15" s="2484"/>
      <c r="AL15" s="2463"/>
      <c r="AM15" s="2463"/>
      <c r="AN15" s="2465"/>
    </row>
    <row r="16" spans="2:40" s="2444" customFormat="1" ht="16.5" customHeight="1" thickBot="1" thickTop="1">
      <c r="B16" s="2462"/>
      <c r="C16" s="2463"/>
      <c r="D16" s="2463"/>
      <c r="E16" s="2463"/>
      <c r="F16" s="2475" t="s">
        <v>28</v>
      </c>
      <c r="G16" s="2476">
        <v>268.339</v>
      </c>
      <c r="H16" s="2477"/>
      <c r="I16" s="2463"/>
      <c r="J16" s="2463"/>
      <c r="K16" s="2463"/>
      <c r="L16" s="2478"/>
      <c r="M16" s="2485"/>
      <c r="N16" s="2464"/>
      <c r="O16" s="2463"/>
      <c r="P16" s="2463"/>
      <c r="Q16" s="2463"/>
      <c r="R16" s="2463"/>
      <c r="S16" s="2463"/>
      <c r="T16" s="2486" t="s">
        <v>485</v>
      </c>
      <c r="U16" s="2487"/>
      <c r="V16" s="2488"/>
      <c r="W16" s="2443"/>
      <c r="X16" s="2489"/>
      <c r="Z16" s="2443"/>
      <c r="AA16" s="2443"/>
      <c r="AB16" s="2443"/>
      <c r="AC16" s="2443"/>
      <c r="AD16" s="2443"/>
      <c r="AE16" s="2443"/>
      <c r="AF16" s="2443"/>
      <c r="AI16" s="2490" t="s">
        <v>486</v>
      </c>
      <c r="AJ16" s="2491"/>
      <c r="AK16" s="2492"/>
      <c r="AL16" s="2493"/>
      <c r="AM16" s="2493"/>
      <c r="AN16" s="2494"/>
    </row>
    <row r="17" spans="2:40" s="2444" customFormat="1" ht="16.5" customHeight="1" thickBot="1" thickTop="1">
      <c r="B17" s="2462"/>
      <c r="C17" s="2463"/>
      <c r="D17" s="2463"/>
      <c r="E17" s="2463"/>
      <c r="F17" s="2463"/>
      <c r="G17" s="2495"/>
      <c r="H17" s="2463"/>
      <c r="I17" s="2463"/>
      <c r="J17" s="2463"/>
      <c r="K17" s="2463"/>
      <c r="L17" s="2463"/>
      <c r="M17" s="2463"/>
      <c r="N17" s="2464"/>
      <c r="O17" s="2463"/>
      <c r="P17" s="2496"/>
      <c r="Q17" s="2463"/>
      <c r="R17" s="2463"/>
      <c r="S17" s="2463"/>
      <c r="T17" s="2497" t="s">
        <v>487</v>
      </c>
      <c r="U17" s="2498"/>
      <c r="V17" s="2499"/>
      <c r="W17" s="2464"/>
      <c r="X17" s="2463"/>
      <c r="Y17" s="2463"/>
      <c r="Z17" s="2464"/>
      <c r="AA17" s="2464"/>
      <c r="AB17" s="2464"/>
      <c r="AC17" s="2464"/>
      <c r="AD17" s="2464"/>
      <c r="AE17" s="2464"/>
      <c r="AF17" s="2464"/>
      <c r="AG17" s="2463"/>
      <c r="AH17" s="2463"/>
      <c r="AI17" s="2500" t="s">
        <v>488</v>
      </c>
      <c r="AJ17" s="2501"/>
      <c r="AK17" s="2502"/>
      <c r="AL17" s="2463"/>
      <c r="AM17" s="2463"/>
      <c r="AN17" s="2465"/>
    </row>
    <row r="18" spans="2:40" s="2444" customFormat="1" ht="45.75" customHeight="1" thickBot="1" thickTop="1">
      <c r="B18" s="2462"/>
      <c r="C18" s="2463"/>
      <c r="D18" s="2503" t="s">
        <v>489</v>
      </c>
      <c r="E18" s="2504" t="s">
        <v>29</v>
      </c>
      <c r="F18" s="2505" t="s">
        <v>5</v>
      </c>
      <c r="G18" s="2506" t="s">
        <v>32</v>
      </c>
      <c r="H18" s="2507" t="s">
        <v>33</v>
      </c>
      <c r="I18" s="2508" t="s">
        <v>34</v>
      </c>
      <c r="J18" s="2509" t="s">
        <v>35</v>
      </c>
      <c r="K18" s="2510" t="s">
        <v>36</v>
      </c>
      <c r="L18" s="2505" t="s">
        <v>37</v>
      </c>
      <c r="M18" s="2511" t="s">
        <v>38</v>
      </c>
      <c r="N18" s="2512" t="s">
        <v>39</v>
      </c>
      <c r="O18" s="2513" t="s">
        <v>40</v>
      </c>
      <c r="P18" s="2514" t="s">
        <v>316</v>
      </c>
      <c r="Q18" s="2507" t="s">
        <v>41</v>
      </c>
      <c r="R18" s="2511" t="s">
        <v>42</v>
      </c>
      <c r="S18" s="2505" t="s">
        <v>43</v>
      </c>
      <c r="T18" s="2515" t="s">
        <v>46</v>
      </c>
      <c r="U18" s="2516"/>
      <c r="V18" s="2517"/>
      <c r="W18" s="2518" t="s">
        <v>490</v>
      </c>
      <c r="X18" s="2519" t="s">
        <v>491</v>
      </c>
      <c r="Y18" s="2519" t="s">
        <v>492</v>
      </c>
      <c r="Z18" s="2518" t="s">
        <v>493</v>
      </c>
      <c r="AA18" s="2518" t="s">
        <v>494</v>
      </c>
      <c r="AB18" s="2518" t="s">
        <v>495</v>
      </c>
      <c r="AC18" s="2518" t="s">
        <v>496</v>
      </c>
      <c r="AD18" s="2518" t="s">
        <v>497</v>
      </c>
      <c r="AE18" s="2518" t="s">
        <v>498</v>
      </c>
      <c r="AF18" s="2520" t="s">
        <v>499</v>
      </c>
      <c r="AG18" s="2520" t="s">
        <v>500</v>
      </c>
      <c r="AH18" s="2520" t="s">
        <v>501</v>
      </c>
      <c r="AI18" s="2515" t="s">
        <v>46</v>
      </c>
      <c r="AJ18" s="2516"/>
      <c r="AK18" s="2517"/>
      <c r="AL18" s="2518" t="s">
        <v>502</v>
      </c>
      <c r="AM18" s="2519" t="s">
        <v>51</v>
      </c>
      <c r="AN18" s="2521"/>
    </row>
    <row r="19" spans="2:40" s="2444" customFormat="1" ht="16.5" customHeight="1" hidden="1">
      <c r="B19" s="2462"/>
      <c r="C19" s="2463"/>
      <c r="D19" s="2463"/>
      <c r="E19" s="2522"/>
      <c r="F19" s="2523"/>
      <c r="G19" s="2523"/>
      <c r="H19" s="2522"/>
      <c r="I19" s="2522"/>
      <c r="J19" s="2524"/>
      <c r="K19" s="2525"/>
      <c r="L19" s="2522"/>
      <c r="M19" s="2522"/>
      <c r="N19" s="2526"/>
      <c r="O19" s="2527"/>
      <c r="P19" s="2522"/>
      <c r="Q19" s="2522"/>
      <c r="R19" s="2522"/>
      <c r="S19" s="2522"/>
      <c r="T19" s="2528"/>
      <c r="U19" s="2529"/>
      <c r="V19" s="2530"/>
      <c r="W19" s="2531"/>
      <c r="X19" s="2522"/>
      <c r="Y19" s="2532"/>
      <c r="Z19" s="2533"/>
      <c r="AA19" s="2532"/>
      <c r="AB19" s="2532"/>
      <c r="AC19" s="2533"/>
      <c r="AD19" s="2533"/>
      <c r="AE19" s="2534"/>
      <c r="AF19" s="2535"/>
      <c r="AG19" s="2535"/>
      <c r="AH19" s="2535"/>
      <c r="AI19" s="2528"/>
      <c r="AJ19" s="2529"/>
      <c r="AK19" s="2530"/>
      <c r="AL19" s="2533"/>
      <c r="AM19" s="2532"/>
      <c r="AN19" s="2465"/>
    </row>
    <row r="20" spans="2:40" s="2443" customFormat="1" ht="16.5" thickBot="1" thickTop="1">
      <c r="B20" s="2536"/>
      <c r="C20" s="2537"/>
      <c r="D20" s="2538"/>
      <c r="E20" s="2539"/>
      <c r="F20" s="2540"/>
      <c r="G20" s="2541"/>
      <c r="H20" s="2540"/>
      <c r="I20" s="2540"/>
      <c r="J20" s="2542"/>
      <c r="K20" s="2543"/>
      <c r="L20" s="2544"/>
      <c r="M20" s="2545"/>
      <c r="N20" s="2538"/>
      <c r="O20" s="2538"/>
      <c r="P20" s="2546"/>
      <c r="Q20" s="2538"/>
      <c r="R20" s="2538"/>
      <c r="S20" s="2538"/>
      <c r="T20" s="2547"/>
      <c r="U20" s="2547"/>
      <c r="V20" s="2548"/>
      <c r="W20" s="2549"/>
      <c r="X20" s="2538"/>
      <c r="Y20" s="2550"/>
      <c r="Z20" s="2549"/>
      <c r="AA20" s="2550"/>
      <c r="AB20" s="2549"/>
      <c r="AC20" s="2549"/>
      <c r="AD20" s="2549"/>
      <c r="AE20" s="2551"/>
      <c r="AF20" s="2549"/>
      <c r="AG20" s="2549"/>
      <c r="AH20" s="2549"/>
      <c r="AI20" s="2547"/>
      <c r="AJ20" s="2547"/>
      <c r="AK20" s="2548"/>
      <c r="AL20" s="2549"/>
      <c r="AM20" s="2549"/>
      <c r="AN20" s="2465"/>
    </row>
    <row r="21" spans="2:40" s="2443" customFormat="1" ht="18" customHeight="1" thickBot="1">
      <c r="B21" s="2536"/>
      <c r="C21" s="2769" t="s">
        <v>503</v>
      </c>
      <c r="D21" s="2552"/>
      <c r="E21" s="2553">
        <v>1</v>
      </c>
      <c r="F21" s="2553" t="s">
        <v>327</v>
      </c>
      <c r="G21" s="2554">
        <v>500</v>
      </c>
      <c r="H21" s="2555">
        <v>313</v>
      </c>
      <c r="I21" s="2554" t="s">
        <v>328</v>
      </c>
      <c r="J21" s="2556">
        <f aca="true" t="shared" si="0" ref="J21:J27">IF(I21="A",200,IF(I21="B",60,20))</f>
        <v>200</v>
      </c>
      <c r="K21" s="2557">
        <f aca="true" t="shared" si="1" ref="K21:K27">IF(G21=500,IF(H21&lt;100,100*$G$15/100,H21*$G$15/100),IF(H21&lt;100,100*$G$16/100,H21*$G$16/100))</f>
        <v>1007.86</v>
      </c>
      <c r="L21" s="2558">
        <v>41789.6</v>
      </c>
      <c r="M21" s="2558">
        <v>41791.70486111111</v>
      </c>
      <c r="N21" s="2559">
        <f aca="true" t="shared" si="2" ref="N21:N27">IF(F21="","",(M21-L21)*24)</f>
        <v>50.516666666662786</v>
      </c>
      <c r="O21" s="2560">
        <f aca="true" t="shared" si="3" ref="O21:O27">IF(F21="","",ROUND((M21-L21)*24*60,0))</f>
        <v>3031</v>
      </c>
      <c r="P21" s="2695" t="s">
        <v>329</v>
      </c>
      <c r="Q21" s="2562" t="str">
        <f aca="true" t="shared" si="4" ref="Q21:Q27">IF(F21="","","--")</f>
        <v>--</v>
      </c>
      <c r="R21" s="2563" t="str">
        <f aca="true" t="shared" si="5" ref="R21:R27">IF(F21="","","NO")</f>
        <v>NO</v>
      </c>
      <c r="S21" s="2563" t="str">
        <f aca="true" t="shared" si="6" ref="S21:S27">IF(F21="","",IF(OR(P21="P",P21="RP"),"--","NO"))</f>
        <v>NO</v>
      </c>
      <c r="T21" s="2564">
        <f aca="true" t="shared" si="7" ref="T21:T27">IF(AND(P21="F",S21="NO"),K21*J21*IF(R21="SI",1.2,1),"--")</f>
        <v>201572</v>
      </c>
      <c r="U21" s="2564">
        <f aca="true" t="shared" si="8" ref="U21:U27">IF(AND(P21="F",AF21&gt;=10),K21*J21*IF(R21="SI",1.2,1)*IF(AF21&lt;=300,ROUND(AF21/60,2),5),"--")</f>
        <v>1007860</v>
      </c>
      <c r="V21" s="2565">
        <f aca="true" t="shared" si="9" ref="V21:V27">IF(AND(P21="F",AF21&gt;300),(ROUND(AF21/60,2)-5)*K21*J21*0.1*IF(R21="SI",1.2,1),"--")</f>
        <v>1350532.4000000001</v>
      </c>
      <c r="W21" s="2566">
        <f aca="true" t="shared" si="10" ref="W21:W27">IF(F21="","",SUM(T21:V21)*IF(X21="SI",1,2))</f>
        <v>2559964.4000000004</v>
      </c>
      <c r="X21" s="2567" t="str">
        <f aca="true" t="shared" si="11" ref="X21:X27">IF(F21="","","SI")</f>
        <v>SI</v>
      </c>
      <c r="Y21" s="2568">
        <v>1</v>
      </c>
      <c r="Z21" s="2569">
        <f>IF(F21="","",IF(Y21&lt;=10,48,72))</f>
        <v>48</v>
      </c>
      <c r="AA21" s="2570"/>
      <c r="AB21" s="2571">
        <v>1</v>
      </c>
      <c r="AC21" s="2572">
        <f>IF(F21="","",Z21+AA21)</f>
        <v>48</v>
      </c>
      <c r="AD21" s="2566">
        <f>IF(F21="","",AB21*24*Y21)</f>
        <v>24</v>
      </c>
      <c r="AE21" s="2573">
        <f aca="true" t="shared" si="12" ref="AE21:AE27">IF(F21="","",AD21+AC21)</f>
        <v>72</v>
      </c>
      <c r="AF21" s="2574">
        <f aca="true" t="shared" si="13" ref="AF21:AF27">AE21*60</f>
        <v>4320</v>
      </c>
      <c r="AG21" s="2575">
        <f aca="true" t="shared" si="14" ref="AG21:AG27">LOG(W21)/LOG(AD21)</f>
        <v>4.642937060790302</v>
      </c>
      <c r="AH21" s="2575">
        <f aca="true" t="shared" si="15" ref="AH21:AH27">1/(2*Y21)</f>
        <v>0.5</v>
      </c>
      <c r="AI21" s="2564">
        <f aca="true" t="shared" si="16" ref="AI21:AI27">IF(AND(P21="F",S21="NO"),K21*J21*IF(R21="SI",1.2,1),"--")</f>
        <v>201572</v>
      </c>
      <c r="AJ21" s="2564">
        <f aca="true" t="shared" si="17" ref="AJ21:AJ27">IF(AND(P21="F",O21&gt;=10),K21*J21*IF(R21="SI",1.2,1)*IF(O21&lt;=300,ROUND(O21/60,2),5),"--")</f>
        <v>1007860</v>
      </c>
      <c r="AK21" s="2565">
        <f aca="true" t="shared" si="18" ref="AK21:AK27">IF(AND(P21="F",O21&gt;300),(ROUND(O21/60,2)-5)*K21*J21*0.1*IF(R21="SI",1.2,1),"--")</f>
        <v>917555.7440000002</v>
      </c>
      <c r="AL21" s="2566">
        <f aca="true" t="shared" si="19" ref="AL21:AL27">IF(F21="","",SUM(AI21:AK21)*IF(X21="SI",1,2))</f>
        <v>2126987.744</v>
      </c>
      <c r="AM21" s="2576">
        <f>IF(F21=""," ",IF(N21&lt;=AC21,0,(IF(N21&gt;AE21,AL21,(N21-AC21)^AG21*1/(1-AH21*(N21-AE21))))))</f>
        <v>6.184131786826313</v>
      </c>
      <c r="AN21" s="2577"/>
    </row>
    <row r="22" spans="2:40" s="2443" customFormat="1" ht="20.25" customHeight="1">
      <c r="B22" s="2536"/>
      <c r="C22" s="2770"/>
      <c r="D22" s="2578"/>
      <c r="E22" s="2579"/>
      <c r="F22" s="2579"/>
      <c r="G22" s="2580"/>
      <c r="H22" s="2581"/>
      <c r="I22" s="2580"/>
      <c r="J22" s="2582">
        <f t="shared" si="0"/>
        <v>20</v>
      </c>
      <c r="K22" s="2583">
        <f t="shared" si="1"/>
        <v>268.339</v>
      </c>
      <c r="L22" s="2584"/>
      <c r="M22" s="2585"/>
      <c r="N22" s="2586">
        <f t="shared" si="2"/>
      </c>
      <c r="O22" s="2587">
        <f t="shared" si="3"/>
      </c>
      <c r="P22" s="2561"/>
      <c r="Q22" s="2588">
        <f t="shared" si="4"/>
      </c>
      <c r="R22" s="2589">
        <f t="shared" si="5"/>
      </c>
      <c r="S22" s="2563">
        <f t="shared" si="6"/>
      </c>
      <c r="T22" s="2564" t="str">
        <f t="shared" si="7"/>
        <v>--</v>
      </c>
      <c r="U22" s="2564" t="e">
        <f t="shared" si="8"/>
        <v>#VALUE!</v>
      </c>
      <c r="V22" s="2565" t="e">
        <f t="shared" si="9"/>
        <v>#VALUE!</v>
      </c>
      <c r="W22" s="2566">
        <f t="shared" si="10"/>
      </c>
      <c r="X22" s="2565">
        <f t="shared" si="11"/>
      </c>
      <c r="Y22" s="2590"/>
      <c r="Z22" s="2569">
        <f>IF(F22="","",IF(Y22&lt;=10,48,72))</f>
      </c>
      <c r="AA22" s="2570"/>
      <c r="AB22" s="2571"/>
      <c r="AC22" s="2572">
        <f>IF(F22="","",Z22+AA22)</f>
      </c>
      <c r="AD22" s="2566">
        <f>IF(F22="","",AB22*24*Y22)</f>
      </c>
      <c r="AE22" s="2573">
        <f t="shared" si="12"/>
      </c>
      <c r="AF22" s="2574" t="e">
        <f t="shared" si="13"/>
        <v>#VALUE!</v>
      </c>
      <c r="AG22" s="2575" t="e">
        <f t="shared" si="14"/>
        <v>#VALUE!</v>
      </c>
      <c r="AH22" s="2575" t="e">
        <f t="shared" si="15"/>
        <v>#DIV/0!</v>
      </c>
      <c r="AI22" s="2564" t="str">
        <f t="shared" si="16"/>
        <v>--</v>
      </c>
      <c r="AJ22" s="2564" t="str">
        <f t="shared" si="17"/>
        <v>--</v>
      </c>
      <c r="AK22" s="2565" t="str">
        <f t="shared" si="18"/>
        <v>--</v>
      </c>
      <c r="AL22" s="2566">
        <f t="shared" si="19"/>
      </c>
      <c r="AM22" s="2576" t="str">
        <f aca="true" t="shared" si="20" ref="AM22:AM27">IF(F22=""," ",IF(N22&lt;=AC22,0,(IF(N22&gt;AE22,AL22,(N22-AC22)^AG22*1/(1-AH22*(N22-AE22))))))</f>
        <v> </v>
      </c>
      <c r="AN22" s="2577"/>
    </row>
    <row r="23" spans="2:40" s="2464" customFormat="1" ht="22.5" customHeight="1" thickBot="1">
      <c r="B23" s="2536"/>
      <c r="C23" s="2771"/>
      <c r="D23" s="2591"/>
      <c r="E23" s="2592"/>
      <c r="F23" s="2593"/>
      <c r="G23" s="2594"/>
      <c r="H23" s="2595"/>
      <c r="I23" s="2594"/>
      <c r="J23" s="2596">
        <f t="shared" si="0"/>
        <v>20</v>
      </c>
      <c r="K23" s="2597">
        <f t="shared" si="1"/>
        <v>268.339</v>
      </c>
      <c r="L23" s="2598"/>
      <c r="M23" s="2598"/>
      <c r="N23" s="2599">
        <f t="shared" si="2"/>
      </c>
      <c r="O23" s="2600">
        <f t="shared" si="3"/>
      </c>
      <c r="P23" s="2601"/>
      <c r="Q23" s="2602">
        <f t="shared" si="4"/>
      </c>
      <c r="R23" s="2603">
        <f t="shared" si="5"/>
      </c>
      <c r="S23" s="2603">
        <f t="shared" si="6"/>
      </c>
      <c r="T23" s="2547" t="str">
        <f t="shared" si="7"/>
        <v>--</v>
      </c>
      <c r="U23" s="2547" t="e">
        <f t="shared" si="8"/>
        <v>#VALUE!</v>
      </c>
      <c r="V23" s="2548" t="e">
        <f t="shared" si="9"/>
        <v>#VALUE!</v>
      </c>
      <c r="W23" s="2604">
        <f t="shared" si="10"/>
      </c>
      <c r="X23" s="2548">
        <f t="shared" si="11"/>
      </c>
      <c r="Y23" s="2605"/>
      <c r="Z23" s="2606">
        <f>IF(F23="","",IF(N22&lt;=AE22,0,IF(Y23&lt;=10,48,72)))</f>
      </c>
      <c r="AA23" s="2607"/>
      <c r="AB23" s="2608">
        <f>IF(F23="","",IF(N22&lt;=AE22,1,0.9))</f>
      </c>
      <c r="AC23" s="2604">
        <f>IF(F23="","",IF(N22&lt;=AE22,N22+AA23,Z23+AA23))</f>
      </c>
      <c r="AD23" s="2609">
        <f>IF(F23="","",IF(N22&lt;=AE22,AB23*Y23*24,AB23*Y23*24))</f>
      </c>
      <c r="AE23" s="2604">
        <f t="shared" si="12"/>
      </c>
      <c r="AF23" s="2604" t="e">
        <f t="shared" si="13"/>
        <v>#VALUE!</v>
      </c>
      <c r="AG23" s="2610" t="e">
        <f t="shared" si="14"/>
        <v>#VALUE!</v>
      </c>
      <c r="AH23" s="2610" t="e">
        <f t="shared" si="15"/>
        <v>#DIV/0!</v>
      </c>
      <c r="AI23" s="2547" t="str">
        <f t="shared" si="16"/>
        <v>--</v>
      </c>
      <c r="AJ23" s="2547" t="str">
        <f t="shared" si="17"/>
        <v>--</v>
      </c>
      <c r="AK23" s="2548" t="str">
        <f t="shared" si="18"/>
        <v>--</v>
      </c>
      <c r="AL23" s="2604">
        <f t="shared" si="19"/>
      </c>
      <c r="AM23" s="2604" t="str">
        <f t="shared" si="20"/>
        <v> </v>
      </c>
      <c r="AN23" s="2577"/>
    </row>
    <row r="24" spans="2:40" s="2443" customFormat="1" ht="16.5" customHeight="1">
      <c r="B24" s="2536"/>
      <c r="C24" s="2769"/>
      <c r="D24" s="2552"/>
      <c r="E24" s="2611"/>
      <c r="F24" s="2612"/>
      <c r="G24" s="2613"/>
      <c r="H24" s="2614"/>
      <c r="I24" s="2613"/>
      <c r="J24" s="2556">
        <f t="shared" si="0"/>
        <v>20</v>
      </c>
      <c r="K24" s="2557">
        <f t="shared" si="1"/>
        <v>268.339</v>
      </c>
      <c r="L24" s="2615"/>
      <c r="M24" s="2616"/>
      <c r="N24" s="2559">
        <f t="shared" si="2"/>
      </c>
      <c r="O24" s="2560">
        <f t="shared" si="3"/>
      </c>
      <c r="P24" s="2561"/>
      <c r="Q24" s="2562">
        <f t="shared" si="4"/>
      </c>
      <c r="R24" s="2563">
        <f t="shared" si="5"/>
      </c>
      <c r="S24" s="2563">
        <f t="shared" si="6"/>
      </c>
      <c r="T24" s="2564" t="str">
        <f t="shared" si="7"/>
        <v>--</v>
      </c>
      <c r="U24" s="2564" t="e">
        <f t="shared" si="8"/>
        <v>#VALUE!</v>
      </c>
      <c r="V24" s="2565" t="e">
        <f t="shared" si="9"/>
        <v>#VALUE!</v>
      </c>
      <c r="W24" s="2566">
        <f t="shared" si="10"/>
      </c>
      <c r="X24" s="2565">
        <f t="shared" si="11"/>
      </c>
      <c r="Y24" s="2590"/>
      <c r="Z24" s="2617">
        <f>IF(F24="","",IF(Y24&lt;=10,48,72))</f>
      </c>
      <c r="AA24" s="2618"/>
      <c r="AB24" s="2619">
        <f>IF(F24="","",0.9)</f>
      </c>
      <c r="AC24" s="2566">
        <f>IF(F24="","",Z24+AA24)</f>
      </c>
      <c r="AD24" s="2566">
        <f>IF(F24="","",AB24*24*Y24)</f>
      </c>
      <c r="AE24" s="2573">
        <f t="shared" si="12"/>
      </c>
      <c r="AF24" s="2574" t="e">
        <f t="shared" si="13"/>
        <v>#VALUE!</v>
      </c>
      <c r="AG24" s="2575" t="e">
        <f t="shared" si="14"/>
        <v>#VALUE!</v>
      </c>
      <c r="AH24" s="2575" t="e">
        <f t="shared" si="15"/>
        <v>#DIV/0!</v>
      </c>
      <c r="AI24" s="2564" t="str">
        <f t="shared" si="16"/>
        <v>--</v>
      </c>
      <c r="AJ24" s="2564" t="str">
        <f t="shared" si="17"/>
        <v>--</v>
      </c>
      <c r="AK24" s="2565" t="str">
        <f t="shared" si="18"/>
        <v>--</v>
      </c>
      <c r="AL24" s="2566">
        <f t="shared" si="19"/>
      </c>
      <c r="AM24" s="2576" t="str">
        <f t="shared" si="20"/>
        <v> </v>
      </c>
      <c r="AN24" s="2577"/>
    </row>
    <row r="25" spans="2:40" s="2443" customFormat="1" ht="16.5" customHeight="1">
      <c r="B25" s="2536"/>
      <c r="C25" s="2770"/>
      <c r="D25" s="2578"/>
      <c r="E25" s="2620"/>
      <c r="F25" s="2621"/>
      <c r="G25" s="2622"/>
      <c r="H25" s="2623"/>
      <c r="I25" s="2622"/>
      <c r="J25" s="2582">
        <f t="shared" si="0"/>
        <v>20</v>
      </c>
      <c r="K25" s="2583">
        <f t="shared" si="1"/>
        <v>268.339</v>
      </c>
      <c r="L25" s="2624"/>
      <c r="M25" s="2625"/>
      <c r="N25" s="2586">
        <f t="shared" si="2"/>
      </c>
      <c r="O25" s="2587">
        <f t="shared" si="3"/>
      </c>
      <c r="P25" s="2626"/>
      <c r="Q25" s="2588">
        <f t="shared" si="4"/>
      </c>
      <c r="R25" s="2589">
        <f t="shared" si="5"/>
      </c>
      <c r="S25" s="2589">
        <f t="shared" si="6"/>
      </c>
      <c r="T25" s="2627" t="str">
        <f t="shared" si="7"/>
        <v>--</v>
      </c>
      <c r="U25" s="2627" t="e">
        <f t="shared" si="8"/>
        <v>#VALUE!</v>
      </c>
      <c r="V25" s="2628" t="e">
        <f t="shared" si="9"/>
        <v>#VALUE!</v>
      </c>
      <c r="W25" s="2609">
        <f t="shared" si="10"/>
      </c>
      <c r="X25" s="2628">
        <f t="shared" si="11"/>
      </c>
      <c r="Y25" s="2629"/>
      <c r="Z25" s="2630">
        <f>IF(F25="","",IF(N24&lt;=AE24,0,IF(Y25&lt;=10,48,72)))</f>
      </c>
      <c r="AA25" s="2631"/>
      <c r="AB25" s="2608">
        <f>IF(F25="","",IF(N24&lt;=AE24,1,0.9))</f>
      </c>
      <c r="AC25" s="2609">
        <f>IF(F25="","",IF(N24&lt;=AE24,N24+AA25,Z25+AA25))</f>
      </c>
      <c r="AD25" s="2609">
        <f>IF(F25="","",IF(N24&lt;=AE24,AB25*Y25*24,AB25*Y25*24))</f>
      </c>
      <c r="AE25" s="2632">
        <f t="shared" si="12"/>
      </c>
      <c r="AF25" s="2633" t="e">
        <f t="shared" si="13"/>
        <v>#VALUE!</v>
      </c>
      <c r="AG25" s="2634" t="e">
        <f t="shared" si="14"/>
        <v>#VALUE!</v>
      </c>
      <c r="AH25" s="2634" t="e">
        <f t="shared" si="15"/>
        <v>#DIV/0!</v>
      </c>
      <c r="AI25" s="2635" t="str">
        <f t="shared" si="16"/>
        <v>--</v>
      </c>
      <c r="AJ25" s="2635" t="str">
        <f t="shared" si="17"/>
        <v>--</v>
      </c>
      <c r="AK25" s="2636" t="str">
        <f t="shared" si="18"/>
        <v>--</v>
      </c>
      <c r="AL25" s="2609">
        <f t="shared" si="19"/>
      </c>
      <c r="AM25" s="2637" t="str">
        <f t="shared" si="20"/>
        <v> </v>
      </c>
      <c r="AN25" s="2577"/>
    </row>
    <row r="26" spans="2:40" s="2443" customFormat="1" ht="16.5" customHeight="1">
      <c r="B26" s="2536"/>
      <c r="C26" s="2770"/>
      <c r="D26" s="2578"/>
      <c r="E26" s="2620"/>
      <c r="F26" s="2621"/>
      <c r="G26" s="2622"/>
      <c r="H26" s="2623"/>
      <c r="I26" s="2622"/>
      <c r="J26" s="2582">
        <f t="shared" si="0"/>
        <v>20</v>
      </c>
      <c r="K26" s="2583">
        <f t="shared" si="1"/>
        <v>268.339</v>
      </c>
      <c r="L26" s="2638"/>
      <c r="M26" s="2638"/>
      <c r="N26" s="2586">
        <f t="shared" si="2"/>
      </c>
      <c r="O26" s="2587">
        <f t="shared" si="3"/>
      </c>
      <c r="P26" s="2639"/>
      <c r="Q26" s="2588">
        <f t="shared" si="4"/>
      </c>
      <c r="R26" s="2589">
        <f t="shared" si="5"/>
      </c>
      <c r="S26" s="2589">
        <f t="shared" si="6"/>
      </c>
      <c r="T26" s="2627" t="str">
        <f t="shared" si="7"/>
        <v>--</v>
      </c>
      <c r="U26" s="2627" t="e">
        <f t="shared" si="8"/>
        <v>#VALUE!</v>
      </c>
      <c r="V26" s="2628" t="e">
        <f t="shared" si="9"/>
        <v>#VALUE!</v>
      </c>
      <c r="W26" s="2640">
        <f t="shared" si="10"/>
      </c>
      <c r="X26" s="2628">
        <f t="shared" si="11"/>
      </c>
      <c r="Y26" s="2641"/>
      <c r="Z26" s="2642">
        <f>IF(F26="","",IF(N25&lt;=AE25,0,IF(Y26&lt;=10,48,72)))</f>
      </c>
      <c r="AA26" s="2643"/>
      <c r="AB26" s="2608">
        <f>IF(F26="","",IF(N25&lt;=AE25,1,0.9))</f>
      </c>
      <c r="AC26" s="2640">
        <f>IF(F26="","",IF(N25&lt;=AE25,N25+AA26,Z26+AA26))</f>
      </c>
      <c r="AD26" s="2609">
        <f>IF(F26="","",IF(N25&lt;=AE25,AB26*Y26*24,AB26*Y26*24))</f>
      </c>
      <c r="AE26" s="2640">
        <f t="shared" si="12"/>
      </c>
      <c r="AF26" s="2640" t="e">
        <f t="shared" si="13"/>
        <v>#VALUE!</v>
      </c>
      <c r="AG26" s="2644" t="e">
        <f t="shared" si="14"/>
        <v>#VALUE!</v>
      </c>
      <c r="AH26" s="2644" t="e">
        <f t="shared" si="15"/>
        <v>#DIV/0!</v>
      </c>
      <c r="AI26" s="2627" t="str">
        <f t="shared" si="16"/>
        <v>--</v>
      </c>
      <c r="AJ26" s="2627" t="str">
        <f t="shared" si="17"/>
        <v>--</v>
      </c>
      <c r="AK26" s="2628" t="str">
        <f t="shared" si="18"/>
        <v>--</v>
      </c>
      <c r="AL26" s="2640">
        <f t="shared" si="19"/>
      </c>
      <c r="AM26" s="2640" t="str">
        <f t="shared" si="20"/>
        <v> </v>
      </c>
      <c r="AN26" s="2577"/>
    </row>
    <row r="27" spans="2:40" s="2464" customFormat="1" ht="16.5" customHeight="1" thickBot="1">
      <c r="B27" s="2536"/>
      <c r="C27" s="2771"/>
      <c r="D27" s="2591"/>
      <c r="E27" s="2592"/>
      <c r="F27" s="2593"/>
      <c r="G27" s="2594"/>
      <c r="H27" s="2595"/>
      <c r="I27" s="2594"/>
      <c r="J27" s="2596">
        <f t="shared" si="0"/>
        <v>20</v>
      </c>
      <c r="K27" s="2597">
        <f t="shared" si="1"/>
        <v>268.339</v>
      </c>
      <c r="L27" s="2598"/>
      <c r="M27" s="2598"/>
      <c r="N27" s="2599">
        <f t="shared" si="2"/>
      </c>
      <c r="O27" s="2600">
        <f t="shared" si="3"/>
      </c>
      <c r="P27" s="2601"/>
      <c r="Q27" s="2602">
        <f t="shared" si="4"/>
      </c>
      <c r="R27" s="2603">
        <f t="shared" si="5"/>
      </c>
      <c r="S27" s="2603">
        <f t="shared" si="6"/>
      </c>
      <c r="T27" s="2547" t="str">
        <f t="shared" si="7"/>
        <v>--</v>
      </c>
      <c r="U27" s="2547" t="e">
        <f t="shared" si="8"/>
        <v>#VALUE!</v>
      </c>
      <c r="V27" s="2548" t="e">
        <f t="shared" si="9"/>
        <v>#VALUE!</v>
      </c>
      <c r="W27" s="2604">
        <f t="shared" si="10"/>
      </c>
      <c r="X27" s="2548">
        <f t="shared" si="11"/>
      </c>
      <c r="Y27" s="2605"/>
      <c r="Z27" s="2606">
        <f>IF(F27="","",IF(N26&lt;=AE26,0,IF(Y27&lt;=10,48,72)))</f>
      </c>
      <c r="AA27" s="2607"/>
      <c r="AB27" s="2645">
        <f>IF(F27="","",IF(N26&lt;=AE26,1,0.9))</f>
      </c>
      <c r="AC27" s="2604">
        <f>IF(F27="","",IF(N26&lt;=AE26,N26+AA27,Z27+AA27))</f>
      </c>
      <c r="AD27" s="2646">
        <f>IF(F27="","",IF(N26&lt;=AE26,AB27*Y27*24,AB27*Y27*24))</f>
      </c>
      <c r="AE27" s="2604">
        <f t="shared" si="12"/>
      </c>
      <c r="AF27" s="2604" t="e">
        <f t="shared" si="13"/>
        <v>#VALUE!</v>
      </c>
      <c r="AG27" s="2610" t="e">
        <f t="shared" si="14"/>
        <v>#VALUE!</v>
      </c>
      <c r="AH27" s="2610" t="e">
        <f t="shared" si="15"/>
        <v>#DIV/0!</v>
      </c>
      <c r="AI27" s="2547" t="str">
        <f t="shared" si="16"/>
        <v>--</v>
      </c>
      <c r="AJ27" s="2547" t="str">
        <f t="shared" si="17"/>
        <v>--</v>
      </c>
      <c r="AK27" s="2548" t="str">
        <f t="shared" si="18"/>
        <v>--</v>
      </c>
      <c r="AL27" s="2604">
        <f t="shared" si="19"/>
      </c>
      <c r="AM27" s="2604" t="str">
        <f t="shared" si="20"/>
        <v> </v>
      </c>
      <c r="AN27" s="2577"/>
    </row>
    <row r="28" spans="2:40" s="2443" customFormat="1" ht="16.5" customHeight="1" thickBot="1">
      <c r="B28" s="2536"/>
      <c r="C28" s="2647"/>
      <c r="D28" s="2648"/>
      <c r="E28" s="2649"/>
      <c r="F28" s="2650"/>
      <c r="G28" s="2651"/>
      <c r="H28" s="2650"/>
      <c r="I28" s="2652"/>
      <c r="J28" s="2653"/>
      <c r="K28" s="2654"/>
      <c r="L28" s="2655"/>
      <c r="M28" s="2655"/>
      <c r="N28" s="2656"/>
      <c r="O28" s="2656"/>
      <c r="P28" s="2655"/>
      <c r="Q28" s="2657"/>
      <c r="R28" s="2656"/>
      <c r="S28" s="2656"/>
      <c r="T28" s="2658"/>
      <c r="U28" s="2658"/>
      <c r="V28" s="2659"/>
      <c r="W28" s="2660"/>
      <c r="X28" s="2661"/>
      <c r="Y28" s="2662"/>
      <c r="Z28" s="2663"/>
      <c r="AA28" s="2664"/>
      <c r="AB28" s="2665"/>
      <c r="AC28" s="2663"/>
      <c r="AD28" s="2663"/>
      <c r="AE28" s="2663"/>
      <c r="AF28" s="2666"/>
      <c r="AG28" s="2663"/>
      <c r="AH28" s="2663"/>
      <c r="AI28" s="2667"/>
      <c r="AJ28" s="2667"/>
      <c r="AK28" s="2668"/>
      <c r="AL28" s="2663"/>
      <c r="AM28" s="2669"/>
      <c r="AN28" s="2577"/>
    </row>
    <row r="29" spans="2:40" s="2444" customFormat="1" ht="16.5" customHeight="1" thickBot="1" thickTop="1">
      <c r="B29" s="2462"/>
      <c r="C29" s="2463"/>
      <c r="D29" s="2463"/>
      <c r="E29" s="2670"/>
      <c r="F29" s="2671"/>
      <c r="G29" s="2672"/>
      <c r="H29" s="2495"/>
      <c r="I29" s="2673"/>
      <c r="J29" s="2495"/>
      <c r="K29" s="2674"/>
      <c r="L29" s="2674"/>
      <c r="M29" s="2674"/>
      <c r="N29" s="2675"/>
      <c r="O29" s="2674"/>
      <c r="P29" s="2674"/>
      <c r="Q29" s="2676"/>
      <c r="R29" s="2674"/>
      <c r="S29" s="2674"/>
      <c r="T29" s="2677">
        <f>SUM(T19:T28)</f>
        <v>201572</v>
      </c>
      <c r="U29" s="2677" t="e">
        <f>SUM(U19:U28)</f>
        <v>#VALUE!</v>
      </c>
      <c r="V29" s="2677" t="e">
        <f>SUM(V19:V28)</f>
        <v>#VALUE!</v>
      </c>
      <c r="W29" s="2678"/>
      <c r="X29" s="2679"/>
      <c r="Y29" s="2678"/>
      <c r="Z29" s="2678"/>
      <c r="AA29" s="2678"/>
      <c r="AB29" s="2678"/>
      <c r="AC29" s="2678"/>
      <c r="AD29" s="2678"/>
      <c r="AE29" s="2678"/>
      <c r="AF29" s="2678"/>
      <c r="AG29" s="2678"/>
      <c r="AH29" s="2678"/>
      <c r="AI29" s="2677">
        <f>SUM(AI19:AI28)</f>
        <v>201572</v>
      </c>
      <c r="AJ29" s="2677">
        <f>SUM(AJ19:AJ28)</f>
        <v>1007860</v>
      </c>
      <c r="AK29" s="2677">
        <f>SUM(AK19:AK28)</f>
        <v>917555.7440000002</v>
      </c>
      <c r="AL29" s="2678"/>
      <c r="AM29" s="2680">
        <f>ROUND(SUM(AM19:AM28),2)</f>
        <v>6.18</v>
      </c>
      <c r="AN29" s="2577"/>
    </row>
    <row r="30" spans="2:40" ht="13.5" thickTop="1">
      <c r="B30" s="2682"/>
      <c r="C30" s="2683"/>
      <c r="D30" s="2683"/>
      <c r="E30" s="2681" t="s">
        <v>504</v>
      </c>
      <c r="F30" s="2684" t="s">
        <v>505</v>
      </c>
      <c r="AN30" s="2687"/>
    </row>
    <row r="31" spans="2:40" ht="12.75">
      <c r="B31" s="2682"/>
      <c r="C31" s="2683"/>
      <c r="D31" s="2683"/>
      <c r="E31" s="2681" t="s">
        <v>506</v>
      </c>
      <c r="F31" s="2684" t="s">
        <v>507</v>
      </c>
      <c r="AN31" s="2687"/>
    </row>
    <row r="32" spans="2:40" ht="12.75">
      <c r="B32" s="2682"/>
      <c r="C32" s="2683"/>
      <c r="D32" s="2683"/>
      <c r="E32" s="2684" t="s">
        <v>508</v>
      </c>
      <c r="F32" s="2684" t="s">
        <v>509</v>
      </c>
      <c r="AN32" s="2687"/>
    </row>
    <row r="33" spans="2:40" ht="12.75">
      <c r="B33" s="2682"/>
      <c r="C33" s="2683"/>
      <c r="D33" s="2683"/>
      <c r="E33" s="2684" t="s">
        <v>510</v>
      </c>
      <c r="F33" s="2684" t="s">
        <v>511</v>
      </c>
      <c r="AN33" s="2687"/>
    </row>
    <row r="34" spans="2:40" ht="12.75">
      <c r="B34" s="2682"/>
      <c r="C34" s="2683"/>
      <c r="D34" s="2683"/>
      <c r="E34" s="2684" t="s">
        <v>513</v>
      </c>
      <c r="F34" s="2684" t="s">
        <v>514</v>
      </c>
      <c r="AN34" s="2687"/>
    </row>
    <row r="35" spans="2:40" ht="12.75">
      <c r="B35" s="2682"/>
      <c r="C35" s="2683"/>
      <c r="D35" s="2683"/>
      <c r="E35" s="2684"/>
      <c r="F35" s="2684"/>
      <c r="AN35" s="2687"/>
    </row>
    <row r="36" spans="2:40" s="2444" customFormat="1" ht="16.5" customHeight="1" thickBot="1">
      <c r="B36" s="2688"/>
      <c r="C36" s="2689"/>
      <c r="D36" s="2689"/>
      <c r="E36" s="2690"/>
      <c r="F36" s="2690"/>
      <c r="G36" s="2690"/>
      <c r="H36" s="2690"/>
      <c r="I36" s="2690"/>
      <c r="J36" s="2690"/>
      <c r="K36" s="2690"/>
      <c r="L36" s="2690"/>
      <c r="M36" s="2690"/>
      <c r="N36" s="2691"/>
      <c r="O36" s="2690"/>
      <c r="P36" s="2690"/>
      <c r="Q36" s="2690"/>
      <c r="R36" s="2690"/>
      <c r="S36" s="2690"/>
      <c r="T36" s="2690"/>
      <c r="U36" s="2690"/>
      <c r="V36" s="2690"/>
      <c r="W36" s="2691"/>
      <c r="X36" s="2690"/>
      <c r="Y36" s="2690"/>
      <c r="Z36" s="2691"/>
      <c r="AA36" s="2691"/>
      <c r="AB36" s="2691"/>
      <c r="AC36" s="2691"/>
      <c r="AD36" s="2691"/>
      <c r="AE36" s="2691"/>
      <c r="AF36" s="2691"/>
      <c r="AG36" s="2690"/>
      <c r="AH36" s="2690"/>
      <c r="AI36" s="2690"/>
      <c r="AJ36" s="2690"/>
      <c r="AK36" s="2690"/>
      <c r="AL36" s="2690"/>
      <c r="AM36" s="2690"/>
      <c r="AN36" s="2692"/>
    </row>
    <row r="37" spans="2:40" ht="16.5" customHeight="1" thickTop="1">
      <c r="B37" s="2683"/>
      <c r="C37" s="2683"/>
      <c r="D37" s="2683"/>
      <c r="AN37" s="2683"/>
    </row>
    <row r="38" spans="6:15" ht="15.75">
      <c r="F38" s="2693"/>
      <c r="G38" s="2693"/>
      <c r="H38" s="2693"/>
      <c r="I38" s="2693"/>
      <c r="J38" s="2693"/>
      <c r="K38" s="2693"/>
      <c r="L38" s="2693"/>
      <c r="M38" s="2693"/>
      <c r="N38" s="2694"/>
      <c r="O38" s="2693"/>
    </row>
    <row r="39" spans="6:15" ht="15.75">
      <c r="F39" s="2693"/>
      <c r="G39" s="2693"/>
      <c r="H39" s="2693"/>
      <c r="I39" s="2693"/>
      <c r="J39" s="2693"/>
      <c r="K39" s="2693"/>
      <c r="L39" s="2693"/>
      <c r="M39" s="2693"/>
      <c r="N39" s="2694"/>
      <c r="O39" s="2693"/>
    </row>
    <row r="40" spans="6:15" ht="15.75">
      <c r="F40" s="2693"/>
      <c r="G40" s="2693"/>
      <c r="H40" s="2693"/>
      <c r="I40" s="2693"/>
      <c r="J40" s="2693"/>
      <c r="K40" s="2693"/>
      <c r="L40" s="2693"/>
      <c r="M40" s="2693"/>
      <c r="N40" s="2694"/>
      <c r="O40" s="2693"/>
    </row>
    <row r="41" spans="6:23" ht="15.75">
      <c r="F41" s="2693"/>
      <c r="G41" s="2693"/>
      <c r="H41" s="2693"/>
      <c r="I41" s="2693"/>
      <c r="J41" s="2693"/>
      <c r="K41" s="2693"/>
      <c r="L41" s="2693"/>
      <c r="M41" s="2693"/>
      <c r="N41" s="2694"/>
      <c r="O41" s="2693"/>
      <c r="W41" s="2696"/>
    </row>
  </sheetData>
  <sheetProtection/>
  <mergeCells count="2">
    <mergeCell ref="C21:C23"/>
    <mergeCell ref="C24:C27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45" r:id="rId4"/>
  <headerFooter alignWithMargins="0">
    <oddFooter>&amp;L&amp;F-&amp;A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0">
    <pageSetUpPr fitToPage="1"/>
  </sheetPr>
  <dimension ref="A1:AF43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6.42187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+'TOT-0614'!B2</f>
        <v>ANEXO I al Memorándum D.T.E.E. N°         347   / 2015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24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8" customFormat="1" ht="33" customHeight="1">
      <c r="B10" s="249"/>
      <c r="C10" s="250"/>
      <c r="D10" s="250"/>
      <c r="E10" s="250"/>
      <c r="F10" s="251" t="s">
        <v>25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51" t="s">
        <v>52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tr">
        <f>'TOT-0614'!B14</f>
        <v>Desde el 01 al 30 de junio de 2014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27</v>
      </c>
      <c r="G14" s="105">
        <v>117.179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28</v>
      </c>
      <c r="G15" s="105" t="s">
        <v>395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29</v>
      </c>
      <c r="D17" s="111" t="s">
        <v>30</v>
      </c>
      <c r="E17" s="111" t="s">
        <v>31</v>
      </c>
      <c r="F17" s="112" t="s">
        <v>5</v>
      </c>
      <c r="G17" s="113" t="s">
        <v>32</v>
      </c>
      <c r="H17" s="114" t="s">
        <v>33</v>
      </c>
      <c r="I17" s="115" t="s">
        <v>34</v>
      </c>
      <c r="J17" s="116" t="s">
        <v>35</v>
      </c>
      <c r="K17" s="117" t="s">
        <v>36</v>
      </c>
      <c r="L17" s="112" t="s">
        <v>37</v>
      </c>
      <c r="M17" s="118" t="s">
        <v>38</v>
      </c>
      <c r="N17" s="119" t="s">
        <v>39</v>
      </c>
      <c r="O17" s="114" t="s">
        <v>40</v>
      </c>
      <c r="P17" s="119" t="s">
        <v>316</v>
      </c>
      <c r="Q17" s="114" t="s">
        <v>41</v>
      </c>
      <c r="R17" s="118" t="s">
        <v>42</v>
      </c>
      <c r="S17" s="112" t="s">
        <v>43</v>
      </c>
      <c r="T17" s="120" t="s">
        <v>44</v>
      </c>
      <c r="U17" s="121" t="s">
        <v>45</v>
      </c>
      <c r="V17" s="122" t="s">
        <v>46</v>
      </c>
      <c r="W17" s="123"/>
      <c r="X17" s="124"/>
      <c r="Y17" s="125" t="s">
        <v>47</v>
      </c>
      <c r="Z17" s="126"/>
      <c r="AA17" s="127"/>
      <c r="AB17" s="128" t="s">
        <v>48</v>
      </c>
      <c r="AC17" s="129" t="s">
        <v>49</v>
      </c>
      <c r="AD17" s="130" t="s">
        <v>50</v>
      </c>
      <c r="AE17" s="130" t="s">
        <v>51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8"/>
      <c r="D19" s="258"/>
      <c r="E19" s="258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 t="e">
        <f aca="true" t="shared" si="1" ref="K19:K39">IF(G19=500,IF(H19&lt;100,100*$G$14/100,H19*$G$14/100),IF(H19&lt;100,100*$G$15/100,H19*$G$15/100))</f>
        <v>#VALUE!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59" t="str">
        <f aca="true" t="shared" si="7" ref="T19:T39">IF(P19="P",K19*J19*ROUND(O19/60,2)*0.01,"--")</f>
        <v>--</v>
      </c>
      <c r="U19" s="260" t="str">
        <f aca="true" t="shared" si="8" ref="U19:U39">IF(P19="RP",K19*J19*ROUND(O19/60,2)*0.01*Q19/100,"--")</f>
        <v>--</v>
      </c>
      <c r="V19" s="261" t="str">
        <f aca="true" t="shared" si="9" ref="V19:V39">IF(AND(P19="F",S19="NO"),K19*J19*IF(R19="SI",1.2,1),"--")</f>
        <v>--</v>
      </c>
      <c r="W19" s="262" t="str">
        <f aca="true" t="shared" si="10" ref="W19:W39">IF(AND(P19="F",O19&gt;=10),K19*J19*IF(R19="SI",1.2,1)*IF(O19&lt;=300,ROUND(O19/60,2),5),"--")</f>
        <v>--</v>
      </c>
      <c r="X19" s="263" t="str">
        <f aca="true" t="shared" si="11" ref="X19:X39">IF(AND(P19="F",O19&gt;300),(ROUND(O19/60,2)-5)*K19*J19*0.1*IF(R19="SI",1.2,1),"--")</f>
        <v>--</v>
      </c>
      <c r="Y19" s="264" t="str">
        <f aca="true" t="shared" si="12" ref="Y19:Y39">IF(AND(P19="R",S19="NO"),K19*J19*Q19/100*IF(R19="SI",1.2,1),"--")</f>
        <v>--</v>
      </c>
      <c r="Z19" s="265" t="str">
        <f aca="true" t="shared" si="13" ref="Z19:Z39">IF(AND(P19="R",O19&gt;=10),K19*J19*Q19/100*IF(R19="SI",1.2,1)*IF(O19&lt;=300,ROUND(O19/60,2),5),"--")</f>
        <v>--</v>
      </c>
      <c r="AA19" s="266" t="str">
        <f aca="true" t="shared" si="14" ref="AA19:AA39">IF(AND(P19="R",O19&gt;300),(ROUND(O19/60,2)-5)*K19*J19*0.1*Q19/100*IF(R19="SI",1.2,1),"--")</f>
        <v>--</v>
      </c>
      <c r="AB19" s="267" t="str">
        <f aca="true" t="shared" si="15" ref="AB19:AB39">IF(P19="RF",ROUND(O19/60,2)*K19*J19*0.1*IF(R19="SI",1.2,1),"--")</f>
        <v>--</v>
      </c>
      <c r="AC19" s="268" t="str">
        <f aca="true" t="shared" si="16" ref="AC19:AC39">IF(P19="RR",ROUND(O19/60,2)*K19*J19*0.1*Q19/100*IF(R19="SI",1.2,1),"--")</f>
        <v>--</v>
      </c>
      <c r="AD19" s="269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8">
        <v>12</v>
      </c>
      <c r="D20" s="258">
        <v>275461</v>
      </c>
      <c r="E20" s="258">
        <v>2948</v>
      </c>
      <c r="F20" s="194" t="s">
        <v>339</v>
      </c>
      <c r="G20" s="195">
        <v>500</v>
      </c>
      <c r="H20" s="196">
        <v>277</v>
      </c>
      <c r="I20" s="195" t="s">
        <v>331</v>
      </c>
      <c r="J20" s="172">
        <f t="shared" si="0"/>
        <v>20</v>
      </c>
      <c r="K20" s="173">
        <f t="shared" si="1"/>
        <v>324.58583000000004</v>
      </c>
      <c r="L20" s="174">
        <v>41791.02013888889</v>
      </c>
      <c r="M20" s="175">
        <v>41791.08194444444</v>
      </c>
      <c r="N20" s="176">
        <f t="shared" si="2"/>
        <v>1.4833333332790062</v>
      </c>
      <c r="O20" s="177">
        <f t="shared" si="3"/>
        <v>89</v>
      </c>
      <c r="P20" s="178" t="s">
        <v>332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59">
        <f t="shared" si="7"/>
        <v>96.07740568000001</v>
      </c>
      <c r="U20" s="260" t="str">
        <f t="shared" si="8"/>
        <v>--</v>
      </c>
      <c r="V20" s="261" t="str">
        <f t="shared" si="9"/>
        <v>--</v>
      </c>
      <c r="W20" s="262" t="str">
        <f t="shared" si="10"/>
        <v>--</v>
      </c>
      <c r="X20" s="263" t="str">
        <f t="shared" si="11"/>
        <v>--</v>
      </c>
      <c r="Y20" s="264" t="str">
        <f t="shared" si="12"/>
        <v>--</v>
      </c>
      <c r="Z20" s="265" t="str">
        <f t="shared" si="13"/>
        <v>--</v>
      </c>
      <c r="AA20" s="266" t="str">
        <f t="shared" si="14"/>
        <v>--</v>
      </c>
      <c r="AB20" s="267" t="str">
        <f t="shared" si="15"/>
        <v>--</v>
      </c>
      <c r="AC20" s="268" t="str">
        <f t="shared" si="16"/>
        <v>--</v>
      </c>
      <c r="AD20" s="191" t="s">
        <v>84</v>
      </c>
      <c r="AE20" s="192">
        <f t="shared" si="18"/>
        <v>96.07740568000001</v>
      </c>
      <c r="AF20" s="193"/>
    </row>
    <row r="21" spans="2:32" s="8" customFormat="1" ht="16.5" customHeight="1">
      <c r="B21" s="55"/>
      <c r="C21" s="150">
        <v>13</v>
      </c>
      <c r="D21" s="150">
        <v>275627</v>
      </c>
      <c r="E21" s="150">
        <v>2948</v>
      </c>
      <c r="F21" s="194" t="s">
        <v>339</v>
      </c>
      <c r="G21" s="195">
        <v>500</v>
      </c>
      <c r="H21" s="196">
        <v>277</v>
      </c>
      <c r="I21" s="195" t="s">
        <v>331</v>
      </c>
      <c r="J21" s="172">
        <f t="shared" si="0"/>
        <v>20</v>
      </c>
      <c r="K21" s="173">
        <f t="shared" si="1"/>
        <v>324.58583000000004</v>
      </c>
      <c r="L21" s="174">
        <v>41797.35833333333</v>
      </c>
      <c r="M21" s="175">
        <v>41797.51666666667</v>
      </c>
      <c r="N21" s="176">
        <f t="shared" si="2"/>
        <v>3.8000000001629815</v>
      </c>
      <c r="O21" s="177">
        <f t="shared" si="3"/>
        <v>228</v>
      </c>
      <c r="P21" s="178" t="s">
        <v>332</v>
      </c>
      <c r="Q21" s="179" t="str">
        <f t="shared" si="4"/>
        <v>--</v>
      </c>
      <c r="R21" s="180" t="str">
        <f t="shared" si="5"/>
        <v>NO</v>
      </c>
      <c r="S21" s="180" t="str">
        <f t="shared" si="6"/>
        <v>--</v>
      </c>
      <c r="T21" s="259">
        <f t="shared" si="7"/>
        <v>246.68523080000003</v>
      </c>
      <c r="U21" s="260" t="str">
        <f t="shared" si="8"/>
        <v>--</v>
      </c>
      <c r="V21" s="261" t="str">
        <f t="shared" si="9"/>
        <v>--</v>
      </c>
      <c r="W21" s="262" t="str">
        <f t="shared" si="10"/>
        <v>--</v>
      </c>
      <c r="X21" s="263" t="str">
        <f t="shared" si="11"/>
        <v>--</v>
      </c>
      <c r="Y21" s="264" t="str">
        <f t="shared" si="12"/>
        <v>--</v>
      </c>
      <c r="Z21" s="265" t="str">
        <f t="shared" si="13"/>
        <v>--</v>
      </c>
      <c r="AA21" s="266" t="str">
        <f t="shared" si="14"/>
        <v>--</v>
      </c>
      <c r="AB21" s="267" t="str">
        <f t="shared" si="15"/>
        <v>--</v>
      </c>
      <c r="AC21" s="268" t="str">
        <f t="shared" si="16"/>
        <v>--</v>
      </c>
      <c r="AD21" s="191" t="s">
        <v>84</v>
      </c>
      <c r="AE21" s="192">
        <f t="shared" si="18"/>
        <v>246.68523080000003</v>
      </c>
      <c r="AF21" s="193"/>
    </row>
    <row r="22" spans="2:32" s="8" customFormat="1" ht="16.5" customHeight="1">
      <c r="B22" s="55"/>
      <c r="C22" s="169"/>
      <c r="D22" s="169"/>
      <c r="E22" s="169"/>
      <c r="F22" s="194"/>
      <c r="G22" s="195"/>
      <c r="H22" s="196"/>
      <c r="I22" s="195"/>
      <c r="J22" s="172">
        <f t="shared" si="0"/>
        <v>20</v>
      </c>
      <c r="K22" s="173" t="e">
        <f t="shared" si="1"/>
        <v>#VALUE!</v>
      </c>
      <c r="L22" s="197"/>
      <c r="M22" s="198"/>
      <c r="N22" s="176">
        <f t="shared" si="2"/>
      </c>
      <c r="O22" s="177">
        <f t="shared" si="3"/>
      </c>
      <c r="P22" s="178"/>
      <c r="Q22" s="179">
        <f t="shared" si="4"/>
      </c>
      <c r="R22" s="180">
        <f t="shared" si="5"/>
      </c>
      <c r="S22" s="180">
        <f t="shared" si="6"/>
      </c>
      <c r="T22" s="259" t="str">
        <f t="shared" si="7"/>
        <v>--</v>
      </c>
      <c r="U22" s="260" t="str">
        <f t="shared" si="8"/>
        <v>--</v>
      </c>
      <c r="V22" s="261" t="str">
        <f t="shared" si="9"/>
        <v>--</v>
      </c>
      <c r="W22" s="262" t="str">
        <f t="shared" si="10"/>
        <v>--</v>
      </c>
      <c r="X22" s="263" t="str">
        <f t="shared" si="11"/>
        <v>--</v>
      </c>
      <c r="Y22" s="264" t="str">
        <f t="shared" si="12"/>
        <v>--</v>
      </c>
      <c r="Z22" s="265" t="str">
        <f t="shared" si="13"/>
        <v>--</v>
      </c>
      <c r="AA22" s="266" t="str">
        <f t="shared" si="14"/>
        <v>--</v>
      </c>
      <c r="AB22" s="267" t="str">
        <f t="shared" si="15"/>
        <v>--</v>
      </c>
      <c r="AC22" s="268" t="str">
        <f t="shared" si="16"/>
        <v>--</v>
      </c>
      <c r="AD22" s="191">
        <f t="shared" si="17"/>
      </c>
      <c r="AE22" s="192">
        <f t="shared" si="18"/>
      </c>
      <c r="AF22" s="193"/>
    </row>
    <row r="23" spans="2:32" s="8" customFormat="1" ht="16.5" customHeight="1">
      <c r="B23" s="55"/>
      <c r="C23" s="150"/>
      <c r="D23" s="150"/>
      <c r="E23" s="150"/>
      <c r="F23" s="194"/>
      <c r="G23" s="195"/>
      <c r="H23" s="196"/>
      <c r="I23" s="195"/>
      <c r="J23" s="172">
        <f t="shared" si="0"/>
        <v>20</v>
      </c>
      <c r="K23" s="173" t="e">
        <f t="shared" si="1"/>
        <v>#VALUE!</v>
      </c>
      <c r="L23" s="197"/>
      <c r="M23" s="198"/>
      <c r="N23" s="176">
        <f t="shared" si="2"/>
      </c>
      <c r="O23" s="177">
        <f t="shared" si="3"/>
      </c>
      <c r="P23" s="178"/>
      <c r="Q23" s="179">
        <f t="shared" si="4"/>
      </c>
      <c r="R23" s="180">
        <f t="shared" si="5"/>
      </c>
      <c r="S23" s="180">
        <f t="shared" si="6"/>
      </c>
      <c r="T23" s="259" t="str">
        <f t="shared" si="7"/>
        <v>--</v>
      </c>
      <c r="U23" s="260" t="str">
        <f t="shared" si="8"/>
        <v>--</v>
      </c>
      <c r="V23" s="261" t="str">
        <f t="shared" si="9"/>
        <v>--</v>
      </c>
      <c r="W23" s="262" t="str">
        <f t="shared" si="10"/>
        <v>--</v>
      </c>
      <c r="X23" s="263" t="str">
        <f t="shared" si="11"/>
        <v>--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191">
        <f t="shared" si="17"/>
      </c>
      <c r="AE23" s="192">
        <f t="shared" si="18"/>
      </c>
      <c r="AF23" s="193"/>
    </row>
    <row r="24" spans="2:32" s="8" customFormat="1" ht="16.5" customHeight="1">
      <c r="B24" s="55"/>
      <c r="C24" s="169"/>
      <c r="D24" s="169"/>
      <c r="E24" s="169"/>
      <c r="F24" s="169"/>
      <c r="G24" s="170"/>
      <c r="H24" s="171"/>
      <c r="I24" s="170"/>
      <c r="J24" s="172">
        <f t="shared" si="0"/>
        <v>20</v>
      </c>
      <c r="K24" s="173" t="e">
        <f t="shared" si="1"/>
        <v>#VALUE!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59" t="str">
        <f t="shared" si="7"/>
        <v>--</v>
      </c>
      <c r="U24" s="260" t="str">
        <f t="shared" si="8"/>
        <v>--</v>
      </c>
      <c r="V24" s="261" t="str">
        <f t="shared" si="9"/>
        <v>--</v>
      </c>
      <c r="W24" s="262" t="str">
        <f t="shared" si="10"/>
        <v>--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191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150"/>
      <c r="D25" s="150"/>
      <c r="E25" s="150"/>
      <c r="F25" s="169"/>
      <c r="G25" s="170"/>
      <c r="H25" s="171"/>
      <c r="I25" s="170"/>
      <c r="J25" s="172">
        <f t="shared" si="0"/>
        <v>20</v>
      </c>
      <c r="K25" s="173" t="e">
        <f t="shared" si="1"/>
        <v>#VALUE!</v>
      </c>
      <c r="L25" s="174"/>
      <c r="M25" s="175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191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 t="e">
        <f t="shared" si="1"/>
        <v>#VALUE!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150"/>
      <c r="E27" s="150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5"/>
      <c r="E40" s="169"/>
      <c r="F40" s="207"/>
      <c r="G40" s="208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229" t="s">
        <v>317</v>
      </c>
      <c r="D41" s="270" t="s">
        <v>420</v>
      </c>
      <c r="E41" s="229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342.76263648</v>
      </c>
      <c r="U41" s="237">
        <f t="shared" si="19"/>
        <v>0</v>
      </c>
      <c r="V41" s="238">
        <f t="shared" si="19"/>
        <v>0</v>
      </c>
      <c r="W41" s="238">
        <f t="shared" si="19"/>
        <v>0</v>
      </c>
      <c r="X41" s="238">
        <f t="shared" si="19"/>
        <v>0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342.76</v>
      </c>
      <c r="AF41" s="193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C43" s="247"/>
      <c r="D43" s="247"/>
      <c r="AF43" s="247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F43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7109375" style="9" customWidth="1"/>
    <col min="6" max="6" width="45.7109375" style="9" customWidth="1"/>
    <col min="7" max="8" width="9.7109375" style="9" customWidth="1"/>
    <col min="9" max="9" width="3.8515625" style="9" customWidth="1"/>
    <col min="10" max="10" width="3.140625" style="9" hidden="1" customWidth="1"/>
    <col min="11" max="11" width="6.00390625" style="9" hidden="1" customWidth="1"/>
    <col min="12" max="13" width="16.28125" style="9" customWidth="1"/>
    <col min="14" max="16" width="9.7109375" style="9" customWidth="1"/>
    <col min="17" max="17" width="8.7109375" style="9" customWidth="1"/>
    <col min="18" max="18" width="5.421875" style="9" customWidth="1"/>
    <col min="19" max="19" width="6.00390625" style="9" customWidth="1"/>
    <col min="20" max="21" width="12.28125" style="9" hidden="1" customWidth="1"/>
    <col min="22" max="27" width="5.7109375" style="9" hidden="1" customWidth="1"/>
    <col min="28" max="28" width="12.28125" style="9" hidden="1" customWidth="1"/>
    <col min="29" max="29" width="13.421875" style="9" hidden="1" customWidth="1"/>
    <col min="30" max="30" width="9.7109375" style="9" customWidth="1"/>
    <col min="31" max="31" width="15.7109375" style="9" customWidth="1"/>
    <col min="32" max="32" width="4.140625" style="9" customWidth="1"/>
    <col min="33" max="33" width="30.421875" style="9" customWidth="1"/>
    <col min="34" max="34" width="3.140625" style="9" customWidth="1"/>
    <col min="35" max="35" width="3.57421875" style="9" customWidth="1"/>
    <col min="36" max="36" width="24.28125" style="9" customWidth="1"/>
    <col min="37" max="37" width="4.7109375" style="9" customWidth="1"/>
    <col min="38" max="38" width="7.57421875" style="9" customWidth="1"/>
    <col min="39" max="40" width="4.140625" style="9" customWidth="1"/>
    <col min="41" max="41" width="7.140625" style="9" customWidth="1"/>
    <col min="42" max="42" width="5.28125" style="9" customWidth="1"/>
    <col min="43" max="43" width="5.421875" style="9" customWidth="1"/>
    <col min="44" max="44" width="4.7109375" style="9" customWidth="1"/>
    <col min="45" max="45" width="5.28125" style="9" customWidth="1"/>
    <col min="46" max="47" width="13.28125" style="9" customWidth="1"/>
    <col min="48" max="48" width="6.57421875" style="9" customWidth="1"/>
    <col min="49" max="49" width="6.421875" style="9" customWidth="1"/>
    <col min="50" max="53" width="11.421875" style="9" customWidth="1"/>
    <col min="54" max="54" width="12.7109375" style="9" customWidth="1"/>
    <col min="55" max="57" width="11.421875" style="9" customWidth="1"/>
    <col min="58" max="58" width="21.00390625" style="9" customWidth="1"/>
    <col min="59" max="16384" width="11.421875" style="9" customWidth="1"/>
  </cols>
  <sheetData>
    <row r="1" spans="1:32" s="3" customFormat="1" ht="26.25">
      <c r="A1" s="9"/>
      <c r="E1" s="9"/>
      <c r="G1" s="9"/>
      <c r="I1" s="9"/>
      <c r="K1" s="9"/>
      <c r="M1" s="9"/>
      <c r="O1" s="9"/>
      <c r="Q1" s="9"/>
      <c r="S1" s="9"/>
      <c r="U1" s="9"/>
      <c r="W1" s="9"/>
      <c r="Y1" s="9"/>
      <c r="AA1" s="9"/>
      <c r="AF1" s="5"/>
    </row>
    <row r="2" spans="1:32" s="3" customFormat="1" ht="26.25">
      <c r="A2" s="88"/>
      <c r="B2" s="2" t="str">
        <f>+'TOT-0614'!B2</f>
        <v>ANEXO I al Memorándum D.T.E.E. N°         347   / 2015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="8" customFormat="1" ht="23.25" customHeight="1">
      <c r="A3" s="89"/>
    </row>
    <row r="4" spans="1:4" s="14" customFormat="1" ht="11.25">
      <c r="A4" s="12" t="s">
        <v>2</v>
      </c>
      <c r="B4" s="90"/>
      <c r="C4" s="90"/>
      <c r="D4" s="90"/>
    </row>
    <row r="5" spans="1:4" s="14" customFormat="1" ht="11.25">
      <c r="A5" s="12" t="s">
        <v>3</v>
      </c>
      <c r="B5" s="90"/>
      <c r="C5" s="90"/>
      <c r="D5" s="90"/>
    </row>
    <row r="6" s="8" customFormat="1" ht="13.5" thickBot="1"/>
    <row r="7" spans="2:32" s="8" customFormat="1" ht="13.5" thickTop="1">
      <c r="B7" s="91"/>
      <c r="C7" s="92"/>
      <c r="D7" s="92"/>
      <c r="E7" s="92"/>
      <c r="F7" s="92"/>
      <c r="G7" s="93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4"/>
    </row>
    <row r="8" spans="2:32" s="18" customFormat="1" ht="20.25">
      <c r="B8" s="95"/>
      <c r="C8" s="23"/>
      <c r="D8" s="23"/>
      <c r="E8" s="23"/>
      <c r="F8" s="96" t="s">
        <v>24</v>
      </c>
      <c r="G8" s="23"/>
      <c r="H8" s="23"/>
      <c r="I8" s="23"/>
      <c r="J8" s="23"/>
      <c r="P8" s="23"/>
      <c r="Q8" s="23"/>
      <c r="R8" s="97"/>
      <c r="S8" s="97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98"/>
    </row>
    <row r="9" spans="2:32" s="8" customFormat="1" ht="16.5" customHeight="1">
      <c r="B9" s="55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99"/>
    </row>
    <row r="10" spans="2:32" s="248" customFormat="1" ht="33" customHeight="1">
      <c r="B10" s="249"/>
      <c r="C10" s="250"/>
      <c r="D10" s="250"/>
      <c r="E10" s="250"/>
      <c r="F10" s="251" t="s">
        <v>25</v>
      </c>
      <c r="G10" s="250"/>
      <c r="H10" s="250"/>
      <c r="I10" s="250"/>
      <c r="K10" s="250"/>
      <c r="L10" s="250"/>
      <c r="M10" s="250"/>
      <c r="N10" s="250"/>
      <c r="O10" s="250"/>
      <c r="P10" s="250"/>
      <c r="Q10" s="250"/>
      <c r="R10" s="251"/>
      <c r="S10" s="251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2"/>
    </row>
    <row r="11" spans="2:32" s="253" customFormat="1" ht="33" customHeight="1">
      <c r="B11" s="254"/>
      <c r="C11" s="255"/>
      <c r="D11" s="255"/>
      <c r="E11" s="255"/>
      <c r="F11" s="271" t="s">
        <v>54</v>
      </c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7"/>
    </row>
    <row r="12" spans="2:32" s="34" customFormat="1" ht="19.5">
      <c r="B12" s="35" t="str">
        <f>'TOT-0614'!B14</f>
        <v>Desde el 01 al 30 de junio de 2014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101"/>
      <c r="Q12" s="101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102"/>
    </row>
    <row r="13" spans="2:32" s="8" customFormat="1" ht="16.5" customHeight="1" thickBot="1">
      <c r="B13" s="55"/>
      <c r="C13" s="11"/>
      <c r="D13" s="11"/>
      <c r="E13" s="11"/>
      <c r="F13" s="11"/>
      <c r="G13" s="85"/>
      <c r="H13" s="85"/>
      <c r="I13" s="11"/>
      <c r="J13" s="11"/>
      <c r="K13" s="11"/>
      <c r="L13" s="103"/>
      <c r="M13" s="11"/>
      <c r="N13" s="11"/>
      <c r="O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99"/>
    </row>
    <row r="14" spans="2:32" s="8" customFormat="1" ht="16.5" customHeight="1" thickBot="1" thickTop="1">
      <c r="B14" s="55"/>
      <c r="C14" s="11"/>
      <c r="D14" s="11"/>
      <c r="E14" s="11"/>
      <c r="F14" s="104" t="s">
        <v>27</v>
      </c>
      <c r="G14" s="105">
        <v>391.631</v>
      </c>
      <c r="H14" s="106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99"/>
    </row>
    <row r="15" spans="2:32" s="8" customFormat="1" ht="16.5" customHeight="1" thickBot="1" thickTop="1">
      <c r="B15" s="55"/>
      <c r="C15" s="11"/>
      <c r="D15" s="11"/>
      <c r="E15" s="11"/>
      <c r="F15" s="104" t="s">
        <v>28</v>
      </c>
      <c r="G15" s="105" t="s">
        <v>395</v>
      </c>
      <c r="H15" s="106"/>
      <c r="I15" s="11"/>
      <c r="J15" s="11"/>
      <c r="K15" s="11"/>
      <c r="L15" s="107"/>
      <c r="M15" s="108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09"/>
      <c r="Y15" s="109"/>
      <c r="Z15" s="109"/>
      <c r="AA15" s="109"/>
      <c r="AB15" s="109"/>
      <c r="AC15" s="109"/>
      <c r="AD15" s="109"/>
      <c r="AF15" s="99"/>
    </row>
    <row r="16" spans="2:32" s="8" customFormat="1" ht="16.5" customHeight="1" thickBot="1" thickTop="1">
      <c r="B16" s="55"/>
      <c r="C16" s="110">
        <v>3</v>
      </c>
      <c r="D16" s="110">
        <v>4</v>
      </c>
      <c r="E16" s="110">
        <v>5</v>
      </c>
      <c r="F16" s="110">
        <v>6</v>
      </c>
      <c r="G16" s="110">
        <v>7</v>
      </c>
      <c r="H16" s="110">
        <v>8</v>
      </c>
      <c r="I16" s="110">
        <v>9</v>
      </c>
      <c r="J16" s="110">
        <v>10</v>
      </c>
      <c r="K16" s="110">
        <v>11</v>
      </c>
      <c r="L16" s="110">
        <v>12</v>
      </c>
      <c r="M16" s="110">
        <v>13</v>
      </c>
      <c r="N16" s="110">
        <v>14</v>
      </c>
      <c r="O16" s="110">
        <v>15</v>
      </c>
      <c r="P16" s="110">
        <v>16</v>
      </c>
      <c r="Q16" s="110">
        <v>17</v>
      </c>
      <c r="R16" s="110">
        <v>18</v>
      </c>
      <c r="S16" s="110">
        <v>19</v>
      </c>
      <c r="T16" s="110">
        <v>20</v>
      </c>
      <c r="U16" s="110">
        <v>21</v>
      </c>
      <c r="V16" s="110">
        <v>22</v>
      </c>
      <c r="W16" s="110">
        <v>23</v>
      </c>
      <c r="X16" s="110">
        <v>24</v>
      </c>
      <c r="Y16" s="110">
        <v>25</v>
      </c>
      <c r="Z16" s="110">
        <v>26</v>
      </c>
      <c r="AA16" s="110">
        <v>27</v>
      </c>
      <c r="AB16" s="110">
        <v>28</v>
      </c>
      <c r="AC16" s="110">
        <v>29</v>
      </c>
      <c r="AD16" s="110">
        <v>30</v>
      </c>
      <c r="AE16" s="110">
        <v>31</v>
      </c>
      <c r="AF16" s="99"/>
    </row>
    <row r="17" spans="2:32" s="8" customFormat="1" ht="33.75" customHeight="1" thickBot="1" thickTop="1">
      <c r="B17" s="55"/>
      <c r="C17" s="111" t="s">
        <v>29</v>
      </c>
      <c r="D17" s="111" t="s">
        <v>30</v>
      </c>
      <c r="E17" s="111" t="s">
        <v>31</v>
      </c>
      <c r="F17" s="112" t="s">
        <v>5</v>
      </c>
      <c r="G17" s="113" t="s">
        <v>32</v>
      </c>
      <c r="H17" s="114" t="s">
        <v>33</v>
      </c>
      <c r="I17" s="115" t="s">
        <v>34</v>
      </c>
      <c r="J17" s="116" t="s">
        <v>35</v>
      </c>
      <c r="K17" s="117" t="s">
        <v>36</v>
      </c>
      <c r="L17" s="112" t="s">
        <v>37</v>
      </c>
      <c r="M17" s="118" t="s">
        <v>38</v>
      </c>
      <c r="N17" s="119" t="s">
        <v>39</v>
      </c>
      <c r="O17" s="114" t="s">
        <v>40</v>
      </c>
      <c r="P17" s="119" t="s">
        <v>316</v>
      </c>
      <c r="Q17" s="114" t="s">
        <v>41</v>
      </c>
      <c r="R17" s="118" t="s">
        <v>42</v>
      </c>
      <c r="S17" s="112" t="s">
        <v>43</v>
      </c>
      <c r="T17" s="120" t="s">
        <v>44</v>
      </c>
      <c r="U17" s="121" t="s">
        <v>45</v>
      </c>
      <c r="V17" s="122" t="s">
        <v>46</v>
      </c>
      <c r="W17" s="123"/>
      <c r="X17" s="124"/>
      <c r="Y17" s="125" t="s">
        <v>47</v>
      </c>
      <c r="Z17" s="126"/>
      <c r="AA17" s="127"/>
      <c r="AB17" s="128" t="s">
        <v>48</v>
      </c>
      <c r="AC17" s="129" t="s">
        <v>49</v>
      </c>
      <c r="AD17" s="130" t="s">
        <v>50</v>
      </c>
      <c r="AE17" s="130" t="s">
        <v>51</v>
      </c>
      <c r="AF17" s="131"/>
    </row>
    <row r="18" spans="2:32" s="8" customFormat="1" ht="16.5" customHeight="1" thickTop="1">
      <c r="B18" s="55"/>
      <c r="C18" s="132"/>
      <c r="D18" s="132"/>
      <c r="E18" s="132"/>
      <c r="F18" s="133"/>
      <c r="G18" s="133"/>
      <c r="H18" s="134"/>
      <c r="I18" s="135"/>
      <c r="J18" s="136"/>
      <c r="K18" s="137"/>
      <c r="L18" s="138"/>
      <c r="M18" s="138"/>
      <c r="N18" s="135"/>
      <c r="O18" s="135"/>
      <c r="P18" s="135"/>
      <c r="Q18" s="135"/>
      <c r="R18" s="135"/>
      <c r="S18" s="135"/>
      <c r="T18" s="139"/>
      <c r="U18" s="140"/>
      <c r="V18" s="141"/>
      <c r="W18" s="142"/>
      <c r="X18" s="143"/>
      <c r="Y18" s="144"/>
      <c r="Z18" s="145"/>
      <c r="AA18" s="146"/>
      <c r="AB18" s="147"/>
      <c r="AC18" s="148"/>
      <c r="AD18" s="135"/>
      <c r="AE18" s="149"/>
      <c r="AF18" s="99"/>
    </row>
    <row r="19" spans="2:32" s="8" customFormat="1" ht="16.5" customHeight="1">
      <c r="B19" s="55"/>
      <c r="C19" s="258"/>
      <c r="D19" s="258"/>
      <c r="E19" s="258"/>
      <c r="F19" s="194"/>
      <c r="G19" s="195"/>
      <c r="H19" s="196"/>
      <c r="I19" s="195"/>
      <c r="J19" s="172">
        <f aca="true" t="shared" si="0" ref="J19:J39">IF(I19="A",200,IF(I19="B",60,20))</f>
        <v>20</v>
      </c>
      <c r="K19" s="173" t="e">
        <f aca="true" t="shared" si="1" ref="K19:K39">IF(G19=500,IF(H19&lt;100,100*$G$14/100,H19*$G$14/100),IF(H19&lt;100,100*$G$15/100,H19*$G$15/100))</f>
        <v>#VALUE!</v>
      </c>
      <c r="L19" s="174"/>
      <c r="M19" s="175"/>
      <c r="N19" s="176">
        <f aca="true" t="shared" si="2" ref="N19:N39">IF(F19="","",(M19-L19)*24)</f>
      </c>
      <c r="O19" s="177">
        <f aca="true" t="shared" si="3" ref="O19:O39">IF(F19="","",ROUND((M19-L19)*24*60,0))</f>
      </c>
      <c r="P19" s="178"/>
      <c r="Q19" s="179">
        <f aca="true" t="shared" si="4" ref="Q19:Q39">IF(F19="","","--")</f>
      </c>
      <c r="R19" s="180">
        <f aca="true" t="shared" si="5" ref="R19:R39">IF(F19="","","NO")</f>
      </c>
      <c r="S19" s="180">
        <f aca="true" t="shared" si="6" ref="S19:S39">IF(F19="","",IF(OR(P19="P",P19="RP"),"--","NO"))</f>
      </c>
      <c r="T19" s="259" t="str">
        <f aca="true" t="shared" si="7" ref="T19:T39">IF(P19="P",K19*J19*ROUND(O19/60,2)*0.01,"--")</f>
        <v>--</v>
      </c>
      <c r="U19" s="260" t="str">
        <f aca="true" t="shared" si="8" ref="U19:U39">IF(P19="RP",K19*J19*ROUND(O19/60,2)*0.01*Q19/100,"--")</f>
        <v>--</v>
      </c>
      <c r="V19" s="261" t="str">
        <f aca="true" t="shared" si="9" ref="V19:V39">IF(AND(P19="F",S19="NO"),K19*J19*IF(R19="SI",1.2,1),"--")</f>
        <v>--</v>
      </c>
      <c r="W19" s="262" t="str">
        <f aca="true" t="shared" si="10" ref="W19:W39">IF(AND(P19="F",O19&gt;=10),K19*J19*IF(R19="SI",1.2,1)*IF(O19&lt;=300,ROUND(O19/60,2),5),"--")</f>
        <v>--</v>
      </c>
      <c r="X19" s="263" t="str">
        <f aca="true" t="shared" si="11" ref="X19:X39">IF(AND(P19="F",O19&gt;300),(ROUND(O19/60,2)-5)*K19*J19*0.1*IF(R19="SI",1.2,1),"--")</f>
        <v>--</v>
      </c>
      <c r="Y19" s="264" t="str">
        <f aca="true" t="shared" si="12" ref="Y19:Y39">IF(AND(P19="R",S19="NO"),K19*J19*Q19/100*IF(R19="SI",1.2,1),"--")</f>
        <v>--</v>
      </c>
      <c r="Z19" s="265" t="str">
        <f aca="true" t="shared" si="13" ref="Z19:Z39">IF(AND(P19="R",O19&gt;=10),K19*J19*Q19/100*IF(R19="SI",1.2,1)*IF(O19&lt;=300,ROUND(O19/60,2),5),"--")</f>
        <v>--</v>
      </c>
      <c r="AA19" s="266" t="str">
        <f aca="true" t="shared" si="14" ref="AA19:AA39">IF(AND(P19="R",O19&gt;300),(ROUND(O19/60,2)-5)*K19*J19*0.1*Q19/100*IF(R19="SI",1.2,1),"--")</f>
        <v>--</v>
      </c>
      <c r="AB19" s="267" t="str">
        <f aca="true" t="shared" si="15" ref="AB19:AB39">IF(P19="RF",ROUND(O19/60,2)*K19*J19*0.1*IF(R19="SI",1.2,1),"--")</f>
        <v>--</v>
      </c>
      <c r="AC19" s="268" t="str">
        <f aca="true" t="shared" si="16" ref="AC19:AC39">IF(P19="RR",ROUND(O19/60,2)*K19*J19*0.1*Q19/100*IF(R19="SI",1.2,1),"--")</f>
        <v>--</v>
      </c>
      <c r="AD19" s="269">
        <f aca="true" t="shared" si="17" ref="AD19:AD39">IF(F19="","","SI")</f>
      </c>
      <c r="AE19" s="192">
        <f aca="true" t="shared" si="18" ref="AE19:AE39">IF(F19="","",SUM(T19:AC19)*IF(AD19="SI",1,2))</f>
      </c>
      <c r="AF19" s="99"/>
    </row>
    <row r="20" spans="2:32" s="8" customFormat="1" ht="16.5" customHeight="1">
      <c r="B20" s="55"/>
      <c r="C20" s="258">
        <v>14</v>
      </c>
      <c r="D20" s="258">
        <v>276062</v>
      </c>
      <c r="E20" s="258">
        <v>4444</v>
      </c>
      <c r="F20" s="194" t="s">
        <v>340</v>
      </c>
      <c r="G20" s="195">
        <v>500</v>
      </c>
      <c r="H20" s="196">
        <v>354</v>
      </c>
      <c r="I20" s="195" t="s">
        <v>331</v>
      </c>
      <c r="J20" s="172">
        <f t="shared" si="0"/>
        <v>20</v>
      </c>
      <c r="K20" s="173">
        <f t="shared" si="1"/>
        <v>1386.3737399999998</v>
      </c>
      <c r="L20" s="174">
        <v>41810.40694444445</v>
      </c>
      <c r="M20" s="175">
        <v>41810.74722222222</v>
      </c>
      <c r="N20" s="176">
        <f t="shared" si="2"/>
        <v>8.166666666569654</v>
      </c>
      <c r="O20" s="177">
        <f t="shared" si="3"/>
        <v>490</v>
      </c>
      <c r="P20" s="178" t="s">
        <v>332</v>
      </c>
      <c r="Q20" s="179" t="str">
        <f t="shared" si="4"/>
        <v>--</v>
      </c>
      <c r="R20" s="180" t="str">
        <f t="shared" si="5"/>
        <v>NO</v>
      </c>
      <c r="S20" s="180" t="str">
        <f t="shared" si="6"/>
        <v>--</v>
      </c>
      <c r="T20" s="259">
        <f t="shared" si="7"/>
        <v>2265.3346911599997</v>
      </c>
      <c r="U20" s="260" t="str">
        <f t="shared" si="8"/>
        <v>--</v>
      </c>
      <c r="V20" s="261" t="str">
        <f t="shared" si="9"/>
        <v>--</v>
      </c>
      <c r="W20" s="262" t="str">
        <f t="shared" si="10"/>
        <v>--</v>
      </c>
      <c r="X20" s="263" t="str">
        <f t="shared" si="11"/>
        <v>--</v>
      </c>
      <c r="Y20" s="264" t="str">
        <f t="shared" si="12"/>
        <v>--</v>
      </c>
      <c r="Z20" s="265" t="str">
        <f t="shared" si="13"/>
        <v>--</v>
      </c>
      <c r="AA20" s="266" t="str">
        <f t="shared" si="14"/>
        <v>--</v>
      </c>
      <c r="AB20" s="267" t="str">
        <f t="shared" si="15"/>
        <v>--</v>
      </c>
      <c r="AC20" s="268" t="str">
        <f t="shared" si="16"/>
        <v>--</v>
      </c>
      <c r="AD20" s="191" t="s">
        <v>84</v>
      </c>
      <c r="AE20" s="192">
        <f t="shared" si="18"/>
        <v>2265.3346911599997</v>
      </c>
      <c r="AF20" s="193"/>
    </row>
    <row r="21" spans="2:32" s="8" customFormat="1" ht="16.5" customHeight="1">
      <c r="B21" s="55"/>
      <c r="C21" s="150">
        <v>15</v>
      </c>
      <c r="D21" s="150">
        <v>276064</v>
      </c>
      <c r="E21" s="150">
        <v>4444</v>
      </c>
      <c r="F21" s="194" t="s">
        <v>340</v>
      </c>
      <c r="G21" s="195">
        <v>500</v>
      </c>
      <c r="H21" s="196">
        <v>354</v>
      </c>
      <c r="I21" s="195" t="s">
        <v>331</v>
      </c>
      <c r="J21" s="172">
        <f t="shared" si="0"/>
        <v>20</v>
      </c>
      <c r="K21" s="173">
        <f t="shared" si="1"/>
        <v>1386.3737399999998</v>
      </c>
      <c r="L21" s="174">
        <v>41812.34583333333</v>
      </c>
      <c r="M21" s="175">
        <v>41812.729166666664</v>
      </c>
      <c r="N21" s="176">
        <f t="shared" si="2"/>
        <v>9.199999999953434</v>
      </c>
      <c r="O21" s="177">
        <f t="shared" si="3"/>
        <v>552</v>
      </c>
      <c r="P21" s="178" t="s">
        <v>332</v>
      </c>
      <c r="Q21" s="179" t="str">
        <f t="shared" si="4"/>
        <v>--</v>
      </c>
      <c r="R21" s="180" t="str">
        <f t="shared" si="5"/>
        <v>NO</v>
      </c>
      <c r="S21" s="180" t="str">
        <f t="shared" si="6"/>
        <v>--</v>
      </c>
      <c r="T21" s="259">
        <f t="shared" si="7"/>
        <v>2550.9276815999997</v>
      </c>
      <c r="U21" s="260" t="str">
        <f t="shared" si="8"/>
        <v>--</v>
      </c>
      <c r="V21" s="261" t="str">
        <f t="shared" si="9"/>
        <v>--</v>
      </c>
      <c r="W21" s="262" t="str">
        <f t="shared" si="10"/>
        <v>--</v>
      </c>
      <c r="X21" s="263" t="str">
        <f t="shared" si="11"/>
        <v>--</v>
      </c>
      <c r="Y21" s="264" t="str">
        <f t="shared" si="12"/>
        <v>--</v>
      </c>
      <c r="Z21" s="265" t="str">
        <f t="shared" si="13"/>
        <v>--</v>
      </c>
      <c r="AA21" s="266" t="str">
        <f t="shared" si="14"/>
        <v>--</v>
      </c>
      <c r="AB21" s="267" t="str">
        <f t="shared" si="15"/>
        <v>--</v>
      </c>
      <c r="AC21" s="268" t="str">
        <f t="shared" si="16"/>
        <v>--</v>
      </c>
      <c r="AD21" s="191" t="s">
        <v>84</v>
      </c>
      <c r="AE21" s="192">
        <f t="shared" si="18"/>
        <v>2550.9276815999997</v>
      </c>
      <c r="AF21" s="193"/>
    </row>
    <row r="22" spans="2:32" s="8" customFormat="1" ht="16.5" customHeight="1">
      <c r="B22" s="55"/>
      <c r="C22" s="169"/>
      <c r="D22" s="169"/>
      <c r="E22" s="169"/>
      <c r="F22" s="194"/>
      <c r="G22" s="195"/>
      <c r="H22" s="196"/>
      <c r="I22" s="195"/>
      <c r="J22" s="172">
        <f t="shared" si="0"/>
        <v>20</v>
      </c>
      <c r="K22" s="173" t="e">
        <f t="shared" si="1"/>
        <v>#VALUE!</v>
      </c>
      <c r="L22" s="197"/>
      <c r="M22" s="198"/>
      <c r="N22" s="176">
        <f t="shared" si="2"/>
      </c>
      <c r="O22" s="177">
        <f t="shared" si="3"/>
      </c>
      <c r="P22" s="178"/>
      <c r="Q22" s="179">
        <f t="shared" si="4"/>
      </c>
      <c r="R22" s="180">
        <f t="shared" si="5"/>
      </c>
      <c r="S22" s="180">
        <f t="shared" si="6"/>
      </c>
      <c r="T22" s="259" t="str">
        <f t="shared" si="7"/>
        <v>--</v>
      </c>
      <c r="U22" s="260" t="str">
        <f t="shared" si="8"/>
        <v>--</v>
      </c>
      <c r="V22" s="261" t="str">
        <f t="shared" si="9"/>
        <v>--</v>
      </c>
      <c r="W22" s="262" t="str">
        <f t="shared" si="10"/>
        <v>--</v>
      </c>
      <c r="X22" s="263" t="str">
        <f t="shared" si="11"/>
        <v>--</v>
      </c>
      <c r="Y22" s="264" t="str">
        <f t="shared" si="12"/>
        <v>--</v>
      </c>
      <c r="Z22" s="265" t="str">
        <f t="shared" si="13"/>
        <v>--</v>
      </c>
      <c r="AA22" s="266" t="str">
        <f t="shared" si="14"/>
        <v>--</v>
      </c>
      <c r="AB22" s="267" t="str">
        <f t="shared" si="15"/>
        <v>--</v>
      </c>
      <c r="AC22" s="268" t="str">
        <f t="shared" si="16"/>
        <v>--</v>
      </c>
      <c r="AD22" s="191">
        <f t="shared" si="17"/>
      </c>
      <c r="AE22" s="192">
        <f t="shared" si="18"/>
      </c>
      <c r="AF22" s="193"/>
    </row>
    <row r="23" spans="2:32" s="8" customFormat="1" ht="16.5" customHeight="1">
      <c r="B23" s="55"/>
      <c r="C23" s="150"/>
      <c r="D23" s="150"/>
      <c r="E23" s="150"/>
      <c r="F23" s="194"/>
      <c r="G23" s="195"/>
      <c r="H23" s="196"/>
      <c r="I23" s="195"/>
      <c r="J23" s="172">
        <f t="shared" si="0"/>
        <v>20</v>
      </c>
      <c r="K23" s="173" t="e">
        <f t="shared" si="1"/>
        <v>#VALUE!</v>
      </c>
      <c r="L23" s="197"/>
      <c r="M23" s="198"/>
      <c r="N23" s="176">
        <f t="shared" si="2"/>
      </c>
      <c r="O23" s="177">
        <f t="shared" si="3"/>
      </c>
      <c r="P23" s="178"/>
      <c r="Q23" s="179">
        <f t="shared" si="4"/>
      </c>
      <c r="R23" s="180">
        <f t="shared" si="5"/>
      </c>
      <c r="S23" s="180">
        <f t="shared" si="6"/>
      </c>
      <c r="T23" s="259" t="str">
        <f t="shared" si="7"/>
        <v>--</v>
      </c>
      <c r="U23" s="260" t="str">
        <f t="shared" si="8"/>
        <v>--</v>
      </c>
      <c r="V23" s="261" t="str">
        <f t="shared" si="9"/>
        <v>--</v>
      </c>
      <c r="W23" s="262" t="str">
        <f t="shared" si="10"/>
        <v>--</v>
      </c>
      <c r="X23" s="263" t="str">
        <f t="shared" si="11"/>
        <v>--</v>
      </c>
      <c r="Y23" s="264" t="str">
        <f t="shared" si="12"/>
        <v>--</v>
      </c>
      <c r="Z23" s="265" t="str">
        <f t="shared" si="13"/>
        <v>--</v>
      </c>
      <c r="AA23" s="266" t="str">
        <f t="shared" si="14"/>
        <v>--</v>
      </c>
      <c r="AB23" s="267" t="str">
        <f t="shared" si="15"/>
        <v>--</v>
      </c>
      <c r="AC23" s="268" t="str">
        <f t="shared" si="16"/>
        <v>--</v>
      </c>
      <c r="AD23" s="191">
        <f t="shared" si="17"/>
      </c>
      <c r="AE23" s="192">
        <f t="shared" si="18"/>
      </c>
      <c r="AF23" s="193"/>
    </row>
    <row r="24" spans="2:32" s="8" customFormat="1" ht="16.5" customHeight="1">
      <c r="B24" s="55"/>
      <c r="C24" s="169"/>
      <c r="D24" s="169"/>
      <c r="E24" s="169"/>
      <c r="F24" s="169"/>
      <c r="G24" s="170"/>
      <c r="H24" s="171"/>
      <c r="I24" s="170"/>
      <c r="J24" s="172">
        <f t="shared" si="0"/>
        <v>20</v>
      </c>
      <c r="K24" s="173" t="e">
        <f t="shared" si="1"/>
        <v>#VALUE!</v>
      </c>
      <c r="L24" s="174"/>
      <c r="M24" s="175"/>
      <c r="N24" s="176">
        <f t="shared" si="2"/>
      </c>
      <c r="O24" s="177">
        <f t="shared" si="3"/>
      </c>
      <c r="P24" s="178"/>
      <c r="Q24" s="179">
        <f t="shared" si="4"/>
      </c>
      <c r="R24" s="180">
        <f t="shared" si="5"/>
      </c>
      <c r="S24" s="180">
        <f t="shared" si="6"/>
      </c>
      <c r="T24" s="259" t="str">
        <f t="shared" si="7"/>
        <v>--</v>
      </c>
      <c r="U24" s="260" t="str">
        <f t="shared" si="8"/>
        <v>--</v>
      </c>
      <c r="V24" s="261" t="str">
        <f t="shared" si="9"/>
        <v>--</v>
      </c>
      <c r="W24" s="262" t="str">
        <f t="shared" si="10"/>
        <v>--</v>
      </c>
      <c r="X24" s="263" t="str">
        <f t="shared" si="11"/>
        <v>--</v>
      </c>
      <c r="Y24" s="264" t="str">
        <f t="shared" si="12"/>
        <v>--</v>
      </c>
      <c r="Z24" s="265" t="str">
        <f t="shared" si="13"/>
        <v>--</v>
      </c>
      <c r="AA24" s="266" t="str">
        <f t="shared" si="14"/>
        <v>--</v>
      </c>
      <c r="AB24" s="267" t="str">
        <f t="shared" si="15"/>
        <v>--</v>
      </c>
      <c r="AC24" s="268" t="str">
        <f t="shared" si="16"/>
        <v>--</v>
      </c>
      <c r="AD24" s="191">
        <f t="shared" si="17"/>
      </c>
      <c r="AE24" s="192">
        <f t="shared" si="18"/>
      </c>
      <c r="AF24" s="193"/>
    </row>
    <row r="25" spans="2:32" s="8" customFormat="1" ht="16.5" customHeight="1">
      <c r="B25" s="55"/>
      <c r="C25" s="150"/>
      <c r="D25" s="150"/>
      <c r="E25" s="150"/>
      <c r="F25" s="169"/>
      <c r="G25" s="170"/>
      <c r="H25" s="171"/>
      <c r="I25" s="170"/>
      <c r="J25" s="172">
        <f t="shared" si="0"/>
        <v>20</v>
      </c>
      <c r="K25" s="173" t="e">
        <f t="shared" si="1"/>
        <v>#VALUE!</v>
      </c>
      <c r="L25" s="174"/>
      <c r="M25" s="175"/>
      <c r="N25" s="176">
        <f t="shared" si="2"/>
      </c>
      <c r="O25" s="177">
        <f t="shared" si="3"/>
      </c>
      <c r="P25" s="178"/>
      <c r="Q25" s="179">
        <f t="shared" si="4"/>
      </c>
      <c r="R25" s="180">
        <f t="shared" si="5"/>
      </c>
      <c r="S25" s="180">
        <f t="shared" si="6"/>
      </c>
      <c r="T25" s="259" t="str">
        <f t="shared" si="7"/>
        <v>--</v>
      </c>
      <c r="U25" s="260" t="str">
        <f t="shared" si="8"/>
        <v>--</v>
      </c>
      <c r="V25" s="261" t="str">
        <f t="shared" si="9"/>
        <v>--</v>
      </c>
      <c r="W25" s="262" t="str">
        <f t="shared" si="10"/>
        <v>--</v>
      </c>
      <c r="X25" s="263" t="str">
        <f t="shared" si="11"/>
        <v>--</v>
      </c>
      <c r="Y25" s="264" t="str">
        <f t="shared" si="12"/>
        <v>--</v>
      </c>
      <c r="Z25" s="265" t="str">
        <f t="shared" si="13"/>
        <v>--</v>
      </c>
      <c r="AA25" s="266" t="str">
        <f t="shared" si="14"/>
        <v>--</v>
      </c>
      <c r="AB25" s="267" t="str">
        <f t="shared" si="15"/>
        <v>--</v>
      </c>
      <c r="AC25" s="268" t="str">
        <f t="shared" si="16"/>
        <v>--</v>
      </c>
      <c r="AD25" s="191">
        <f t="shared" si="17"/>
      </c>
      <c r="AE25" s="192">
        <f t="shared" si="18"/>
      </c>
      <c r="AF25" s="193"/>
    </row>
    <row r="26" spans="2:32" s="8" customFormat="1" ht="16.5" customHeight="1">
      <c r="B26" s="55"/>
      <c r="C26" s="169"/>
      <c r="D26" s="169"/>
      <c r="E26" s="169"/>
      <c r="F26" s="199"/>
      <c r="G26" s="200"/>
      <c r="H26" s="201"/>
      <c r="I26" s="200"/>
      <c r="J26" s="172">
        <f t="shared" si="0"/>
        <v>20</v>
      </c>
      <c r="K26" s="173" t="e">
        <f t="shared" si="1"/>
        <v>#VALUE!</v>
      </c>
      <c r="L26" s="202"/>
      <c r="M26" s="203"/>
      <c r="N26" s="176">
        <f t="shared" si="2"/>
      </c>
      <c r="O26" s="177">
        <f t="shared" si="3"/>
      </c>
      <c r="P26" s="178"/>
      <c r="Q26" s="179">
        <f t="shared" si="4"/>
      </c>
      <c r="R26" s="180">
        <f t="shared" si="5"/>
      </c>
      <c r="S26" s="180">
        <f t="shared" si="6"/>
      </c>
      <c r="T26" s="259" t="str">
        <f t="shared" si="7"/>
        <v>--</v>
      </c>
      <c r="U26" s="260" t="str">
        <f t="shared" si="8"/>
        <v>--</v>
      </c>
      <c r="V26" s="261" t="str">
        <f t="shared" si="9"/>
        <v>--</v>
      </c>
      <c r="W26" s="262" t="str">
        <f t="shared" si="10"/>
        <v>--</v>
      </c>
      <c r="X26" s="263" t="str">
        <f t="shared" si="11"/>
        <v>--</v>
      </c>
      <c r="Y26" s="264" t="str">
        <f t="shared" si="12"/>
        <v>--</v>
      </c>
      <c r="Z26" s="265" t="str">
        <f t="shared" si="13"/>
        <v>--</v>
      </c>
      <c r="AA26" s="266" t="str">
        <f t="shared" si="14"/>
        <v>--</v>
      </c>
      <c r="AB26" s="267" t="str">
        <f t="shared" si="15"/>
        <v>--</v>
      </c>
      <c r="AC26" s="268" t="str">
        <f t="shared" si="16"/>
        <v>--</v>
      </c>
      <c r="AD26" s="191">
        <f t="shared" si="17"/>
      </c>
      <c r="AE26" s="192">
        <f t="shared" si="18"/>
      </c>
      <c r="AF26" s="193"/>
    </row>
    <row r="27" spans="2:32" s="8" customFormat="1" ht="16.5" customHeight="1">
      <c r="B27" s="55"/>
      <c r="C27" s="150"/>
      <c r="D27" s="150"/>
      <c r="E27" s="150"/>
      <c r="F27" s="199"/>
      <c r="G27" s="200"/>
      <c r="H27" s="201"/>
      <c r="I27" s="200"/>
      <c r="J27" s="172">
        <f t="shared" si="0"/>
        <v>20</v>
      </c>
      <c r="K27" s="173" t="e">
        <f t="shared" si="1"/>
        <v>#VALUE!</v>
      </c>
      <c r="L27" s="202"/>
      <c r="M27" s="203"/>
      <c r="N27" s="176">
        <f t="shared" si="2"/>
      </c>
      <c r="O27" s="177">
        <f t="shared" si="3"/>
      </c>
      <c r="P27" s="178"/>
      <c r="Q27" s="179">
        <f t="shared" si="4"/>
      </c>
      <c r="R27" s="180">
        <f t="shared" si="5"/>
      </c>
      <c r="S27" s="180">
        <f t="shared" si="6"/>
      </c>
      <c r="T27" s="259" t="str">
        <f t="shared" si="7"/>
        <v>--</v>
      </c>
      <c r="U27" s="260" t="str">
        <f t="shared" si="8"/>
        <v>--</v>
      </c>
      <c r="V27" s="261" t="str">
        <f t="shared" si="9"/>
        <v>--</v>
      </c>
      <c r="W27" s="262" t="str">
        <f t="shared" si="10"/>
        <v>--</v>
      </c>
      <c r="X27" s="263" t="str">
        <f t="shared" si="11"/>
        <v>--</v>
      </c>
      <c r="Y27" s="264" t="str">
        <f t="shared" si="12"/>
        <v>--</v>
      </c>
      <c r="Z27" s="265" t="str">
        <f t="shared" si="13"/>
        <v>--</v>
      </c>
      <c r="AA27" s="266" t="str">
        <f t="shared" si="14"/>
        <v>--</v>
      </c>
      <c r="AB27" s="267" t="str">
        <f t="shared" si="15"/>
        <v>--</v>
      </c>
      <c r="AC27" s="268" t="str">
        <f t="shared" si="16"/>
        <v>--</v>
      </c>
      <c r="AD27" s="191">
        <f t="shared" si="17"/>
      </c>
      <c r="AE27" s="192">
        <f t="shared" si="18"/>
      </c>
      <c r="AF27" s="193"/>
    </row>
    <row r="28" spans="2:32" s="8" customFormat="1" ht="16.5" customHeight="1">
      <c r="B28" s="55"/>
      <c r="C28" s="169"/>
      <c r="D28" s="169"/>
      <c r="E28" s="169"/>
      <c r="F28" s="199"/>
      <c r="G28" s="200"/>
      <c r="H28" s="201"/>
      <c r="I28" s="200"/>
      <c r="J28" s="172">
        <f t="shared" si="0"/>
        <v>20</v>
      </c>
      <c r="K28" s="173" t="e">
        <f t="shared" si="1"/>
        <v>#VALUE!</v>
      </c>
      <c r="L28" s="202"/>
      <c r="M28" s="203"/>
      <c r="N28" s="176">
        <f t="shared" si="2"/>
      </c>
      <c r="O28" s="177">
        <f t="shared" si="3"/>
      </c>
      <c r="P28" s="178"/>
      <c r="Q28" s="179">
        <f t="shared" si="4"/>
      </c>
      <c r="R28" s="180">
        <f t="shared" si="5"/>
      </c>
      <c r="S28" s="180">
        <f t="shared" si="6"/>
      </c>
      <c r="T28" s="259" t="str">
        <f t="shared" si="7"/>
        <v>--</v>
      </c>
      <c r="U28" s="260" t="str">
        <f t="shared" si="8"/>
        <v>--</v>
      </c>
      <c r="V28" s="261" t="str">
        <f t="shared" si="9"/>
        <v>--</v>
      </c>
      <c r="W28" s="262" t="str">
        <f t="shared" si="10"/>
        <v>--</v>
      </c>
      <c r="X28" s="263" t="str">
        <f t="shared" si="11"/>
        <v>--</v>
      </c>
      <c r="Y28" s="264" t="str">
        <f t="shared" si="12"/>
        <v>--</v>
      </c>
      <c r="Z28" s="265" t="str">
        <f t="shared" si="13"/>
        <v>--</v>
      </c>
      <c r="AA28" s="266" t="str">
        <f t="shared" si="14"/>
        <v>--</v>
      </c>
      <c r="AB28" s="267" t="str">
        <f t="shared" si="15"/>
        <v>--</v>
      </c>
      <c r="AC28" s="268" t="str">
        <f t="shared" si="16"/>
        <v>--</v>
      </c>
      <c r="AD28" s="191">
        <f t="shared" si="17"/>
      </c>
      <c r="AE28" s="192">
        <f t="shared" si="18"/>
      </c>
      <c r="AF28" s="193"/>
    </row>
    <row r="29" spans="2:32" s="8" customFormat="1" ht="16.5" customHeight="1">
      <c r="B29" s="55"/>
      <c r="C29" s="150"/>
      <c r="D29" s="150"/>
      <c r="E29" s="150"/>
      <c r="F29" s="199"/>
      <c r="G29" s="200"/>
      <c r="H29" s="201"/>
      <c r="I29" s="200"/>
      <c r="J29" s="172">
        <f t="shared" si="0"/>
        <v>20</v>
      </c>
      <c r="K29" s="173" t="e">
        <f t="shared" si="1"/>
        <v>#VALUE!</v>
      </c>
      <c r="L29" s="202"/>
      <c r="M29" s="203"/>
      <c r="N29" s="176">
        <f t="shared" si="2"/>
      </c>
      <c r="O29" s="177">
        <f t="shared" si="3"/>
      </c>
      <c r="P29" s="178"/>
      <c r="Q29" s="179">
        <f t="shared" si="4"/>
      </c>
      <c r="R29" s="180">
        <f t="shared" si="5"/>
      </c>
      <c r="S29" s="180">
        <f t="shared" si="6"/>
      </c>
      <c r="T29" s="259" t="str">
        <f t="shared" si="7"/>
        <v>--</v>
      </c>
      <c r="U29" s="260" t="str">
        <f t="shared" si="8"/>
        <v>--</v>
      </c>
      <c r="V29" s="261" t="str">
        <f t="shared" si="9"/>
        <v>--</v>
      </c>
      <c r="W29" s="262" t="str">
        <f t="shared" si="10"/>
        <v>--</v>
      </c>
      <c r="X29" s="263" t="str">
        <f t="shared" si="11"/>
        <v>--</v>
      </c>
      <c r="Y29" s="264" t="str">
        <f t="shared" si="12"/>
        <v>--</v>
      </c>
      <c r="Z29" s="265" t="str">
        <f t="shared" si="13"/>
        <v>--</v>
      </c>
      <c r="AA29" s="266" t="str">
        <f t="shared" si="14"/>
        <v>--</v>
      </c>
      <c r="AB29" s="267" t="str">
        <f t="shared" si="15"/>
        <v>--</v>
      </c>
      <c r="AC29" s="268" t="str">
        <f t="shared" si="16"/>
        <v>--</v>
      </c>
      <c r="AD29" s="191">
        <f t="shared" si="17"/>
      </c>
      <c r="AE29" s="192">
        <f t="shared" si="18"/>
      </c>
      <c r="AF29" s="193"/>
    </row>
    <row r="30" spans="2:32" s="8" customFormat="1" ht="16.5" customHeight="1">
      <c r="B30" s="55"/>
      <c r="C30" s="169"/>
      <c r="D30" s="169"/>
      <c r="E30" s="169"/>
      <c r="F30" s="199"/>
      <c r="G30" s="200"/>
      <c r="H30" s="201"/>
      <c r="I30" s="200"/>
      <c r="J30" s="172">
        <f t="shared" si="0"/>
        <v>20</v>
      </c>
      <c r="K30" s="173" t="e">
        <f t="shared" si="1"/>
        <v>#VALUE!</v>
      </c>
      <c r="L30" s="202"/>
      <c r="M30" s="203"/>
      <c r="N30" s="176">
        <f t="shared" si="2"/>
      </c>
      <c r="O30" s="177">
        <f t="shared" si="3"/>
      </c>
      <c r="P30" s="178"/>
      <c r="Q30" s="179">
        <f t="shared" si="4"/>
      </c>
      <c r="R30" s="180">
        <f t="shared" si="5"/>
      </c>
      <c r="S30" s="180">
        <f t="shared" si="6"/>
      </c>
      <c r="T30" s="259" t="str">
        <f t="shared" si="7"/>
        <v>--</v>
      </c>
      <c r="U30" s="260" t="str">
        <f t="shared" si="8"/>
        <v>--</v>
      </c>
      <c r="V30" s="261" t="str">
        <f t="shared" si="9"/>
        <v>--</v>
      </c>
      <c r="W30" s="262" t="str">
        <f t="shared" si="10"/>
        <v>--</v>
      </c>
      <c r="X30" s="263" t="str">
        <f t="shared" si="11"/>
        <v>--</v>
      </c>
      <c r="Y30" s="264" t="str">
        <f t="shared" si="12"/>
        <v>--</v>
      </c>
      <c r="Z30" s="265" t="str">
        <f t="shared" si="13"/>
        <v>--</v>
      </c>
      <c r="AA30" s="266" t="str">
        <f t="shared" si="14"/>
        <v>--</v>
      </c>
      <c r="AB30" s="267" t="str">
        <f t="shared" si="15"/>
        <v>--</v>
      </c>
      <c r="AC30" s="268" t="str">
        <f t="shared" si="16"/>
        <v>--</v>
      </c>
      <c r="AD30" s="191">
        <f t="shared" si="17"/>
      </c>
      <c r="AE30" s="192">
        <f t="shared" si="18"/>
      </c>
      <c r="AF30" s="193"/>
    </row>
    <row r="31" spans="2:32" s="8" customFormat="1" ht="16.5" customHeight="1">
      <c r="B31" s="55"/>
      <c r="C31" s="150"/>
      <c r="D31" s="150"/>
      <c r="E31" s="150"/>
      <c r="F31" s="199"/>
      <c r="G31" s="200"/>
      <c r="H31" s="201"/>
      <c r="I31" s="200"/>
      <c r="J31" s="172">
        <f t="shared" si="0"/>
        <v>20</v>
      </c>
      <c r="K31" s="173" t="e">
        <f t="shared" si="1"/>
        <v>#VALUE!</v>
      </c>
      <c r="L31" s="202"/>
      <c r="M31" s="204"/>
      <c r="N31" s="176">
        <f t="shared" si="2"/>
      </c>
      <c r="O31" s="177">
        <f t="shared" si="3"/>
      </c>
      <c r="P31" s="178"/>
      <c r="Q31" s="179">
        <f t="shared" si="4"/>
      </c>
      <c r="R31" s="180">
        <f t="shared" si="5"/>
      </c>
      <c r="S31" s="180">
        <f t="shared" si="6"/>
      </c>
      <c r="T31" s="259" t="str">
        <f t="shared" si="7"/>
        <v>--</v>
      </c>
      <c r="U31" s="260" t="str">
        <f t="shared" si="8"/>
        <v>--</v>
      </c>
      <c r="V31" s="261" t="str">
        <f t="shared" si="9"/>
        <v>--</v>
      </c>
      <c r="W31" s="262" t="str">
        <f t="shared" si="10"/>
        <v>--</v>
      </c>
      <c r="X31" s="263" t="str">
        <f t="shared" si="11"/>
        <v>--</v>
      </c>
      <c r="Y31" s="264" t="str">
        <f t="shared" si="12"/>
        <v>--</v>
      </c>
      <c r="Z31" s="265" t="str">
        <f t="shared" si="13"/>
        <v>--</v>
      </c>
      <c r="AA31" s="266" t="str">
        <f t="shared" si="14"/>
        <v>--</v>
      </c>
      <c r="AB31" s="267" t="str">
        <f t="shared" si="15"/>
        <v>--</v>
      </c>
      <c r="AC31" s="268" t="str">
        <f t="shared" si="16"/>
        <v>--</v>
      </c>
      <c r="AD31" s="191">
        <f t="shared" si="17"/>
      </c>
      <c r="AE31" s="192">
        <f t="shared" si="18"/>
      </c>
      <c r="AF31" s="193"/>
    </row>
    <row r="32" spans="2:32" s="8" customFormat="1" ht="16.5" customHeight="1">
      <c r="B32" s="55"/>
      <c r="C32" s="169"/>
      <c r="D32" s="169"/>
      <c r="E32" s="169"/>
      <c r="F32" s="199"/>
      <c r="G32" s="200"/>
      <c r="H32" s="201"/>
      <c r="I32" s="200"/>
      <c r="J32" s="172">
        <f t="shared" si="0"/>
        <v>20</v>
      </c>
      <c r="K32" s="173" t="e">
        <f t="shared" si="1"/>
        <v>#VALUE!</v>
      </c>
      <c r="L32" s="202"/>
      <c r="M32" s="204"/>
      <c r="N32" s="176">
        <f t="shared" si="2"/>
      </c>
      <c r="O32" s="177">
        <f t="shared" si="3"/>
      </c>
      <c r="P32" s="178"/>
      <c r="Q32" s="179">
        <f t="shared" si="4"/>
      </c>
      <c r="R32" s="180">
        <f t="shared" si="5"/>
      </c>
      <c r="S32" s="180">
        <f t="shared" si="6"/>
      </c>
      <c r="T32" s="259" t="str">
        <f t="shared" si="7"/>
        <v>--</v>
      </c>
      <c r="U32" s="260" t="str">
        <f t="shared" si="8"/>
        <v>--</v>
      </c>
      <c r="V32" s="261" t="str">
        <f t="shared" si="9"/>
        <v>--</v>
      </c>
      <c r="W32" s="262" t="str">
        <f t="shared" si="10"/>
        <v>--</v>
      </c>
      <c r="X32" s="263" t="str">
        <f t="shared" si="11"/>
        <v>--</v>
      </c>
      <c r="Y32" s="264" t="str">
        <f t="shared" si="12"/>
        <v>--</v>
      </c>
      <c r="Z32" s="265" t="str">
        <f t="shared" si="13"/>
        <v>--</v>
      </c>
      <c r="AA32" s="266" t="str">
        <f t="shared" si="14"/>
        <v>--</v>
      </c>
      <c r="AB32" s="267" t="str">
        <f t="shared" si="15"/>
        <v>--</v>
      </c>
      <c r="AC32" s="268" t="str">
        <f t="shared" si="16"/>
        <v>--</v>
      </c>
      <c r="AD32" s="191">
        <f t="shared" si="17"/>
      </c>
      <c r="AE32" s="192">
        <f t="shared" si="18"/>
      </c>
      <c r="AF32" s="193"/>
    </row>
    <row r="33" spans="2:32" s="8" customFormat="1" ht="16.5" customHeight="1">
      <c r="B33" s="55"/>
      <c r="C33" s="150"/>
      <c r="D33" s="150"/>
      <c r="E33" s="150"/>
      <c r="F33" s="199"/>
      <c r="G33" s="200"/>
      <c r="H33" s="201"/>
      <c r="I33" s="200"/>
      <c r="J33" s="172">
        <f t="shared" si="0"/>
        <v>20</v>
      </c>
      <c r="K33" s="173" t="e">
        <f t="shared" si="1"/>
        <v>#VALUE!</v>
      </c>
      <c r="L33" s="202"/>
      <c r="M33" s="204"/>
      <c r="N33" s="176">
        <f t="shared" si="2"/>
      </c>
      <c r="O33" s="177">
        <f t="shared" si="3"/>
      </c>
      <c r="P33" s="178"/>
      <c r="Q33" s="179">
        <f t="shared" si="4"/>
      </c>
      <c r="R33" s="180">
        <f t="shared" si="5"/>
      </c>
      <c r="S33" s="180">
        <f t="shared" si="6"/>
      </c>
      <c r="T33" s="259" t="str">
        <f t="shared" si="7"/>
        <v>--</v>
      </c>
      <c r="U33" s="260" t="str">
        <f t="shared" si="8"/>
        <v>--</v>
      </c>
      <c r="V33" s="261" t="str">
        <f t="shared" si="9"/>
        <v>--</v>
      </c>
      <c r="W33" s="262" t="str">
        <f t="shared" si="10"/>
        <v>--</v>
      </c>
      <c r="X33" s="263" t="str">
        <f t="shared" si="11"/>
        <v>--</v>
      </c>
      <c r="Y33" s="264" t="str">
        <f t="shared" si="12"/>
        <v>--</v>
      </c>
      <c r="Z33" s="265" t="str">
        <f t="shared" si="13"/>
        <v>--</v>
      </c>
      <c r="AA33" s="266" t="str">
        <f t="shared" si="14"/>
        <v>--</v>
      </c>
      <c r="AB33" s="267" t="str">
        <f t="shared" si="15"/>
        <v>--</v>
      </c>
      <c r="AC33" s="268" t="str">
        <f t="shared" si="16"/>
        <v>--</v>
      </c>
      <c r="AD33" s="191">
        <f t="shared" si="17"/>
      </c>
      <c r="AE33" s="192">
        <f t="shared" si="18"/>
      </c>
      <c r="AF33" s="193"/>
    </row>
    <row r="34" spans="2:32" s="8" customFormat="1" ht="16.5" customHeight="1">
      <c r="B34" s="55"/>
      <c r="C34" s="169"/>
      <c r="D34" s="169"/>
      <c r="E34" s="169"/>
      <c r="F34" s="199"/>
      <c r="G34" s="200"/>
      <c r="H34" s="201"/>
      <c r="I34" s="200"/>
      <c r="J34" s="172">
        <f t="shared" si="0"/>
        <v>20</v>
      </c>
      <c r="K34" s="173" t="e">
        <f t="shared" si="1"/>
        <v>#VALUE!</v>
      </c>
      <c r="L34" s="202"/>
      <c r="M34" s="204"/>
      <c r="N34" s="176">
        <f t="shared" si="2"/>
      </c>
      <c r="O34" s="177">
        <f t="shared" si="3"/>
      </c>
      <c r="P34" s="178"/>
      <c r="Q34" s="179">
        <f t="shared" si="4"/>
      </c>
      <c r="R34" s="180">
        <f t="shared" si="5"/>
      </c>
      <c r="S34" s="180">
        <f t="shared" si="6"/>
      </c>
      <c r="T34" s="259" t="str">
        <f t="shared" si="7"/>
        <v>--</v>
      </c>
      <c r="U34" s="260" t="str">
        <f t="shared" si="8"/>
        <v>--</v>
      </c>
      <c r="V34" s="261" t="str">
        <f t="shared" si="9"/>
        <v>--</v>
      </c>
      <c r="W34" s="262" t="str">
        <f t="shared" si="10"/>
        <v>--</v>
      </c>
      <c r="X34" s="263" t="str">
        <f t="shared" si="11"/>
        <v>--</v>
      </c>
      <c r="Y34" s="264" t="str">
        <f t="shared" si="12"/>
        <v>--</v>
      </c>
      <c r="Z34" s="265" t="str">
        <f t="shared" si="13"/>
        <v>--</v>
      </c>
      <c r="AA34" s="266" t="str">
        <f t="shared" si="14"/>
        <v>--</v>
      </c>
      <c r="AB34" s="267" t="str">
        <f t="shared" si="15"/>
        <v>--</v>
      </c>
      <c r="AC34" s="268" t="str">
        <f t="shared" si="16"/>
        <v>--</v>
      </c>
      <c r="AD34" s="191">
        <f t="shared" si="17"/>
      </c>
      <c r="AE34" s="192">
        <f t="shared" si="18"/>
      </c>
      <c r="AF34" s="193"/>
    </row>
    <row r="35" spans="2:32" s="8" customFormat="1" ht="16.5" customHeight="1">
      <c r="B35" s="55"/>
      <c r="C35" s="150"/>
      <c r="D35" s="150"/>
      <c r="E35" s="150"/>
      <c r="F35" s="199"/>
      <c r="G35" s="200"/>
      <c r="H35" s="201"/>
      <c r="I35" s="200"/>
      <c r="J35" s="172">
        <f t="shared" si="0"/>
        <v>20</v>
      </c>
      <c r="K35" s="173" t="e">
        <f t="shared" si="1"/>
        <v>#VALUE!</v>
      </c>
      <c r="L35" s="202"/>
      <c r="M35" s="204"/>
      <c r="N35" s="176">
        <f t="shared" si="2"/>
      </c>
      <c r="O35" s="177">
        <f t="shared" si="3"/>
      </c>
      <c r="P35" s="178"/>
      <c r="Q35" s="179">
        <f t="shared" si="4"/>
      </c>
      <c r="R35" s="180">
        <f t="shared" si="5"/>
      </c>
      <c r="S35" s="180">
        <f t="shared" si="6"/>
      </c>
      <c r="T35" s="259" t="str">
        <f t="shared" si="7"/>
        <v>--</v>
      </c>
      <c r="U35" s="260" t="str">
        <f t="shared" si="8"/>
        <v>--</v>
      </c>
      <c r="V35" s="261" t="str">
        <f t="shared" si="9"/>
        <v>--</v>
      </c>
      <c r="W35" s="262" t="str">
        <f t="shared" si="10"/>
        <v>--</v>
      </c>
      <c r="X35" s="263" t="str">
        <f t="shared" si="11"/>
        <v>--</v>
      </c>
      <c r="Y35" s="264" t="str">
        <f t="shared" si="12"/>
        <v>--</v>
      </c>
      <c r="Z35" s="265" t="str">
        <f t="shared" si="13"/>
        <v>--</v>
      </c>
      <c r="AA35" s="266" t="str">
        <f t="shared" si="14"/>
        <v>--</v>
      </c>
      <c r="AB35" s="267" t="str">
        <f t="shared" si="15"/>
        <v>--</v>
      </c>
      <c r="AC35" s="268" t="str">
        <f t="shared" si="16"/>
        <v>--</v>
      </c>
      <c r="AD35" s="191">
        <f t="shared" si="17"/>
      </c>
      <c r="AE35" s="192">
        <f t="shared" si="18"/>
      </c>
      <c r="AF35" s="193"/>
    </row>
    <row r="36" spans="2:32" s="8" customFormat="1" ht="16.5" customHeight="1">
      <c r="B36" s="55"/>
      <c r="C36" s="169"/>
      <c r="D36" s="169"/>
      <c r="E36" s="169"/>
      <c r="F36" s="199"/>
      <c r="G36" s="200"/>
      <c r="H36" s="201"/>
      <c r="I36" s="200"/>
      <c r="J36" s="172">
        <f t="shared" si="0"/>
        <v>20</v>
      </c>
      <c r="K36" s="173" t="e">
        <f t="shared" si="1"/>
        <v>#VALUE!</v>
      </c>
      <c r="L36" s="202"/>
      <c r="M36" s="204"/>
      <c r="N36" s="176">
        <f t="shared" si="2"/>
      </c>
      <c r="O36" s="177">
        <f t="shared" si="3"/>
      </c>
      <c r="P36" s="178"/>
      <c r="Q36" s="179">
        <f t="shared" si="4"/>
      </c>
      <c r="R36" s="180">
        <f t="shared" si="5"/>
      </c>
      <c r="S36" s="180">
        <f t="shared" si="6"/>
      </c>
      <c r="T36" s="259" t="str">
        <f t="shared" si="7"/>
        <v>--</v>
      </c>
      <c r="U36" s="260" t="str">
        <f t="shared" si="8"/>
        <v>--</v>
      </c>
      <c r="V36" s="261" t="str">
        <f t="shared" si="9"/>
        <v>--</v>
      </c>
      <c r="W36" s="262" t="str">
        <f t="shared" si="10"/>
        <v>--</v>
      </c>
      <c r="X36" s="263" t="str">
        <f t="shared" si="11"/>
        <v>--</v>
      </c>
      <c r="Y36" s="264" t="str">
        <f t="shared" si="12"/>
        <v>--</v>
      </c>
      <c r="Z36" s="265" t="str">
        <f t="shared" si="13"/>
        <v>--</v>
      </c>
      <c r="AA36" s="266" t="str">
        <f t="shared" si="14"/>
        <v>--</v>
      </c>
      <c r="AB36" s="267" t="str">
        <f t="shared" si="15"/>
        <v>--</v>
      </c>
      <c r="AC36" s="268" t="str">
        <f t="shared" si="16"/>
        <v>--</v>
      </c>
      <c r="AD36" s="191">
        <f t="shared" si="17"/>
      </c>
      <c r="AE36" s="192">
        <f t="shared" si="18"/>
      </c>
      <c r="AF36" s="193"/>
    </row>
    <row r="37" spans="2:32" s="8" customFormat="1" ht="16.5" customHeight="1">
      <c r="B37" s="55"/>
      <c r="C37" s="150"/>
      <c r="D37" s="150"/>
      <c r="E37" s="150"/>
      <c r="F37" s="199"/>
      <c r="G37" s="200"/>
      <c r="H37" s="201"/>
      <c r="I37" s="200"/>
      <c r="J37" s="172">
        <f t="shared" si="0"/>
        <v>20</v>
      </c>
      <c r="K37" s="173" t="e">
        <f t="shared" si="1"/>
        <v>#VALUE!</v>
      </c>
      <c r="L37" s="202"/>
      <c r="M37" s="204"/>
      <c r="N37" s="176">
        <f t="shared" si="2"/>
      </c>
      <c r="O37" s="177">
        <f t="shared" si="3"/>
      </c>
      <c r="P37" s="178"/>
      <c r="Q37" s="179">
        <f t="shared" si="4"/>
      </c>
      <c r="R37" s="180">
        <f t="shared" si="5"/>
      </c>
      <c r="S37" s="180">
        <f t="shared" si="6"/>
      </c>
      <c r="T37" s="259" t="str">
        <f t="shared" si="7"/>
        <v>--</v>
      </c>
      <c r="U37" s="260" t="str">
        <f t="shared" si="8"/>
        <v>--</v>
      </c>
      <c r="V37" s="261" t="str">
        <f t="shared" si="9"/>
        <v>--</v>
      </c>
      <c r="W37" s="262" t="str">
        <f t="shared" si="10"/>
        <v>--</v>
      </c>
      <c r="X37" s="263" t="str">
        <f t="shared" si="11"/>
        <v>--</v>
      </c>
      <c r="Y37" s="264" t="str">
        <f t="shared" si="12"/>
        <v>--</v>
      </c>
      <c r="Z37" s="265" t="str">
        <f t="shared" si="13"/>
        <v>--</v>
      </c>
      <c r="AA37" s="266" t="str">
        <f t="shared" si="14"/>
        <v>--</v>
      </c>
      <c r="AB37" s="267" t="str">
        <f t="shared" si="15"/>
        <v>--</v>
      </c>
      <c r="AC37" s="268" t="str">
        <f t="shared" si="16"/>
        <v>--</v>
      </c>
      <c r="AD37" s="191">
        <f t="shared" si="17"/>
      </c>
      <c r="AE37" s="192">
        <f t="shared" si="18"/>
      </c>
      <c r="AF37" s="193"/>
    </row>
    <row r="38" spans="2:32" s="8" customFormat="1" ht="16.5" customHeight="1">
      <c r="B38" s="55"/>
      <c r="C38" s="169"/>
      <c r="D38" s="169"/>
      <c r="E38" s="169"/>
      <c r="F38" s="199"/>
      <c r="G38" s="200"/>
      <c r="H38" s="201"/>
      <c r="I38" s="200"/>
      <c r="J38" s="172">
        <f t="shared" si="0"/>
        <v>20</v>
      </c>
      <c r="K38" s="173" t="e">
        <f t="shared" si="1"/>
        <v>#VALUE!</v>
      </c>
      <c r="L38" s="202"/>
      <c r="M38" s="204"/>
      <c r="N38" s="176">
        <f t="shared" si="2"/>
      </c>
      <c r="O38" s="177">
        <f t="shared" si="3"/>
      </c>
      <c r="P38" s="178"/>
      <c r="Q38" s="179">
        <f t="shared" si="4"/>
      </c>
      <c r="R38" s="180">
        <f t="shared" si="5"/>
      </c>
      <c r="S38" s="180">
        <f t="shared" si="6"/>
      </c>
      <c r="T38" s="259" t="str">
        <f t="shared" si="7"/>
        <v>--</v>
      </c>
      <c r="U38" s="260" t="str">
        <f t="shared" si="8"/>
        <v>--</v>
      </c>
      <c r="V38" s="261" t="str">
        <f t="shared" si="9"/>
        <v>--</v>
      </c>
      <c r="W38" s="262" t="str">
        <f t="shared" si="10"/>
        <v>--</v>
      </c>
      <c r="X38" s="263" t="str">
        <f t="shared" si="11"/>
        <v>--</v>
      </c>
      <c r="Y38" s="264" t="str">
        <f t="shared" si="12"/>
        <v>--</v>
      </c>
      <c r="Z38" s="265" t="str">
        <f t="shared" si="13"/>
        <v>--</v>
      </c>
      <c r="AA38" s="266" t="str">
        <f t="shared" si="14"/>
        <v>--</v>
      </c>
      <c r="AB38" s="267" t="str">
        <f t="shared" si="15"/>
        <v>--</v>
      </c>
      <c r="AC38" s="268" t="str">
        <f t="shared" si="16"/>
        <v>--</v>
      </c>
      <c r="AD38" s="191">
        <f t="shared" si="17"/>
      </c>
      <c r="AE38" s="192">
        <f t="shared" si="18"/>
      </c>
      <c r="AF38" s="193"/>
    </row>
    <row r="39" spans="2:32" s="8" customFormat="1" ht="16.5" customHeight="1">
      <c r="B39" s="55"/>
      <c r="C39" s="150"/>
      <c r="D39" s="150"/>
      <c r="E39" s="150"/>
      <c r="F39" s="199"/>
      <c r="G39" s="200"/>
      <c r="H39" s="201"/>
      <c r="I39" s="200"/>
      <c r="J39" s="172">
        <f t="shared" si="0"/>
        <v>20</v>
      </c>
      <c r="K39" s="173" t="e">
        <f t="shared" si="1"/>
        <v>#VALUE!</v>
      </c>
      <c r="L39" s="202"/>
      <c r="M39" s="204"/>
      <c r="N39" s="176">
        <f t="shared" si="2"/>
      </c>
      <c r="O39" s="177">
        <f t="shared" si="3"/>
      </c>
      <c r="P39" s="178"/>
      <c r="Q39" s="179">
        <f t="shared" si="4"/>
      </c>
      <c r="R39" s="180">
        <f t="shared" si="5"/>
      </c>
      <c r="S39" s="180">
        <f t="shared" si="6"/>
      </c>
      <c r="T39" s="259" t="str">
        <f t="shared" si="7"/>
        <v>--</v>
      </c>
      <c r="U39" s="260" t="str">
        <f t="shared" si="8"/>
        <v>--</v>
      </c>
      <c r="V39" s="261" t="str">
        <f t="shared" si="9"/>
        <v>--</v>
      </c>
      <c r="W39" s="262" t="str">
        <f t="shared" si="10"/>
        <v>--</v>
      </c>
      <c r="X39" s="263" t="str">
        <f t="shared" si="11"/>
        <v>--</v>
      </c>
      <c r="Y39" s="264" t="str">
        <f t="shared" si="12"/>
        <v>--</v>
      </c>
      <c r="Z39" s="265" t="str">
        <f t="shared" si="13"/>
        <v>--</v>
      </c>
      <c r="AA39" s="266" t="str">
        <f t="shared" si="14"/>
        <v>--</v>
      </c>
      <c r="AB39" s="267" t="str">
        <f t="shared" si="15"/>
        <v>--</v>
      </c>
      <c r="AC39" s="268" t="str">
        <f t="shared" si="16"/>
        <v>--</v>
      </c>
      <c r="AD39" s="191">
        <f t="shared" si="17"/>
      </c>
      <c r="AE39" s="192">
        <f t="shared" si="18"/>
      </c>
      <c r="AF39" s="193"/>
    </row>
    <row r="40" spans="2:32" s="8" customFormat="1" ht="16.5" customHeight="1" thickBot="1">
      <c r="B40" s="55"/>
      <c r="C40" s="169"/>
      <c r="D40" s="205"/>
      <c r="E40" s="169"/>
      <c r="F40" s="207"/>
      <c r="G40" s="208"/>
      <c r="H40" s="209"/>
      <c r="I40" s="210"/>
      <c r="J40" s="211"/>
      <c r="K40" s="212"/>
      <c r="L40" s="213"/>
      <c r="M40" s="213"/>
      <c r="N40" s="214"/>
      <c r="O40" s="214"/>
      <c r="P40" s="215"/>
      <c r="Q40" s="216"/>
      <c r="R40" s="215"/>
      <c r="S40" s="215"/>
      <c r="T40" s="217"/>
      <c r="U40" s="218"/>
      <c r="V40" s="219"/>
      <c r="W40" s="220"/>
      <c r="X40" s="221"/>
      <c r="Y40" s="222"/>
      <c r="Z40" s="223"/>
      <c r="AA40" s="224"/>
      <c r="AB40" s="225"/>
      <c r="AC40" s="226"/>
      <c r="AD40" s="227"/>
      <c r="AE40" s="228"/>
      <c r="AF40" s="193"/>
    </row>
    <row r="41" spans="2:32" s="8" customFormat="1" ht="16.5" customHeight="1" thickBot="1" thickTop="1">
      <c r="B41" s="55"/>
      <c r="C41" s="229" t="s">
        <v>317</v>
      </c>
      <c r="D41" s="270" t="s">
        <v>420</v>
      </c>
      <c r="E41" s="229"/>
      <c r="F41" s="230"/>
      <c r="G41" s="231"/>
      <c r="H41" s="232"/>
      <c r="I41" s="233"/>
      <c r="J41" s="232"/>
      <c r="K41" s="234"/>
      <c r="L41" s="234"/>
      <c r="M41" s="234"/>
      <c r="N41" s="234"/>
      <c r="O41" s="234"/>
      <c r="P41" s="234"/>
      <c r="Q41" s="235"/>
      <c r="R41" s="234"/>
      <c r="S41" s="234"/>
      <c r="T41" s="236">
        <f aca="true" t="shared" si="19" ref="T41:AC41">SUM(T18:T40)</f>
        <v>4816.262372759999</v>
      </c>
      <c r="U41" s="237">
        <f t="shared" si="19"/>
        <v>0</v>
      </c>
      <c r="V41" s="238">
        <f t="shared" si="19"/>
        <v>0</v>
      </c>
      <c r="W41" s="238">
        <f t="shared" si="19"/>
        <v>0</v>
      </c>
      <c r="X41" s="238">
        <f t="shared" si="19"/>
        <v>0</v>
      </c>
      <c r="Y41" s="239">
        <f t="shared" si="19"/>
        <v>0</v>
      </c>
      <c r="Z41" s="239">
        <f t="shared" si="19"/>
        <v>0</v>
      </c>
      <c r="AA41" s="239">
        <f t="shared" si="19"/>
        <v>0</v>
      </c>
      <c r="AB41" s="240">
        <f t="shared" si="19"/>
        <v>0</v>
      </c>
      <c r="AC41" s="241">
        <f t="shared" si="19"/>
        <v>0</v>
      </c>
      <c r="AD41" s="242"/>
      <c r="AE41" s="243">
        <f>ROUND(SUM(AE18:AE40),2)</f>
        <v>4816.26</v>
      </c>
      <c r="AF41" s="193"/>
    </row>
    <row r="42" spans="2:32" s="8" customFormat="1" ht="16.5" customHeight="1" thickBot="1" thickTop="1">
      <c r="B42" s="244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6"/>
    </row>
    <row r="43" spans="2:32" ht="16.5" customHeight="1" thickTop="1">
      <c r="B43" s="247"/>
      <c r="C43" s="247"/>
      <c r="D43" s="247"/>
      <c r="AF43" s="247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0">
    <pageSetUpPr fitToPage="1"/>
  </sheetPr>
  <dimension ref="A1:AF43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2" width="4.140625" style="1428" customWidth="1"/>
    <col min="3" max="3" width="5.421875" style="1428" customWidth="1"/>
    <col min="4" max="5" width="13.7109375" style="1428" customWidth="1"/>
    <col min="6" max="6" width="45.7109375" style="1428" customWidth="1"/>
    <col min="7" max="8" width="9.7109375" style="1428" customWidth="1"/>
    <col min="9" max="9" width="3.8515625" style="1428" customWidth="1"/>
    <col min="10" max="10" width="3.421875" style="1428" hidden="1" customWidth="1"/>
    <col min="11" max="11" width="10.00390625" style="1428" hidden="1" customWidth="1"/>
    <col min="12" max="13" width="16.28125" style="1428" customWidth="1"/>
    <col min="14" max="16" width="9.7109375" style="1428" customWidth="1"/>
    <col min="17" max="17" width="8.7109375" style="1428" customWidth="1"/>
    <col min="18" max="18" width="5.421875" style="1428" customWidth="1"/>
    <col min="19" max="19" width="6.00390625" style="1428" customWidth="1"/>
    <col min="20" max="21" width="12.57421875" style="1428" hidden="1" customWidth="1"/>
    <col min="22" max="27" width="6.00390625" style="1428" hidden="1" customWidth="1"/>
    <col min="28" max="28" width="12.00390625" style="1428" hidden="1" customWidth="1"/>
    <col min="29" max="29" width="13.140625" style="1428" hidden="1" customWidth="1"/>
    <col min="30" max="30" width="9.7109375" style="1428" customWidth="1"/>
    <col min="31" max="31" width="15.7109375" style="1428" customWidth="1"/>
    <col min="32" max="32" width="4.140625" style="1428" customWidth="1"/>
    <col min="33" max="33" width="30.421875" style="1428" customWidth="1"/>
    <col min="34" max="34" width="3.140625" style="1428" customWidth="1"/>
    <col min="35" max="35" width="3.57421875" style="1428" customWidth="1"/>
    <col min="36" max="36" width="24.28125" style="1428" customWidth="1"/>
    <col min="37" max="37" width="4.7109375" style="1428" customWidth="1"/>
    <col min="38" max="38" width="7.57421875" style="1428" customWidth="1"/>
    <col min="39" max="40" width="4.140625" style="1428" customWidth="1"/>
    <col min="41" max="41" width="7.140625" style="1428" customWidth="1"/>
    <col min="42" max="42" width="5.28125" style="1428" customWidth="1"/>
    <col min="43" max="43" width="5.421875" style="1428" customWidth="1"/>
    <col min="44" max="44" width="4.7109375" style="1428" customWidth="1"/>
    <col min="45" max="45" width="5.28125" style="1428" customWidth="1"/>
    <col min="46" max="47" width="13.28125" style="1428" customWidth="1"/>
    <col min="48" max="48" width="6.57421875" style="1428" customWidth="1"/>
    <col min="49" max="49" width="6.421875" style="1428" customWidth="1"/>
    <col min="50" max="53" width="11.421875" style="1428" customWidth="1"/>
    <col min="54" max="54" width="12.7109375" style="1428" customWidth="1"/>
    <col min="55" max="57" width="11.421875" style="1428" customWidth="1"/>
    <col min="58" max="58" width="21.00390625" style="1428" customWidth="1"/>
    <col min="59" max="16384" width="11.421875" style="1428" customWidth="1"/>
  </cols>
  <sheetData>
    <row r="1" spans="1:32" s="1376" customFormat="1" ht="26.25">
      <c r="A1" s="2250"/>
      <c r="E1" s="1428"/>
      <c r="G1" s="1428"/>
      <c r="I1" s="1428"/>
      <c r="K1" s="1428"/>
      <c r="M1" s="1428"/>
      <c r="O1" s="1428"/>
      <c r="Q1" s="1428"/>
      <c r="S1" s="1428"/>
      <c r="U1" s="1428"/>
      <c r="W1" s="1428"/>
      <c r="Y1" s="1428"/>
      <c r="AA1" s="1428"/>
      <c r="AF1" s="1544"/>
    </row>
    <row r="2" spans="1:32" s="1376" customFormat="1" ht="26.25">
      <c r="A2" s="1377"/>
      <c r="B2" s="1380" t="str">
        <f>'TOT-0614'!B2</f>
        <v>ANEXO I al Memorándum D.T.E.E. N°         347   / 2015</v>
      </c>
      <c r="C2" s="1380"/>
      <c r="D2" s="1380"/>
      <c r="E2" s="1380"/>
      <c r="F2" s="1380"/>
      <c r="G2" s="1380"/>
      <c r="H2" s="1380"/>
      <c r="I2" s="1380"/>
      <c r="J2" s="1380"/>
      <c r="K2" s="1380"/>
      <c r="L2" s="1380"/>
      <c r="M2" s="1380"/>
      <c r="N2" s="1380"/>
      <c r="O2" s="1380"/>
      <c r="P2" s="1380"/>
      <c r="Q2" s="1380"/>
      <c r="R2" s="1380"/>
      <c r="S2" s="1380"/>
      <c r="T2" s="1380"/>
      <c r="U2" s="1380"/>
      <c r="V2" s="1380"/>
      <c r="W2" s="1380"/>
      <c r="X2" s="1380"/>
      <c r="Y2" s="1380"/>
      <c r="Z2" s="1380"/>
      <c r="AA2" s="1380"/>
      <c r="AB2" s="1380"/>
      <c r="AC2" s="1380"/>
      <c r="AD2" s="1380"/>
      <c r="AE2" s="1380"/>
      <c r="AF2" s="1380"/>
    </row>
    <row r="3" s="1382" customFormat="1" ht="23.25" customHeight="1">
      <c r="A3" s="1381"/>
    </row>
    <row r="4" spans="1:4" s="1386" customFormat="1" ht="11.25">
      <c r="A4" s="1545" t="s">
        <v>2</v>
      </c>
      <c r="B4" s="1546"/>
      <c r="C4" s="1546"/>
      <c r="D4" s="1546"/>
    </row>
    <row r="5" spans="1:4" s="1386" customFormat="1" ht="11.25">
      <c r="A5" s="1545" t="s">
        <v>3</v>
      </c>
      <c r="B5" s="1546"/>
      <c r="C5" s="1546"/>
      <c r="D5" s="1546"/>
    </row>
    <row r="6" s="1382" customFormat="1" ht="13.5" thickBot="1"/>
    <row r="7" spans="2:32" s="1382" customFormat="1" ht="13.5" thickTop="1">
      <c r="B7" s="1547"/>
      <c r="C7" s="1548"/>
      <c r="D7" s="1548"/>
      <c r="E7" s="1548"/>
      <c r="F7" s="1548"/>
      <c r="G7" s="1804"/>
      <c r="H7" s="1548"/>
      <c r="I7" s="1548"/>
      <c r="J7" s="1548"/>
      <c r="K7" s="1548"/>
      <c r="L7" s="1548"/>
      <c r="M7" s="1548"/>
      <c r="N7" s="1548"/>
      <c r="O7" s="1548"/>
      <c r="P7" s="1548"/>
      <c r="Q7" s="1548"/>
      <c r="R7" s="1548"/>
      <c r="S7" s="1548"/>
      <c r="T7" s="1548"/>
      <c r="U7" s="1548"/>
      <c r="V7" s="1548"/>
      <c r="W7" s="1548"/>
      <c r="X7" s="1548"/>
      <c r="Y7" s="1548"/>
      <c r="Z7" s="1548"/>
      <c r="AA7" s="1548"/>
      <c r="AB7" s="1548"/>
      <c r="AC7" s="1548"/>
      <c r="AD7" s="1548"/>
      <c r="AE7" s="1548"/>
      <c r="AF7" s="1389"/>
    </row>
    <row r="8" spans="2:32" s="1396" customFormat="1" ht="20.25">
      <c r="B8" s="1550"/>
      <c r="C8" s="1551"/>
      <c r="D8" s="1551"/>
      <c r="E8" s="1551"/>
      <c r="F8" s="1806" t="s">
        <v>24</v>
      </c>
      <c r="G8" s="1551"/>
      <c r="H8" s="1551"/>
      <c r="I8" s="1551"/>
      <c r="J8" s="1551"/>
      <c r="P8" s="1551"/>
      <c r="Q8" s="1551"/>
      <c r="R8" s="2251"/>
      <c r="S8" s="2251"/>
      <c r="T8" s="1551"/>
      <c r="U8" s="1551"/>
      <c r="V8" s="1551"/>
      <c r="W8" s="1551"/>
      <c r="X8" s="1551"/>
      <c r="Y8" s="1551"/>
      <c r="Z8" s="1551"/>
      <c r="AA8" s="1551"/>
      <c r="AB8" s="1551"/>
      <c r="AC8" s="1551"/>
      <c r="AD8" s="1551"/>
      <c r="AE8" s="1551"/>
      <c r="AF8" s="1395"/>
    </row>
    <row r="9" spans="2:32" s="1382" customFormat="1" ht="16.5" customHeight="1">
      <c r="B9" s="1554"/>
      <c r="C9" s="1555"/>
      <c r="D9" s="1555"/>
      <c r="E9" s="1555"/>
      <c r="F9" s="1555"/>
      <c r="G9" s="1555"/>
      <c r="H9" s="1555"/>
      <c r="I9" s="1555"/>
      <c r="J9" s="1555"/>
      <c r="K9" s="1555"/>
      <c r="L9" s="1555"/>
      <c r="M9" s="1555"/>
      <c r="N9" s="1555"/>
      <c r="O9" s="1555"/>
      <c r="P9" s="1555"/>
      <c r="Q9" s="1555"/>
      <c r="R9" s="1555"/>
      <c r="S9" s="1555"/>
      <c r="T9" s="1555"/>
      <c r="U9" s="1555"/>
      <c r="V9" s="1555"/>
      <c r="W9" s="1555"/>
      <c r="X9" s="1555"/>
      <c r="Y9" s="1555"/>
      <c r="Z9" s="1555"/>
      <c r="AA9" s="1555"/>
      <c r="AB9" s="1555"/>
      <c r="AC9" s="1555"/>
      <c r="AD9" s="1555"/>
      <c r="AE9" s="1555"/>
      <c r="AF9" s="1400"/>
    </row>
    <row r="10" spans="2:32" s="1407" customFormat="1" ht="33" customHeight="1">
      <c r="B10" s="2252"/>
      <c r="C10" s="2253"/>
      <c r="D10" s="2253"/>
      <c r="E10" s="2253"/>
      <c r="F10" s="2254" t="s">
        <v>25</v>
      </c>
      <c r="G10" s="2253"/>
      <c r="H10" s="2253"/>
      <c r="I10" s="2253"/>
      <c r="K10" s="2253"/>
      <c r="L10" s="2253"/>
      <c r="M10" s="2253"/>
      <c r="N10" s="2253"/>
      <c r="O10" s="2253"/>
      <c r="P10" s="2253"/>
      <c r="Q10" s="2253"/>
      <c r="R10" s="2254"/>
      <c r="S10" s="2254"/>
      <c r="T10" s="2253"/>
      <c r="U10" s="2253"/>
      <c r="V10" s="2253"/>
      <c r="W10" s="2253"/>
      <c r="X10" s="2253"/>
      <c r="Y10" s="2253"/>
      <c r="Z10" s="2253"/>
      <c r="AA10" s="2253"/>
      <c r="AB10" s="2253"/>
      <c r="AC10" s="2253"/>
      <c r="AD10" s="2253"/>
      <c r="AE10" s="2253"/>
      <c r="AF10" s="1406"/>
    </row>
    <row r="11" spans="2:32" s="1414" customFormat="1" ht="33" customHeight="1">
      <c r="B11" s="2255"/>
      <c r="C11" s="2256"/>
      <c r="D11" s="2256"/>
      <c r="E11" s="2256"/>
      <c r="F11" s="1411" t="s">
        <v>458</v>
      </c>
      <c r="J11" s="2257"/>
      <c r="K11" s="2257"/>
      <c r="L11" s="2257"/>
      <c r="M11" s="2257"/>
      <c r="N11" s="2257"/>
      <c r="O11" s="2257"/>
      <c r="P11" s="2257"/>
      <c r="Q11" s="2257"/>
      <c r="R11" s="2257"/>
      <c r="S11" s="2257"/>
      <c r="T11" s="2256"/>
      <c r="U11" s="2256"/>
      <c r="V11" s="2256"/>
      <c r="W11" s="2256"/>
      <c r="X11" s="2256"/>
      <c r="Y11" s="2256"/>
      <c r="Z11" s="2256"/>
      <c r="AA11" s="2256"/>
      <c r="AB11" s="2256"/>
      <c r="AC11" s="2256"/>
      <c r="AD11" s="2256"/>
      <c r="AE11" s="2256"/>
      <c r="AF11" s="1413"/>
    </row>
    <row r="12" spans="2:32" s="1420" customFormat="1" ht="19.5">
      <c r="B12" s="634" t="str">
        <f>'TOT-0614'!B14</f>
        <v>Desde el 01 al 30 de junio de 2014</v>
      </c>
      <c r="C12" s="1416"/>
      <c r="D12" s="1416"/>
      <c r="E12" s="1416"/>
      <c r="F12" s="1416"/>
      <c r="G12" s="1416"/>
      <c r="H12" s="1416"/>
      <c r="I12" s="1416"/>
      <c r="J12" s="1416"/>
      <c r="K12" s="1416"/>
      <c r="L12" s="1416"/>
      <c r="M12" s="1416"/>
      <c r="N12" s="1416"/>
      <c r="O12" s="1416"/>
      <c r="P12" s="2258"/>
      <c r="Q12" s="2258"/>
      <c r="R12" s="1416"/>
      <c r="S12" s="1416"/>
      <c r="T12" s="1416"/>
      <c r="U12" s="1416"/>
      <c r="V12" s="1416"/>
      <c r="W12" s="1416"/>
      <c r="X12" s="1416"/>
      <c r="Y12" s="1416"/>
      <c r="Z12" s="1416"/>
      <c r="AA12" s="1416"/>
      <c r="AB12" s="1416"/>
      <c r="AC12" s="1416"/>
      <c r="AD12" s="1416"/>
      <c r="AE12" s="1416"/>
      <c r="AF12" s="2259"/>
    </row>
    <row r="13" spans="2:32" s="1382" customFormat="1" ht="16.5" customHeight="1" thickBot="1">
      <c r="B13" s="1554"/>
      <c r="C13" s="1555"/>
      <c r="D13" s="1555"/>
      <c r="E13" s="1555"/>
      <c r="F13" s="1555"/>
      <c r="G13" s="1819"/>
      <c r="H13" s="1819"/>
      <c r="I13" s="1555"/>
      <c r="J13" s="1555"/>
      <c r="K13" s="1555"/>
      <c r="L13" s="2260"/>
      <c r="M13" s="1555"/>
      <c r="N13" s="1555"/>
      <c r="O13" s="1555"/>
      <c r="R13" s="1555"/>
      <c r="S13" s="1555"/>
      <c r="T13" s="1555"/>
      <c r="U13" s="1555"/>
      <c r="V13" s="1555"/>
      <c r="W13" s="1555"/>
      <c r="X13" s="1555"/>
      <c r="Y13" s="1555"/>
      <c r="Z13" s="1555"/>
      <c r="AA13" s="1555"/>
      <c r="AB13" s="1555"/>
      <c r="AC13" s="1555"/>
      <c r="AD13" s="1555"/>
      <c r="AE13" s="1555"/>
      <c r="AF13" s="1400"/>
    </row>
    <row r="14" spans="2:32" s="1382" customFormat="1" ht="16.5" customHeight="1" thickBot="1" thickTop="1">
      <c r="B14" s="1554"/>
      <c r="C14" s="1555"/>
      <c r="D14" s="1555"/>
      <c r="E14" s="1555"/>
      <c r="F14" s="2261" t="s">
        <v>27</v>
      </c>
      <c r="G14" s="2263">
        <v>391.631</v>
      </c>
      <c r="H14" s="2262"/>
      <c r="I14" s="1555"/>
      <c r="J14" s="1555"/>
      <c r="K14" s="1555"/>
      <c r="L14" s="1555"/>
      <c r="M14" s="1555"/>
      <c r="N14" s="1555"/>
      <c r="O14" s="1555"/>
      <c r="P14" s="1555"/>
      <c r="Q14" s="1555"/>
      <c r="R14" s="1555"/>
      <c r="S14" s="1555"/>
      <c r="T14" s="1555"/>
      <c r="U14" s="1555"/>
      <c r="V14" s="1555"/>
      <c r="W14" s="1555"/>
      <c r="X14" s="1555"/>
      <c r="Y14" s="1555"/>
      <c r="Z14" s="1555"/>
      <c r="AA14" s="1555"/>
      <c r="AB14" s="1555"/>
      <c r="AC14" s="1555"/>
      <c r="AD14" s="1555"/>
      <c r="AE14" s="1555"/>
      <c r="AF14" s="1400"/>
    </row>
    <row r="15" spans="2:32" s="1382" customFormat="1" ht="16.5" customHeight="1" thickBot="1" thickTop="1">
      <c r="B15" s="1554"/>
      <c r="C15" s="1555"/>
      <c r="D15" s="1555"/>
      <c r="E15" s="1555"/>
      <c r="F15" s="2261" t="s">
        <v>28</v>
      </c>
      <c r="G15" s="2263" t="s">
        <v>408</v>
      </c>
      <c r="H15" s="2262"/>
      <c r="I15" s="1555"/>
      <c r="J15" s="1555"/>
      <c r="K15" s="1555"/>
      <c r="L15" s="1578"/>
      <c r="M15" s="1579"/>
      <c r="N15" s="1555"/>
      <c r="O15" s="1555"/>
      <c r="P15" s="1555"/>
      <c r="Q15" s="1555"/>
      <c r="R15" s="1555"/>
      <c r="S15" s="1555"/>
      <c r="T15" s="1555"/>
      <c r="U15" s="1555"/>
      <c r="V15" s="1555"/>
      <c r="W15" s="1555"/>
      <c r="X15" s="1574"/>
      <c r="Y15" s="1574"/>
      <c r="Z15" s="1574"/>
      <c r="AA15" s="1574"/>
      <c r="AB15" s="1574"/>
      <c r="AC15" s="1574"/>
      <c r="AD15" s="1574"/>
      <c r="AF15" s="1400"/>
    </row>
    <row r="16" spans="2:32" s="1382" customFormat="1" ht="16.5" customHeight="1" thickBot="1" thickTop="1">
      <c r="B16" s="1554"/>
      <c r="C16" s="1580">
        <v>3</v>
      </c>
      <c r="D16" s="1580">
        <v>4</v>
      </c>
      <c r="E16" s="1580">
        <v>5</v>
      </c>
      <c r="F16" s="1580">
        <v>6</v>
      </c>
      <c r="G16" s="1580">
        <v>7</v>
      </c>
      <c r="H16" s="1580">
        <v>8</v>
      </c>
      <c r="I16" s="1580">
        <v>9</v>
      </c>
      <c r="J16" s="1580">
        <v>10</v>
      </c>
      <c r="K16" s="1580">
        <v>11</v>
      </c>
      <c r="L16" s="1580">
        <v>12</v>
      </c>
      <c r="M16" s="1580">
        <v>13</v>
      </c>
      <c r="N16" s="1580">
        <v>14</v>
      </c>
      <c r="O16" s="1580">
        <v>15</v>
      </c>
      <c r="P16" s="1580">
        <v>16</v>
      </c>
      <c r="Q16" s="1580">
        <v>17</v>
      </c>
      <c r="R16" s="1580">
        <v>18</v>
      </c>
      <c r="S16" s="1580">
        <v>19</v>
      </c>
      <c r="T16" s="1580">
        <v>20</v>
      </c>
      <c r="U16" s="1580">
        <v>21</v>
      </c>
      <c r="V16" s="1580">
        <v>22</v>
      </c>
      <c r="W16" s="1580">
        <v>23</v>
      </c>
      <c r="X16" s="1580">
        <v>24</v>
      </c>
      <c r="Y16" s="1580">
        <v>25</v>
      </c>
      <c r="Z16" s="1580">
        <v>26</v>
      </c>
      <c r="AA16" s="1580">
        <v>27</v>
      </c>
      <c r="AB16" s="1580">
        <v>28</v>
      </c>
      <c r="AC16" s="1580">
        <v>29</v>
      </c>
      <c r="AD16" s="1580">
        <v>30</v>
      </c>
      <c r="AE16" s="1580">
        <v>31</v>
      </c>
      <c r="AF16" s="1400"/>
    </row>
    <row r="17" spans="2:32" s="1382" customFormat="1" ht="33.75" customHeight="1" thickBot="1" thickTop="1">
      <c r="B17" s="1554"/>
      <c r="C17" s="1432" t="s">
        <v>29</v>
      </c>
      <c r="D17" s="1432" t="s">
        <v>30</v>
      </c>
      <c r="E17" s="1432" t="s">
        <v>31</v>
      </c>
      <c r="F17" s="1584" t="s">
        <v>5</v>
      </c>
      <c r="G17" s="2264" t="s">
        <v>32</v>
      </c>
      <c r="H17" s="1581" t="s">
        <v>33</v>
      </c>
      <c r="I17" s="1846" t="s">
        <v>34</v>
      </c>
      <c r="J17" s="2265" t="s">
        <v>35</v>
      </c>
      <c r="K17" s="2266" t="s">
        <v>36</v>
      </c>
      <c r="L17" s="1584" t="s">
        <v>37</v>
      </c>
      <c r="M17" s="1586" t="s">
        <v>38</v>
      </c>
      <c r="N17" s="1438" t="s">
        <v>39</v>
      </c>
      <c r="O17" s="1581" t="s">
        <v>40</v>
      </c>
      <c r="P17" s="1438" t="s">
        <v>316</v>
      </c>
      <c r="Q17" s="1581" t="s">
        <v>41</v>
      </c>
      <c r="R17" s="1586" t="s">
        <v>42</v>
      </c>
      <c r="S17" s="1584" t="s">
        <v>43</v>
      </c>
      <c r="T17" s="2267" t="s">
        <v>44</v>
      </c>
      <c r="U17" s="2268" t="s">
        <v>45</v>
      </c>
      <c r="V17" s="1443" t="s">
        <v>46</v>
      </c>
      <c r="W17" s="2269"/>
      <c r="X17" s="1444"/>
      <c r="Y17" s="2270" t="s">
        <v>47</v>
      </c>
      <c r="Z17" s="2271"/>
      <c r="AA17" s="2272"/>
      <c r="AB17" s="2273" t="s">
        <v>48</v>
      </c>
      <c r="AC17" s="2274" t="s">
        <v>49</v>
      </c>
      <c r="AD17" s="1449" t="s">
        <v>50</v>
      </c>
      <c r="AE17" s="1449" t="s">
        <v>51</v>
      </c>
      <c r="AF17" s="1859"/>
    </row>
    <row r="18" spans="2:32" s="1382" customFormat="1" ht="16.5" customHeight="1" thickTop="1">
      <c r="B18" s="1554"/>
      <c r="C18" s="1453"/>
      <c r="D18" s="1453"/>
      <c r="E18" s="1453"/>
      <c r="F18" s="2275"/>
      <c r="G18" s="2275"/>
      <c r="H18" s="2276"/>
      <c r="I18" s="2277"/>
      <c r="J18" s="2278"/>
      <c r="K18" s="2279"/>
      <c r="L18" s="2280"/>
      <c r="M18" s="2280"/>
      <c r="N18" s="2277"/>
      <c r="O18" s="2277"/>
      <c r="P18" s="2277"/>
      <c r="Q18" s="2277"/>
      <c r="R18" s="2277"/>
      <c r="S18" s="2277"/>
      <c r="T18" s="2281"/>
      <c r="U18" s="2282"/>
      <c r="V18" s="2283"/>
      <c r="W18" s="2284"/>
      <c r="X18" s="2285"/>
      <c r="Y18" s="2286"/>
      <c r="Z18" s="2287"/>
      <c r="AA18" s="2288"/>
      <c r="AB18" s="2289"/>
      <c r="AC18" s="2290"/>
      <c r="AD18" s="2277"/>
      <c r="AE18" s="2291"/>
      <c r="AF18" s="1400"/>
    </row>
    <row r="19" spans="2:32" s="1382" customFormat="1" ht="16.5" customHeight="1">
      <c r="B19" s="1554"/>
      <c r="C19" s="1946"/>
      <c r="D19" s="1946"/>
      <c r="E19" s="1946"/>
      <c r="F19" s="1883"/>
      <c r="G19" s="1884"/>
      <c r="H19" s="1885"/>
      <c r="I19" s="1884"/>
      <c r="J19" s="2292">
        <f aca="true" t="shared" si="0" ref="J19:J39">IF(I19="A",200,IF(I19="B",60,20))</f>
        <v>20</v>
      </c>
      <c r="K19" s="2293" t="e">
        <f aca="true" t="shared" si="1" ref="K19:K39">IF(G19=500,IF(H19&lt;100,100*$G$14/100,H19*$G$14/100),IF(H19&lt;100,100*$G$15/100,H19*$G$15/100))</f>
        <v>#VALUE!</v>
      </c>
      <c r="L19" s="2294"/>
      <c r="M19" s="2295"/>
      <c r="N19" s="2296">
        <f aca="true" t="shared" si="2" ref="N19:N39">IF(F19="","",(M19-L19)*24)</f>
      </c>
      <c r="O19" s="2297">
        <f aca="true" t="shared" si="3" ref="O19:O39">IF(F19="","",ROUND((M19-L19)*24*60,0))</f>
      </c>
      <c r="P19" s="1615"/>
      <c r="Q19" s="2298">
        <f aca="true" t="shared" si="4" ref="Q19:Q39">IF(F19="","","--")</f>
      </c>
      <c r="R19" s="1492">
        <f aca="true" t="shared" si="5" ref="R19:R39">IF(F19="","","NO")</f>
      </c>
      <c r="S19" s="1492">
        <f aca="true" t="shared" si="6" ref="S19:S39">IF(F19="","",IF(OR(P19="P",P19="RP"),"--","NO"))</f>
      </c>
      <c r="T19" s="2299" t="str">
        <f aca="true" t="shared" si="7" ref="T19:T39">IF(P19="P",K19*J19*ROUND(O19/60,2)*0.01,"--")</f>
        <v>--</v>
      </c>
      <c r="U19" s="2300" t="str">
        <f aca="true" t="shared" si="8" ref="U19:U39">IF(P19="RP",K19*J19*ROUND(O19/60,2)*0.01*Q19/100,"--")</f>
        <v>--</v>
      </c>
      <c r="V19" s="2301" t="str">
        <f aca="true" t="shared" si="9" ref="V19:V39">IF(AND(P19="F",S19="NO"),K19*J19*IF(R19="SI",1.2,1),"--")</f>
        <v>--</v>
      </c>
      <c r="W19" s="2302" t="str">
        <f aca="true" t="shared" si="10" ref="W19:W39">IF(AND(P19="F",O19&gt;=10),K19*J19*IF(R19="SI",1.2,1)*IF(O19&lt;=300,ROUND(O19/60,2),5),"--")</f>
        <v>--</v>
      </c>
      <c r="X19" s="2303" t="str">
        <f aca="true" t="shared" si="11" ref="X19:X39">IF(AND(P19="F",O19&gt;300),(ROUND(O19/60,2)-5)*K19*J19*0.1*IF(R19="SI",1.2,1),"--")</f>
        <v>--</v>
      </c>
      <c r="Y19" s="2304" t="str">
        <f aca="true" t="shared" si="12" ref="Y19:Y39">IF(AND(P19="R",S19="NO"),K19*J19*Q19/100*IF(R19="SI",1.2,1),"--")</f>
        <v>--</v>
      </c>
      <c r="Z19" s="2305" t="str">
        <f aca="true" t="shared" si="13" ref="Z19:Z39">IF(AND(P19="R",O19&gt;=10),K19*J19*Q19/100*IF(R19="SI",1.2,1)*IF(O19&lt;=300,ROUND(O19/60,2),5),"--")</f>
        <v>--</v>
      </c>
      <c r="AA19" s="2306" t="str">
        <f aca="true" t="shared" si="14" ref="AA19:AA39">IF(AND(P19="R",O19&gt;300),(ROUND(O19/60,2)-5)*K19*J19*0.1*Q19/100*IF(R19="SI",1.2,1),"--")</f>
        <v>--</v>
      </c>
      <c r="AB19" s="2307" t="str">
        <f aca="true" t="shared" si="15" ref="AB19:AB39">IF(P19="RF",ROUND(O19/60,2)*K19*J19*0.1*IF(R19="SI",1.2,1),"--")</f>
        <v>--</v>
      </c>
      <c r="AC19" s="2308" t="str">
        <f aca="true" t="shared" si="16" ref="AC19:AC39">IF(P19="RR",ROUND(O19/60,2)*K19*J19*0.1*Q19/100*IF(R19="SI",1.2,1),"--")</f>
        <v>--</v>
      </c>
      <c r="AD19" s="2309">
        <f aca="true" t="shared" si="17" ref="AD19:AD39">IF(F19="","","SI")</f>
      </c>
      <c r="AE19" s="1904">
        <f aca="true" t="shared" si="18" ref="AE19:AE39">IF(F19="","",SUM(T19:AC19)*IF(AD19="SI",1,2))</f>
      </c>
      <c r="AF19" s="1400"/>
    </row>
    <row r="20" spans="2:32" s="1382" customFormat="1" ht="16.5" customHeight="1">
      <c r="B20" s="1554"/>
      <c r="C20" s="1465">
        <v>16</v>
      </c>
      <c r="D20" s="1465">
        <v>275460</v>
      </c>
      <c r="E20" s="1465">
        <v>4865</v>
      </c>
      <c r="F20" s="1883" t="s">
        <v>463</v>
      </c>
      <c r="G20" s="1884">
        <v>500</v>
      </c>
      <c r="H20" s="1885">
        <v>41.4</v>
      </c>
      <c r="I20" s="1884" t="s">
        <v>331</v>
      </c>
      <c r="J20" s="2292">
        <f>IF(I20="A",200,IF(I20="B",60,20))</f>
        <v>20</v>
      </c>
      <c r="K20" s="2293">
        <f>IF(G20=500,IF(H20&lt;100,100*$G$14/100,H20*$G$14/100),IF(H20&lt;100,100*$G$15/100,H20*$G$15/100))</f>
        <v>391.631</v>
      </c>
      <c r="L20" s="2294">
        <v>41791.388194444444</v>
      </c>
      <c r="M20" s="2295">
        <v>41791.76736111111</v>
      </c>
      <c r="N20" s="2296">
        <f>IF(F20="","",(M20-L20)*24)</f>
        <v>9.099999999976717</v>
      </c>
      <c r="O20" s="2297">
        <f>IF(F20="","",ROUND((M20-L20)*24*60,0))</f>
        <v>546</v>
      </c>
      <c r="P20" s="1615" t="s">
        <v>332</v>
      </c>
      <c r="Q20" s="2298" t="str">
        <f>IF(F20="","","--")</f>
        <v>--</v>
      </c>
      <c r="R20" s="1492" t="str">
        <f>IF(F20="","","NO")</f>
        <v>NO</v>
      </c>
      <c r="S20" s="1492" t="str">
        <f>IF(F20="","",IF(OR(P20="P",P20="RP"),"--","NO"))</f>
        <v>--</v>
      </c>
      <c r="T20" s="2299">
        <f>IF(P20="P",K20*J20*ROUND(O20/60,2)*0.01,"--")</f>
        <v>712.7684199999999</v>
      </c>
      <c r="U20" s="2300" t="str">
        <f>IF(P20="RP",K20*J20*ROUND(O20/60,2)*0.01*Q20/100,"--")</f>
        <v>--</v>
      </c>
      <c r="V20" s="2301" t="str">
        <f>IF(AND(P20="F",S20="NO"),K20*J20*IF(R20="SI",1.2,1),"--")</f>
        <v>--</v>
      </c>
      <c r="W20" s="2302" t="str">
        <f>IF(AND(P20="F",O20&gt;=10),K20*J20*IF(R20="SI",1.2,1)*IF(O20&lt;=300,ROUND(O20/60,2),5),"--")</f>
        <v>--</v>
      </c>
      <c r="X20" s="2303" t="str">
        <f>IF(AND(P20="F",O20&gt;300),(ROUND(O20/60,2)-5)*K20*J20*0.1*IF(R20="SI",1.2,1),"--")</f>
        <v>--</v>
      </c>
      <c r="Y20" s="2304" t="str">
        <f>IF(AND(P20="R",S20="NO"),K20*J20*Q20/100*IF(R20="SI",1.2,1),"--")</f>
        <v>--</v>
      </c>
      <c r="Z20" s="2305" t="str">
        <f>IF(AND(P20="R",O20&gt;=10),K20*J20*Q20/100*IF(R20="SI",1.2,1)*IF(O20&lt;=300,ROUND(O20/60,2),5),"--")</f>
        <v>--</v>
      </c>
      <c r="AA20" s="2306" t="str">
        <f>IF(AND(P20="R",O20&gt;300),(ROUND(O20/60,2)-5)*K20*J20*0.1*Q20/100*IF(R20="SI",1.2,1),"--")</f>
        <v>--</v>
      </c>
      <c r="AB20" s="2307" t="str">
        <f>IF(P20="RF",ROUND(O20/60,2)*K20*J20*0.1*IF(R20="SI",1.2,1),"--")</f>
        <v>--</v>
      </c>
      <c r="AC20" s="2308" t="str">
        <f>IF(P20="RR",ROUND(O20/60,2)*K20*J20*0.1*Q20/100*IF(R20="SI",1.2,1),"--")</f>
        <v>--</v>
      </c>
      <c r="AD20" s="2309" t="str">
        <f>IF(F20="","","SI")</f>
        <v>SI</v>
      </c>
      <c r="AE20" s="1904">
        <f>IF(F20="","",SUM(T20:AC20)*IF(AD20="SI",1,2))</f>
        <v>712.7684199999999</v>
      </c>
      <c r="AF20" s="1400"/>
    </row>
    <row r="21" spans="2:32" s="1382" customFormat="1" ht="16.5" customHeight="1">
      <c r="B21" s="1554"/>
      <c r="C21" s="1465"/>
      <c r="D21" s="1465"/>
      <c r="E21" s="1465"/>
      <c r="F21" s="1883"/>
      <c r="G21" s="1884"/>
      <c r="H21" s="1885"/>
      <c r="I21" s="1884"/>
      <c r="J21" s="2292">
        <f t="shared" si="0"/>
        <v>20</v>
      </c>
      <c r="K21" s="2293" t="e">
        <f t="shared" si="1"/>
        <v>#VALUE!</v>
      </c>
      <c r="L21" s="2294"/>
      <c r="M21" s="2295"/>
      <c r="N21" s="2296">
        <f t="shared" si="2"/>
      </c>
      <c r="O21" s="2297">
        <f t="shared" si="3"/>
      </c>
      <c r="P21" s="1615"/>
      <c r="Q21" s="2298">
        <f t="shared" si="4"/>
      </c>
      <c r="R21" s="1492">
        <f t="shared" si="5"/>
      </c>
      <c r="S21" s="1492">
        <f t="shared" si="6"/>
      </c>
      <c r="T21" s="2299" t="str">
        <f t="shared" si="7"/>
        <v>--</v>
      </c>
      <c r="U21" s="2300" t="str">
        <f t="shared" si="8"/>
        <v>--</v>
      </c>
      <c r="V21" s="2301" t="str">
        <f t="shared" si="9"/>
        <v>--</v>
      </c>
      <c r="W21" s="2302" t="str">
        <f t="shared" si="10"/>
        <v>--</v>
      </c>
      <c r="X21" s="2303" t="str">
        <f t="shared" si="11"/>
        <v>--</v>
      </c>
      <c r="Y21" s="2304" t="str">
        <f t="shared" si="12"/>
        <v>--</v>
      </c>
      <c r="Z21" s="2305" t="str">
        <f t="shared" si="13"/>
        <v>--</v>
      </c>
      <c r="AA21" s="2306" t="str">
        <f t="shared" si="14"/>
        <v>--</v>
      </c>
      <c r="AB21" s="2307" t="str">
        <f t="shared" si="15"/>
        <v>--</v>
      </c>
      <c r="AC21" s="2308" t="str">
        <f t="shared" si="16"/>
        <v>--</v>
      </c>
      <c r="AD21" s="2309">
        <f t="shared" si="17"/>
      </c>
      <c r="AE21" s="1904">
        <f t="shared" si="18"/>
      </c>
      <c r="AF21" s="2310"/>
    </row>
    <row r="22" spans="2:32" s="1382" customFormat="1" ht="16.5" customHeight="1">
      <c r="B22" s="1554"/>
      <c r="C22" s="1480"/>
      <c r="D22" s="1480"/>
      <c r="E22" s="1465"/>
      <c r="F22" s="1883"/>
      <c r="G22" s="1884"/>
      <c r="H22" s="1885"/>
      <c r="I22" s="1884"/>
      <c r="J22" s="2292"/>
      <c r="K22" s="2293"/>
      <c r="L22" s="2311"/>
      <c r="M22" s="2312"/>
      <c r="N22" s="2296"/>
      <c r="O22" s="2297"/>
      <c r="P22" s="1615"/>
      <c r="Q22" s="2298"/>
      <c r="R22" s="1492"/>
      <c r="S22" s="1492"/>
      <c r="T22" s="2299"/>
      <c r="U22" s="2300"/>
      <c r="V22" s="2301"/>
      <c r="W22" s="2302"/>
      <c r="X22" s="2303"/>
      <c r="Y22" s="2304"/>
      <c r="Z22" s="2305"/>
      <c r="AA22" s="2306"/>
      <c r="AB22" s="2307"/>
      <c r="AC22" s="2308"/>
      <c r="AD22" s="2309"/>
      <c r="AE22" s="1904"/>
      <c r="AF22" s="2310"/>
    </row>
    <row r="23" spans="2:32" s="1382" customFormat="1" ht="16.5" customHeight="1">
      <c r="B23" s="1554"/>
      <c r="C23" s="1465"/>
      <c r="D23" s="1465"/>
      <c r="E23" s="1465"/>
      <c r="F23" s="1883"/>
      <c r="G23" s="1884"/>
      <c r="H23" s="1885"/>
      <c r="I23" s="1884"/>
      <c r="J23" s="2292">
        <f t="shared" si="0"/>
        <v>20</v>
      </c>
      <c r="K23" s="2293" t="e">
        <f t="shared" si="1"/>
        <v>#VALUE!</v>
      </c>
      <c r="L23" s="2311"/>
      <c r="M23" s="2312"/>
      <c r="N23" s="2296"/>
      <c r="O23" s="2297"/>
      <c r="P23" s="1615"/>
      <c r="Q23" s="2298"/>
      <c r="R23" s="1492"/>
      <c r="S23" s="1492"/>
      <c r="T23" s="2299" t="str">
        <f>IF(P23="P",K23*J23*ROUND(O23/60,2)*0.01,"--")</f>
        <v>--</v>
      </c>
      <c r="U23" s="2300" t="str">
        <f>IF(P23="RP",K23*J23*ROUND(O23/60,2)*0.01*Q23/100,"--")</f>
        <v>--</v>
      </c>
      <c r="V23" s="2301" t="str">
        <f>IF(AND(P23="F",S23="NO"),K23*J23*IF(R23="SI",1.2,1),"--")</f>
        <v>--</v>
      </c>
      <c r="W23" s="2302" t="str">
        <f>IF(AND(P23="F",O23&gt;=10),K23*J23*IF(R23="SI",1.2,1)*IF(O23&lt;=300,ROUND(O23/60,2),5),"--")</f>
        <v>--</v>
      </c>
      <c r="X23" s="2303" t="str">
        <f>IF(AND(P23="F",O23&gt;300),(ROUND(O23/60,2)-5)*K23*J23*0.1*IF(R23="SI",1.2,1),"--")</f>
        <v>--</v>
      </c>
      <c r="Y23" s="2304" t="str">
        <f>IF(AND(P23="R",S23="NO"),K23*J23*Q23/100*IF(R23="SI",1.2,1),"--")</f>
        <v>--</v>
      </c>
      <c r="Z23" s="2305" t="str">
        <f>IF(AND(P23="R",O23&gt;=10),K23*J23*Q23/100*IF(R23="SI",1.2,1)*IF(O23&lt;=300,ROUND(O23/60,2),5),"--")</f>
        <v>--</v>
      </c>
      <c r="AA23" s="2306" t="str">
        <f>IF(AND(P23="R",O23&gt;300),(ROUND(O23/60,2)-5)*K23*J23*0.1*Q23/100*IF(R23="SI",1.2,1),"--")</f>
        <v>--</v>
      </c>
      <c r="AB23" s="2307" t="str">
        <f>IF(P23="RF",ROUND(O23/60,2)*K23*J23*0.1*IF(R23="SI",1.2,1),"--")</f>
        <v>--</v>
      </c>
      <c r="AC23" s="2308" t="str">
        <f>IF(P23="RR",ROUND(O23/60,2)*K23*J23*0.1*Q23/100*IF(R23="SI",1.2,1),"--")</f>
        <v>--</v>
      </c>
      <c r="AD23" s="2309">
        <f>IF(F23="","","SI")</f>
      </c>
      <c r="AE23" s="1904">
        <f>IF(F23="","",SUM(T23:AC23)*IF(AD23="SI",1,2))</f>
      </c>
      <c r="AF23" s="2310"/>
    </row>
    <row r="24" spans="2:32" s="1382" customFormat="1" ht="16.5" customHeight="1">
      <c r="B24" s="1554"/>
      <c r="C24" s="1480"/>
      <c r="D24" s="1480"/>
      <c r="E24" s="1480"/>
      <c r="F24" s="1480"/>
      <c r="G24" s="2313"/>
      <c r="H24" s="2314"/>
      <c r="I24" s="2313"/>
      <c r="J24" s="2292">
        <f t="shared" si="0"/>
        <v>20</v>
      </c>
      <c r="K24" s="2293" t="e">
        <f t="shared" si="1"/>
        <v>#VALUE!</v>
      </c>
      <c r="L24" s="2294"/>
      <c r="M24" s="2295"/>
      <c r="N24" s="2296">
        <f t="shared" si="2"/>
      </c>
      <c r="O24" s="2297">
        <f t="shared" si="3"/>
      </c>
      <c r="P24" s="1615"/>
      <c r="Q24" s="2298">
        <f t="shared" si="4"/>
      </c>
      <c r="R24" s="1492">
        <f t="shared" si="5"/>
      </c>
      <c r="S24" s="1492">
        <f t="shared" si="6"/>
      </c>
      <c r="T24" s="2299" t="str">
        <f t="shared" si="7"/>
        <v>--</v>
      </c>
      <c r="U24" s="2300" t="str">
        <f t="shared" si="8"/>
        <v>--</v>
      </c>
      <c r="V24" s="2301" t="str">
        <f t="shared" si="9"/>
        <v>--</v>
      </c>
      <c r="W24" s="2302" t="str">
        <f t="shared" si="10"/>
        <v>--</v>
      </c>
      <c r="X24" s="2303" t="str">
        <f t="shared" si="11"/>
        <v>--</v>
      </c>
      <c r="Y24" s="2304" t="str">
        <f t="shared" si="12"/>
        <v>--</v>
      </c>
      <c r="Z24" s="2305" t="str">
        <f t="shared" si="13"/>
        <v>--</v>
      </c>
      <c r="AA24" s="2306" t="str">
        <f t="shared" si="14"/>
        <v>--</v>
      </c>
      <c r="AB24" s="2307" t="str">
        <f t="shared" si="15"/>
        <v>--</v>
      </c>
      <c r="AC24" s="2308" t="str">
        <f t="shared" si="16"/>
        <v>--</v>
      </c>
      <c r="AD24" s="2315">
        <f t="shared" si="17"/>
      </c>
      <c r="AE24" s="1904">
        <f t="shared" si="18"/>
      </c>
      <c r="AF24" s="2310"/>
    </row>
    <row r="25" spans="2:32" s="1382" customFormat="1" ht="16.5" customHeight="1">
      <c r="B25" s="1554"/>
      <c r="C25" s="1465"/>
      <c r="D25" s="1465"/>
      <c r="E25" s="1465"/>
      <c r="F25" s="1480"/>
      <c r="G25" s="2313"/>
      <c r="H25" s="2314"/>
      <c r="I25" s="2313"/>
      <c r="J25" s="2292">
        <f t="shared" si="0"/>
        <v>20</v>
      </c>
      <c r="K25" s="2293" t="e">
        <f t="shared" si="1"/>
        <v>#VALUE!</v>
      </c>
      <c r="L25" s="2294"/>
      <c r="M25" s="2295"/>
      <c r="N25" s="2296">
        <f t="shared" si="2"/>
      </c>
      <c r="O25" s="2297">
        <f t="shared" si="3"/>
      </c>
      <c r="P25" s="1615"/>
      <c r="Q25" s="2298">
        <f t="shared" si="4"/>
      </c>
      <c r="R25" s="1492">
        <f t="shared" si="5"/>
      </c>
      <c r="S25" s="1492">
        <f t="shared" si="6"/>
      </c>
      <c r="T25" s="2299" t="str">
        <f t="shared" si="7"/>
        <v>--</v>
      </c>
      <c r="U25" s="2300" t="str">
        <f t="shared" si="8"/>
        <v>--</v>
      </c>
      <c r="V25" s="2301" t="str">
        <f t="shared" si="9"/>
        <v>--</v>
      </c>
      <c r="W25" s="2302" t="str">
        <f t="shared" si="10"/>
        <v>--</v>
      </c>
      <c r="X25" s="2303" t="str">
        <f t="shared" si="11"/>
        <v>--</v>
      </c>
      <c r="Y25" s="2304" t="str">
        <f t="shared" si="12"/>
        <v>--</v>
      </c>
      <c r="Z25" s="2305" t="str">
        <f t="shared" si="13"/>
        <v>--</v>
      </c>
      <c r="AA25" s="2306" t="str">
        <f t="shared" si="14"/>
        <v>--</v>
      </c>
      <c r="AB25" s="2307" t="str">
        <f t="shared" si="15"/>
        <v>--</v>
      </c>
      <c r="AC25" s="2308" t="str">
        <f t="shared" si="16"/>
        <v>--</v>
      </c>
      <c r="AD25" s="2315">
        <f t="shared" si="17"/>
      </c>
      <c r="AE25" s="1904">
        <f t="shared" si="18"/>
      </c>
      <c r="AF25" s="2310"/>
    </row>
    <row r="26" spans="2:32" s="1382" customFormat="1" ht="16.5" customHeight="1">
      <c r="B26" s="1554"/>
      <c r="C26" s="1480"/>
      <c r="D26" s="1480"/>
      <c r="E26" s="1480"/>
      <c r="F26" s="2316"/>
      <c r="G26" s="2317"/>
      <c r="H26" s="2318"/>
      <c r="I26" s="2317"/>
      <c r="J26" s="2292">
        <f t="shared" si="0"/>
        <v>20</v>
      </c>
      <c r="K26" s="2293" t="e">
        <f t="shared" si="1"/>
        <v>#VALUE!</v>
      </c>
      <c r="L26" s="2319"/>
      <c r="M26" s="2320"/>
      <c r="N26" s="2296">
        <f t="shared" si="2"/>
      </c>
      <c r="O26" s="2297">
        <f t="shared" si="3"/>
      </c>
      <c r="P26" s="1615"/>
      <c r="Q26" s="2298">
        <f t="shared" si="4"/>
      </c>
      <c r="R26" s="1492">
        <f t="shared" si="5"/>
      </c>
      <c r="S26" s="1492">
        <f t="shared" si="6"/>
      </c>
      <c r="T26" s="2299" t="str">
        <f t="shared" si="7"/>
        <v>--</v>
      </c>
      <c r="U26" s="2300" t="str">
        <f t="shared" si="8"/>
        <v>--</v>
      </c>
      <c r="V26" s="2301" t="str">
        <f t="shared" si="9"/>
        <v>--</v>
      </c>
      <c r="W26" s="2302" t="str">
        <f t="shared" si="10"/>
        <v>--</v>
      </c>
      <c r="X26" s="2303" t="str">
        <f t="shared" si="11"/>
        <v>--</v>
      </c>
      <c r="Y26" s="2304" t="str">
        <f t="shared" si="12"/>
        <v>--</v>
      </c>
      <c r="Z26" s="2305" t="str">
        <f t="shared" si="13"/>
        <v>--</v>
      </c>
      <c r="AA26" s="2306" t="str">
        <f t="shared" si="14"/>
        <v>--</v>
      </c>
      <c r="AB26" s="2307" t="str">
        <f t="shared" si="15"/>
        <v>--</v>
      </c>
      <c r="AC26" s="2308" t="str">
        <f t="shared" si="16"/>
        <v>--</v>
      </c>
      <c r="AD26" s="2315">
        <f t="shared" si="17"/>
      </c>
      <c r="AE26" s="1904">
        <f t="shared" si="18"/>
      </c>
      <c r="AF26" s="2310"/>
    </row>
    <row r="27" spans="2:32" s="1382" customFormat="1" ht="16.5" customHeight="1">
      <c r="B27" s="1554"/>
      <c r="C27" s="1465"/>
      <c r="D27" s="1465"/>
      <c r="E27" s="1465"/>
      <c r="F27" s="2316"/>
      <c r="G27" s="2317"/>
      <c r="H27" s="2318"/>
      <c r="I27" s="2317"/>
      <c r="J27" s="2292">
        <f t="shared" si="0"/>
        <v>20</v>
      </c>
      <c r="K27" s="2293" t="e">
        <f t="shared" si="1"/>
        <v>#VALUE!</v>
      </c>
      <c r="L27" s="2319"/>
      <c r="M27" s="2320"/>
      <c r="N27" s="2296">
        <f t="shared" si="2"/>
      </c>
      <c r="O27" s="2297">
        <f t="shared" si="3"/>
      </c>
      <c r="P27" s="1615"/>
      <c r="Q27" s="2298">
        <f t="shared" si="4"/>
      </c>
      <c r="R27" s="1492">
        <f t="shared" si="5"/>
      </c>
      <c r="S27" s="1492">
        <f t="shared" si="6"/>
      </c>
      <c r="T27" s="2299" t="str">
        <f t="shared" si="7"/>
        <v>--</v>
      </c>
      <c r="U27" s="2300" t="str">
        <f t="shared" si="8"/>
        <v>--</v>
      </c>
      <c r="V27" s="2301" t="str">
        <f t="shared" si="9"/>
        <v>--</v>
      </c>
      <c r="W27" s="2302" t="str">
        <f t="shared" si="10"/>
        <v>--</v>
      </c>
      <c r="X27" s="2303" t="str">
        <f t="shared" si="11"/>
        <v>--</v>
      </c>
      <c r="Y27" s="2304" t="str">
        <f t="shared" si="12"/>
        <v>--</v>
      </c>
      <c r="Z27" s="2305" t="str">
        <f t="shared" si="13"/>
        <v>--</v>
      </c>
      <c r="AA27" s="2306" t="str">
        <f t="shared" si="14"/>
        <v>--</v>
      </c>
      <c r="AB27" s="2307" t="str">
        <f t="shared" si="15"/>
        <v>--</v>
      </c>
      <c r="AC27" s="2308" t="str">
        <f t="shared" si="16"/>
        <v>--</v>
      </c>
      <c r="AD27" s="2315">
        <f t="shared" si="17"/>
      </c>
      <c r="AE27" s="1904">
        <f t="shared" si="18"/>
      </c>
      <c r="AF27" s="2310"/>
    </row>
    <row r="28" spans="2:32" s="1382" customFormat="1" ht="16.5" customHeight="1">
      <c r="B28" s="1554"/>
      <c r="C28" s="1480"/>
      <c r="D28" s="1480"/>
      <c r="E28" s="1480"/>
      <c r="F28" s="2316"/>
      <c r="G28" s="2317"/>
      <c r="H28" s="2318"/>
      <c r="I28" s="2317"/>
      <c r="J28" s="2292">
        <f t="shared" si="0"/>
        <v>20</v>
      </c>
      <c r="K28" s="2293" t="e">
        <f t="shared" si="1"/>
        <v>#VALUE!</v>
      </c>
      <c r="L28" s="2319"/>
      <c r="M28" s="2320"/>
      <c r="N28" s="2296">
        <f t="shared" si="2"/>
      </c>
      <c r="O28" s="2297">
        <f t="shared" si="3"/>
      </c>
      <c r="P28" s="1615"/>
      <c r="Q28" s="2298">
        <f t="shared" si="4"/>
      </c>
      <c r="R28" s="1492">
        <f t="shared" si="5"/>
      </c>
      <c r="S28" s="1492">
        <f t="shared" si="6"/>
      </c>
      <c r="T28" s="2299" t="str">
        <f t="shared" si="7"/>
        <v>--</v>
      </c>
      <c r="U28" s="2300" t="str">
        <f t="shared" si="8"/>
        <v>--</v>
      </c>
      <c r="V28" s="2301" t="str">
        <f t="shared" si="9"/>
        <v>--</v>
      </c>
      <c r="W28" s="2302" t="str">
        <f t="shared" si="10"/>
        <v>--</v>
      </c>
      <c r="X28" s="2303" t="str">
        <f t="shared" si="11"/>
        <v>--</v>
      </c>
      <c r="Y28" s="2304" t="str">
        <f t="shared" si="12"/>
        <v>--</v>
      </c>
      <c r="Z28" s="2305" t="str">
        <f t="shared" si="13"/>
        <v>--</v>
      </c>
      <c r="AA28" s="2306" t="str">
        <f t="shared" si="14"/>
        <v>--</v>
      </c>
      <c r="AB28" s="2307" t="str">
        <f t="shared" si="15"/>
        <v>--</v>
      </c>
      <c r="AC28" s="2308" t="str">
        <f t="shared" si="16"/>
        <v>--</v>
      </c>
      <c r="AD28" s="2315">
        <f t="shared" si="17"/>
      </c>
      <c r="AE28" s="1904">
        <f t="shared" si="18"/>
      </c>
      <c r="AF28" s="2310"/>
    </row>
    <row r="29" spans="2:32" s="1382" customFormat="1" ht="16.5" customHeight="1">
      <c r="B29" s="1554"/>
      <c r="C29" s="1465"/>
      <c r="D29" s="1465"/>
      <c r="E29" s="1465"/>
      <c r="F29" s="2316"/>
      <c r="G29" s="2317"/>
      <c r="H29" s="2318"/>
      <c r="I29" s="2317"/>
      <c r="J29" s="2292">
        <f t="shared" si="0"/>
        <v>20</v>
      </c>
      <c r="K29" s="2293" t="e">
        <f t="shared" si="1"/>
        <v>#VALUE!</v>
      </c>
      <c r="L29" s="2319"/>
      <c r="M29" s="2320"/>
      <c r="N29" s="2296">
        <f t="shared" si="2"/>
      </c>
      <c r="O29" s="2297">
        <f t="shared" si="3"/>
      </c>
      <c r="P29" s="1615"/>
      <c r="Q29" s="2298">
        <f t="shared" si="4"/>
      </c>
      <c r="R29" s="1492">
        <f t="shared" si="5"/>
      </c>
      <c r="S29" s="1492">
        <f t="shared" si="6"/>
      </c>
      <c r="T29" s="2299" t="str">
        <f t="shared" si="7"/>
        <v>--</v>
      </c>
      <c r="U29" s="2300" t="str">
        <f t="shared" si="8"/>
        <v>--</v>
      </c>
      <c r="V29" s="2301" t="str">
        <f t="shared" si="9"/>
        <v>--</v>
      </c>
      <c r="W29" s="2302" t="str">
        <f t="shared" si="10"/>
        <v>--</v>
      </c>
      <c r="X29" s="2303" t="str">
        <f t="shared" si="11"/>
        <v>--</v>
      </c>
      <c r="Y29" s="2304" t="str">
        <f t="shared" si="12"/>
        <v>--</v>
      </c>
      <c r="Z29" s="2305" t="str">
        <f t="shared" si="13"/>
        <v>--</v>
      </c>
      <c r="AA29" s="2306" t="str">
        <f t="shared" si="14"/>
        <v>--</v>
      </c>
      <c r="AB29" s="2307" t="str">
        <f t="shared" si="15"/>
        <v>--</v>
      </c>
      <c r="AC29" s="2308" t="str">
        <f t="shared" si="16"/>
        <v>--</v>
      </c>
      <c r="AD29" s="2315">
        <f t="shared" si="17"/>
      </c>
      <c r="AE29" s="1904">
        <f t="shared" si="18"/>
      </c>
      <c r="AF29" s="2310"/>
    </row>
    <row r="30" spans="2:32" s="1382" customFormat="1" ht="16.5" customHeight="1">
      <c r="B30" s="1554"/>
      <c r="C30" s="1480"/>
      <c r="D30" s="1480"/>
      <c r="E30" s="1480"/>
      <c r="F30" s="2316"/>
      <c r="G30" s="2317"/>
      <c r="H30" s="2318"/>
      <c r="I30" s="2317"/>
      <c r="J30" s="2292">
        <f t="shared" si="0"/>
        <v>20</v>
      </c>
      <c r="K30" s="2293" t="e">
        <f t="shared" si="1"/>
        <v>#VALUE!</v>
      </c>
      <c r="L30" s="2319"/>
      <c r="M30" s="2320"/>
      <c r="N30" s="2296">
        <f t="shared" si="2"/>
      </c>
      <c r="O30" s="2297">
        <f t="shared" si="3"/>
      </c>
      <c r="P30" s="1615"/>
      <c r="Q30" s="2298">
        <f t="shared" si="4"/>
      </c>
      <c r="R30" s="1492">
        <f t="shared" si="5"/>
      </c>
      <c r="S30" s="1492">
        <f t="shared" si="6"/>
      </c>
      <c r="T30" s="2299" t="str">
        <f t="shared" si="7"/>
        <v>--</v>
      </c>
      <c r="U30" s="2300" t="str">
        <f t="shared" si="8"/>
        <v>--</v>
      </c>
      <c r="V30" s="2301" t="str">
        <f t="shared" si="9"/>
        <v>--</v>
      </c>
      <c r="W30" s="2302" t="str">
        <f t="shared" si="10"/>
        <v>--</v>
      </c>
      <c r="X30" s="2303" t="str">
        <f t="shared" si="11"/>
        <v>--</v>
      </c>
      <c r="Y30" s="2304" t="str">
        <f t="shared" si="12"/>
        <v>--</v>
      </c>
      <c r="Z30" s="2305" t="str">
        <f t="shared" si="13"/>
        <v>--</v>
      </c>
      <c r="AA30" s="2306" t="str">
        <f t="shared" si="14"/>
        <v>--</v>
      </c>
      <c r="AB30" s="2307" t="str">
        <f t="shared" si="15"/>
        <v>--</v>
      </c>
      <c r="AC30" s="2308" t="str">
        <f t="shared" si="16"/>
        <v>--</v>
      </c>
      <c r="AD30" s="2315">
        <f t="shared" si="17"/>
      </c>
      <c r="AE30" s="1904">
        <f t="shared" si="18"/>
      </c>
      <c r="AF30" s="2310"/>
    </row>
    <row r="31" spans="2:32" s="1382" customFormat="1" ht="16.5" customHeight="1">
      <c r="B31" s="1554"/>
      <c r="C31" s="1465"/>
      <c r="D31" s="1465"/>
      <c r="E31" s="1465"/>
      <c r="F31" s="2316"/>
      <c r="G31" s="2317"/>
      <c r="H31" s="2318"/>
      <c r="I31" s="2317"/>
      <c r="J31" s="2292">
        <f t="shared" si="0"/>
        <v>20</v>
      </c>
      <c r="K31" s="2293" t="e">
        <f t="shared" si="1"/>
        <v>#VALUE!</v>
      </c>
      <c r="L31" s="2319"/>
      <c r="M31" s="2005"/>
      <c r="N31" s="2296">
        <f t="shared" si="2"/>
      </c>
      <c r="O31" s="2297">
        <f t="shared" si="3"/>
      </c>
      <c r="P31" s="1615"/>
      <c r="Q31" s="2298">
        <f t="shared" si="4"/>
      </c>
      <c r="R31" s="1492">
        <f t="shared" si="5"/>
      </c>
      <c r="S31" s="1492">
        <f t="shared" si="6"/>
      </c>
      <c r="T31" s="2299" t="str">
        <f t="shared" si="7"/>
        <v>--</v>
      </c>
      <c r="U31" s="2300" t="str">
        <f t="shared" si="8"/>
        <v>--</v>
      </c>
      <c r="V31" s="2301" t="str">
        <f t="shared" si="9"/>
        <v>--</v>
      </c>
      <c r="W31" s="2302" t="str">
        <f t="shared" si="10"/>
        <v>--</v>
      </c>
      <c r="X31" s="2303" t="str">
        <f t="shared" si="11"/>
        <v>--</v>
      </c>
      <c r="Y31" s="2304" t="str">
        <f t="shared" si="12"/>
        <v>--</v>
      </c>
      <c r="Z31" s="2305" t="str">
        <f t="shared" si="13"/>
        <v>--</v>
      </c>
      <c r="AA31" s="2306" t="str">
        <f t="shared" si="14"/>
        <v>--</v>
      </c>
      <c r="AB31" s="2307" t="str">
        <f t="shared" si="15"/>
        <v>--</v>
      </c>
      <c r="AC31" s="2308" t="str">
        <f t="shared" si="16"/>
        <v>--</v>
      </c>
      <c r="AD31" s="2315">
        <f t="shared" si="17"/>
      </c>
      <c r="AE31" s="1904">
        <f t="shared" si="18"/>
      </c>
      <c r="AF31" s="2310"/>
    </row>
    <row r="32" spans="2:32" s="1382" customFormat="1" ht="16.5" customHeight="1">
      <c r="B32" s="1554"/>
      <c r="C32" s="1480"/>
      <c r="D32" s="1480"/>
      <c r="E32" s="1480"/>
      <c r="F32" s="2316"/>
      <c r="G32" s="2317"/>
      <c r="H32" s="2318"/>
      <c r="I32" s="2317"/>
      <c r="J32" s="2292">
        <f t="shared" si="0"/>
        <v>20</v>
      </c>
      <c r="K32" s="2293" t="e">
        <f t="shared" si="1"/>
        <v>#VALUE!</v>
      </c>
      <c r="L32" s="2319"/>
      <c r="M32" s="2005"/>
      <c r="N32" s="2296">
        <f t="shared" si="2"/>
      </c>
      <c r="O32" s="2297">
        <f t="shared" si="3"/>
      </c>
      <c r="P32" s="1615"/>
      <c r="Q32" s="2298">
        <f t="shared" si="4"/>
      </c>
      <c r="R32" s="1492">
        <f t="shared" si="5"/>
      </c>
      <c r="S32" s="1492">
        <f t="shared" si="6"/>
      </c>
      <c r="T32" s="2299" t="str">
        <f t="shared" si="7"/>
        <v>--</v>
      </c>
      <c r="U32" s="2300" t="str">
        <f t="shared" si="8"/>
        <v>--</v>
      </c>
      <c r="V32" s="2301" t="str">
        <f t="shared" si="9"/>
        <v>--</v>
      </c>
      <c r="W32" s="2302" t="str">
        <f t="shared" si="10"/>
        <v>--</v>
      </c>
      <c r="X32" s="2303" t="str">
        <f t="shared" si="11"/>
        <v>--</v>
      </c>
      <c r="Y32" s="2304" t="str">
        <f t="shared" si="12"/>
        <v>--</v>
      </c>
      <c r="Z32" s="2305" t="str">
        <f t="shared" si="13"/>
        <v>--</v>
      </c>
      <c r="AA32" s="2306" t="str">
        <f t="shared" si="14"/>
        <v>--</v>
      </c>
      <c r="AB32" s="2307" t="str">
        <f t="shared" si="15"/>
        <v>--</v>
      </c>
      <c r="AC32" s="2308" t="str">
        <f t="shared" si="16"/>
        <v>--</v>
      </c>
      <c r="AD32" s="2315">
        <f t="shared" si="17"/>
      </c>
      <c r="AE32" s="1904">
        <f t="shared" si="18"/>
      </c>
      <c r="AF32" s="2310"/>
    </row>
    <row r="33" spans="2:32" s="1382" customFormat="1" ht="16.5" customHeight="1">
      <c r="B33" s="1554"/>
      <c r="C33" s="1465"/>
      <c r="D33" s="1465"/>
      <c r="E33" s="1465"/>
      <c r="F33" s="2316"/>
      <c r="G33" s="2317"/>
      <c r="H33" s="2318"/>
      <c r="I33" s="2317"/>
      <c r="J33" s="2292">
        <f t="shared" si="0"/>
        <v>20</v>
      </c>
      <c r="K33" s="2293" t="e">
        <f t="shared" si="1"/>
        <v>#VALUE!</v>
      </c>
      <c r="L33" s="2319"/>
      <c r="M33" s="2005"/>
      <c r="N33" s="2296">
        <f t="shared" si="2"/>
      </c>
      <c r="O33" s="2297">
        <f t="shared" si="3"/>
      </c>
      <c r="P33" s="1615"/>
      <c r="Q33" s="2298">
        <f t="shared" si="4"/>
      </c>
      <c r="R33" s="1492">
        <f t="shared" si="5"/>
      </c>
      <c r="S33" s="1492">
        <f t="shared" si="6"/>
      </c>
      <c r="T33" s="2299" t="str">
        <f t="shared" si="7"/>
        <v>--</v>
      </c>
      <c r="U33" s="2300" t="str">
        <f t="shared" si="8"/>
        <v>--</v>
      </c>
      <c r="V33" s="2301" t="str">
        <f t="shared" si="9"/>
        <v>--</v>
      </c>
      <c r="W33" s="2302" t="str">
        <f t="shared" si="10"/>
        <v>--</v>
      </c>
      <c r="X33" s="2303" t="str">
        <f t="shared" si="11"/>
        <v>--</v>
      </c>
      <c r="Y33" s="2304" t="str">
        <f t="shared" si="12"/>
        <v>--</v>
      </c>
      <c r="Z33" s="2305" t="str">
        <f t="shared" si="13"/>
        <v>--</v>
      </c>
      <c r="AA33" s="2306" t="str">
        <f t="shared" si="14"/>
        <v>--</v>
      </c>
      <c r="AB33" s="2307" t="str">
        <f t="shared" si="15"/>
        <v>--</v>
      </c>
      <c r="AC33" s="2308" t="str">
        <f t="shared" si="16"/>
        <v>--</v>
      </c>
      <c r="AD33" s="2315">
        <f t="shared" si="17"/>
      </c>
      <c r="AE33" s="1904">
        <f t="shared" si="18"/>
      </c>
      <c r="AF33" s="2310"/>
    </row>
    <row r="34" spans="2:32" s="1382" customFormat="1" ht="16.5" customHeight="1">
      <c r="B34" s="1554"/>
      <c r="C34" s="1480"/>
      <c r="D34" s="1480"/>
      <c r="E34" s="1480"/>
      <c r="F34" s="2316"/>
      <c r="G34" s="2317"/>
      <c r="H34" s="2318"/>
      <c r="I34" s="2317"/>
      <c r="J34" s="2292">
        <f t="shared" si="0"/>
        <v>20</v>
      </c>
      <c r="K34" s="2293" t="e">
        <f t="shared" si="1"/>
        <v>#VALUE!</v>
      </c>
      <c r="L34" s="2319"/>
      <c r="M34" s="2005"/>
      <c r="N34" s="2296">
        <f t="shared" si="2"/>
      </c>
      <c r="O34" s="2297">
        <f t="shared" si="3"/>
      </c>
      <c r="P34" s="1615"/>
      <c r="Q34" s="2298">
        <f t="shared" si="4"/>
      </c>
      <c r="R34" s="1492">
        <f t="shared" si="5"/>
      </c>
      <c r="S34" s="1492">
        <f t="shared" si="6"/>
      </c>
      <c r="T34" s="2299" t="str">
        <f t="shared" si="7"/>
        <v>--</v>
      </c>
      <c r="U34" s="2300" t="str">
        <f t="shared" si="8"/>
        <v>--</v>
      </c>
      <c r="V34" s="2301" t="str">
        <f t="shared" si="9"/>
        <v>--</v>
      </c>
      <c r="W34" s="2302" t="str">
        <f t="shared" si="10"/>
        <v>--</v>
      </c>
      <c r="X34" s="2303" t="str">
        <f t="shared" si="11"/>
        <v>--</v>
      </c>
      <c r="Y34" s="2304" t="str">
        <f t="shared" si="12"/>
        <v>--</v>
      </c>
      <c r="Z34" s="2305" t="str">
        <f t="shared" si="13"/>
        <v>--</v>
      </c>
      <c r="AA34" s="2306" t="str">
        <f t="shared" si="14"/>
        <v>--</v>
      </c>
      <c r="AB34" s="2307" t="str">
        <f t="shared" si="15"/>
        <v>--</v>
      </c>
      <c r="AC34" s="2308" t="str">
        <f t="shared" si="16"/>
        <v>--</v>
      </c>
      <c r="AD34" s="2315">
        <f t="shared" si="17"/>
      </c>
      <c r="AE34" s="1904">
        <f t="shared" si="18"/>
      </c>
      <c r="AF34" s="2310"/>
    </row>
    <row r="35" spans="2:32" s="1382" customFormat="1" ht="16.5" customHeight="1">
      <c r="B35" s="1554"/>
      <c r="C35" s="1465"/>
      <c r="D35" s="1465"/>
      <c r="E35" s="1465"/>
      <c r="F35" s="2316"/>
      <c r="G35" s="2317"/>
      <c r="H35" s="2318"/>
      <c r="I35" s="2317"/>
      <c r="J35" s="2292">
        <f t="shared" si="0"/>
        <v>20</v>
      </c>
      <c r="K35" s="2293" t="e">
        <f t="shared" si="1"/>
        <v>#VALUE!</v>
      </c>
      <c r="L35" s="2319"/>
      <c r="M35" s="2005"/>
      <c r="N35" s="2296">
        <f t="shared" si="2"/>
      </c>
      <c r="O35" s="2297">
        <f t="shared" si="3"/>
      </c>
      <c r="P35" s="1615"/>
      <c r="Q35" s="2298">
        <f t="shared" si="4"/>
      </c>
      <c r="R35" s="1492">
        <f t="shared" si="5"/>
      </c>
      <c r="S35" s="1492">
        <f t="shared" si="6"/>
      </c>
      <c r="T35" s="2299" t="str">
        <f t="shared" si="7"/>
        <v>--</v>
      </c>
      <c r="U35" s="2300" t="str">
        <f t="shared" si="8"/>
        <v>--</v>
      </c>
      <c r="V35" s="2301" t="str">
        <f t="shared" si="9"/>
        <v>--</v>
      </c>
      <c r="W35" s="2302" t="str">
        <f t="shared" si="10"/>
        <v>--</v>
      </c>
      <c r="X35" s="2303" t="str">
        <f t="shared" si="11"/>
        <v>--</v>
      </c>
      <c r="Y35" s="2304" t="str">
        <f t="shared" si="12"/>
        <v>--</v>
      </c>
      <c r="Z35" s="2305" t="str">
        <f t="shared" si="13"/>
        <v>--</v>
      </c>
      <c r="AA35" s="2306" t="str">
        <f t="shared" si="14"/>
        <v>--</v>
      </c>
      <c r="AB35" s="2307" t="str">
        <f t="shared" si="15"/>
        <v>--</v>
      </c>
      <c r="AC35" s="2308" t="str">
        <f t="shared" si="16"/>
        <v>--</v>
      </c>
      <c r="AD35" s="2315">
        <f t="shared" si="17"/>
      </c>
      <c r="AE35" s="1904">
        <f t="shared" si="18"/>
      </c>
      <c r="AF35" s="2310"/>
    </row>
    <row r="36" spans="2:32" s="1382" customFormat="1" ht="16.5" customHeight="1">
      <c r="B36" s="1554"/>
      <c r="C36" s="1480"/>
      <c r="D36" s="1480"/>
      <c r="E36" s="1480"/>
      <c r="F36" s="2316"/>
      <c r="G36" s="2317"/>
      <c r="H36" s="2318"/>
      <c r="I36" s="2317"/>
      <c r="J36" s="2292">
        <f t="shared" si="0"/>
        <v>20</v>
      </c>
      <c r="K36" s="2293" t="e">
        <f t="shared" si="1"/>
        <v>#VALUE!</v>
      </c>
      <c r="L36" s="2319"/>
      <c r="M36" s="2005"/>
      <c r="N36" s="2296">
        <f t="shared" si="2"/>
      </c>
      <c r="O36" s="2297">
        <f t="shared" si="3"/>
      </c>
      <c r="P36" s="1615"/>
      <c r="Q36" s="2298">
        <f t="shared" si="4"/>
      </c>
      <c r="R36" s="1492">
        <f t="shared" si="5"/>
      </c>
      <c r="S36" s="1492">
        <f t="shared" si="6"/>
      </c>
      <c r="T36" s="2299" t="str">
        <f t="shared" si="7"/>
        <v>--</v>
      </c>
      <c r="U36" s="2300" t="str">
        <f t="shared" si="8"/>
        <v>--</v>
      </c>
      <c r="V36" s="2301" t="str">
        <f t="shared" si="9"/>
        <v>--</v>
      </c>
      <c r="W36" s="2302" t="str">
        <f t="shared" si="10"/>
        <v>--</v>
      </c>
      <c r="X36" s="2303" t="str">
        <f t="shared" si="11"/>
        <v>--</v>
      </c>
      <c r="Y36" s="2304" t="str">
        <f t="shared" si="12"/>
        <v>--</v>
      </c>
      <c r="Z36" s="2305" t="str">
        <f t="shared" si="13"/>
        <v>--</v>
      </c>
      <c r="AA36" s="2306" t="str">
        <f t="shared" si="14"/>
        <v>--</v>
      </c>
      <c r="AB36" s="2307" t="str">
        <f t="shared" si="15"/>
        <v>--</v>
      </c>
      <c r="AC36" s="2308" t="str">
        <f t="shared" si="16"/>
        <v>--</v>
      </c>
      <c r="AD36" s="2315">
        <f t="shared" si="17"/>
      </c>
      <c r="AE36" s="1904">
        <f t="shared" si="18"/>
      </c>
      <c r="AF36" s="2310"/>
    </row>
    <row r="37" spans="2:32" s="1382" customFormat="1" ht="16.5" customHeight="1">
      <c r="B37" s="1554"/>
      <c r="C37" s="1465"/>
      <c r="D37" s="1465"/>
      <c r="E37" s="1465"/>
      <c r="F37" s="2316"/>
      <c r="G37" s="2317"/>
      <c r="H37" s="2318"/>
      <c r="I37" s="2317"/>
      <c r="J37" s="2292">
        <f t="shared" si="0"/>
        <v>20</v>
      </c>
      <c r="K37" s="2293" t="e">
        <f t="shared" si="1"/>
        <v>#VALUE!</v>
      </c>
      <c r="L37" s="2319"/>
      <c r="M37" s="2005"/>
      <c r="N37" s="2296">
        <f t="shared" si="2"/>
      </c>
      <c r="O37" s="2297">
        <f t="shared" si="3"/>
      </c>
      <c r="P37" s="1615"/>
      <c r="Q37" s="2298">
        <f t="shared" si="4"/>
      </c>
      <c r="R37" s="1492">
        <f t="shared" si="5"/>
      </c>
      <c r="S37" s="1492">
        <f t="shared" si="6"/>
      </c>
      <c r="T37" s="2299" t="str">
        <f t="shared" si="7"/>
        <v>--</v>
      </c>
      <c r="U37" s="2300" t="str">
        <f t="shared" si="8"/>
        <v>--</v>
      </c>
      <c r="V37" s="2301" t="str">
        <f t="shared" si="9"/>
        <v>--</v>
      </c>
      <c r="W37" s="2302" t="str">
        <f t="shared" si="10"/>
        <v>--</v>
      </c>
      <c r="X37" s="2303" t="str">
        <f t="shared" si="11"/>
        <v>--</v>
      </c>
      <c r="Y37" s="2304" t="str">
        <f t="shared" si="12"/>
        <v>--</v>
      </c>
      <c r="Z37" s="2305" t="str">
        <f t="shared" si="13"/>
        <v>--</v>
      </c>
      <c r="AA37" s="2306" t="str">
        <f t="shared" si="14"/>
        <v>--</v>
      </c>
      <c r="AB37" s="2307" t="str">
        <f t="shared" si="15"/>
        <v>--</v>
      </c>
      <c r="AC37" s="2308" t="str">
        <f t="shared" si="16"/>
        <v>--</v>
      </c>
      <c r="AD37" s="2315">
        <f t="shared" si="17"/>
      </c>
      <c r="AE37" s="1904">
        <f t="shared" si="18"/>
      </c>
      <c r="AF37" s="2310"/>
    </row>
    <row r="38" spans="2:32" s="1382" customFormat="1" ht="16.5" customHeight="1">
      <c r="B38" s="1554"/>
      <c r="C38" s="1480"/>
      <c r="D38" s="1480"/>
      <c r="E38" s="1480"/>
      <c r="F38" s="2316"/>
      <c r="G38" s="2317"/>
      <c r="H38" s="2318"/>
      <c r="I38" s="2317"/>
      <c r="J38" s="2292">
        <f t="shared" si="0"/>
        <v>20</v>
      </c>
      <c r="K38" s="2293" t="e">
        <f t="shared" si="1"/>
        <v>#VALUE!</v>
      </c>
      <c r="L38" s="2319"/>
      <c r="M38" s="2005"/>
      <c r="N38" s="2296">
        <f t="shared" si="2"/>
      </c>
      <c r="O38" s="2297">
        <f t="shared" si="3"/>
      </c>
      <c r="P38" s="1615"/>
      <c r="Q38" s="2298">
        <f t="shared" si="4"/>
      </c>
      <c r="R38" s="1492">
        <f t="shared" si="5"/>
      </c>
      <c r="S38" s="1492">
        <f t="shared" si="6"/>
      </c>
      <c r="T38" s="2299" t="str">
        <f t="shared" si="7"/>
        <v>--</v>
      </c>
      <c r="U38" s="2300" t="str">
        <f t="shared" si="8"/>
        <v>--</v>
      </c>
      <c r="V38" s="2301" t="str">
        <f t="shared" si="9"/>
        <v>--</v>
      </c>
      <c r="W38" s="2302" t="str">
        <f t="shared" si="10"/>
        <v>--</v>
      </c>
      <c r="X38" s="2303" t="str">
        <f t="shared" si="11"/>
        <v>--</v>
      </c>
      <c r="Y38" s="2304" t="str">
        <f t="shared" si="12"/>
        <v>--</v>
      </c>
      <c r="Z38" s="2305" t="str">
        <f t="shared" si="13"/>
        <v>--</v>
      </c>
      <c r="AA38" s="2306" t="str">
        <f t="shared" si="14"/>
        <v>--</v>
      </c>
      <c r="AB38" s="2307" t="str">
        <f t="shared" si="15"/>
        <v>--</v>
      </c>
      <c r="AC38" s="2308" t="str">
        <f t="shared" si="16"/>
        <v>--</v>
      </c>
      <c r="AD38" s="2315">
        <f t="shared" si="17"/>
      </c>
      <c r="AE38" s="1904">
        <f t="shared" si="18"/>
      </c>
      <c r="AF38" s="2310"/>
    </row>
    <row r="39" spans="2:32" s="1382" customFormat="1" ht="16.5" customHeight="1">
      <c r="B39" s="1554"/>
      <c r="C39" s="1465"/>
      <c r="D39" s="1465"/>
      <c r="E39" s="1465"/>
      <c r="F39" s="2316"/>
      <c r="G39" s="2317"/>
      <c r="H39" s="2318"/>
      <c r="I39" s="2317"/>
      <c r="J39" s="2292">
        <f t="shared" si="0"/>
        <v>20</v>
      </c>
      <c r="K39" s="2293" t="e">
        <f t="shared" si="1"/>
        <v>#VALUE!</v>
      </c>
      <c r="L39" s="2319"/>
      <c r="M39" s="2005"/>
      <c r="N39" s="2296">
        <f t="shared" si="2"/>
      </c>
      <c r="O39" s="2297">
        <f t="shared" si="3"/>
      </c>
      <c r="P39" s="1615"/>
      <c r="Q39" s="2298">
        <f t="shared" si="4"/>
      </c>
      <c r="R39" s="1492">
        <f t="shared" si="5"/>
      </c>
      <c r="S39" s="1492">
        <f t="shared" si="6"/>
      </c>
      <c r="T39" s="2299" t="str">
        <f t="shared" si="7"/>
        <v>--</v>
      </c>
      <c r="U39" s="2300" t="str">
        <f t="shared" si="8"/>
        <v>--</v>
      </c>
      <c r="V39" s="2301" t="str">
        <f t="shared" si="9"/>
        <v>--</v>
      </c>
      <c r="W39" s="2302" t="str">
        <f t="shared" si="10"/>
        <v>--</v>
      </c>
      <c r="X39" s="2303" t="str">
        <f t="shared" si="11"/>
        <v>--</v>
      </c>
      <c r="Y39" s="2304" t="str">
        <f t="shared" si="12"/>
        <v>--</v>
      </c>
      <c r="Z39" s="2305" t="str">
        <f t="shared" si="13"/>
        <v>--</v>
      </c>
      <c r="AA39" s="2306" t="str">
        <f t="shared" si="14"/>
        <v>--</v>
      </c>
      <c r="AB39" s="2307" t="str">
        <f t="shared" si="15"/>
        <v>--</v>
      </c>
      <c r="AC39" s="2308" t="str">
        <f t="shared" si="16"/>
        <v>--</v>
      </c>
      <c r="AD39" s="2315">
        <f t="shared" si="17"/>
      </c>
      <c r="AE39" s="1904">
        <f t="shared" si="18"/>
      </c>
      <c r="AF39" s="2310"/>
    </row>
    <row r="40" spans="2:32" s="1382" customFormat="1" ht="16.5" customHeight="1" thickBot="1">
      <c r="B40" s="1554"/>
      <c r="C40" s="1480"/>
      <c r="D40" s="2321"/>
      <c r="E40" s="1480"/>
      <c r="F40" s="2322"/>
      <c r="G40" s="1619"/>
      <c r="H40" s="2323"/>
      <c r="I40" s="2324"/>
      <c r="J40" s="2325"/>
      <c r="K40" s="2326"/>
      <c r="L40" s="2327"/>
      <c r="M40" s="2327"/>
      <c r="N40" s="1913"/>
      <c r="O40" s="1913"/>
      <c r="P40" s="1622"/>
      <c r="Q40" s="1514"/>
      <c r="R40" s="1622"/>
      <c r="S40" s="1622"/>
      <c r="T40" s="2328"/>
      <c r="U40" s="2329"/>
      <c r="V40" s="2330"/>
      <c r="W40" s="2331"/>
      <c r="X40" s="2332"/>
      <c r="Y40" s="2333"/>
      <c r="Z40" s="2334"/>
      <c r="AA40" s="2335"/>
      <c r="AB40" s="2336"/>
      <c r="AC40" s="2337"/>
      <c r="AD40" s="2338"/>
      <c r="AE40" s="2339"/>
      <c r="AF40" s="2310"/>
    </row>
    <row r="41" spans="2:32" s="1382" customFormat="1" ht="16.5" customHeight="1" thickBot="1" thickTop="1">
      <c r="B41" s="1554"/>
      <c r="C41" s="2340" t="s">
        <v>392</v>
      </c>
      <c r="D41" s="2341" t="s">
        <v>420</v>
      </c>
      <c r="E41" s="1527"/>
      <c r="F41" s="1529"/>
      <c r="G41" s="2342"/>
      <c r="H41" s="1843"/>
      <c r="I41" s="2343"/>
      <c r="J41" s="1843"/>
      <c r="K41" s="2001"/>
      <c r="L41" s="2001"/>
      <c r="M41" s="2001"/>
      <c r="N41" s="2001"/>
      <c r="O41" s="2001"/>
      <c r="P41" s="2001"/>
      <c r="Q41" s="2344"/>
      <c r="R41" s="2001"/>
      <c r="S41" s="2001"/>
      <c r="T41" s="2345">
        <f aca="true" t="shared" si="19" ref="T41:AC41">SUM(T18:T40)</f>
        <v>712.7684199999999</v>
      </c>
      <c r="U41" s="2346">
        <f t="shared" si="19"/>
        <v>0</v>
      </c>
      <c r="V41" s="2347">
        <f t="shared" si="19"/>
        <v>0</v>
      </c>
      <c r="W41" s="2347">
        <f t="shared" si="19"/>
        <v>0</v>
      </c>
      <c r="X41" s="2347">
        <f t="shared" si="19"/>
        <v>0</v>
      </c>
      <c r="Y41" s="2348">
        <f t="shared" si="19"/>
        <v>0</v>
      </c>
      <c r="Z41" s="2348">
        <f t="shared" si="19"/>
        <v>0</v>
      </c>
      <c r="AA41" s="2348">
        <f t="shared" si="19"/>
        <v>0</v>
      </c>
      <c r="AB41" s="2349">
        <f t="shared" si="19"/>
        <v>0</v>
      </c>
      <c r="AC41" s="2350">
        <f t="shared" si="19"/>
        <v>0</v>
      </c>
      <c r="AD41" s="2351"/>
      <c r="AE41" s="2352">
        <f>ROUND(SUM(AE18:AE40),2)</f>
        <v>712.77</v>
      </c>
      <c r="AF41" s="2310"/>
    </row>
    <row r="42" spans="2:32" s="1382" customFormat="1" ht="16.5" customHeight="1" thickBot="1" thickTop="1">
      <c r="B42" s="1635"/>
      <c r="C42" s="1636"/>
      <c r="D42" s="1636"/>
      <c r="E42" s="1636"/>
      <c r="F42" s="1636"/>
      <c r="G42" s="1636"/>
      <c r="H42" s="1636"/>
      <c r="I42" s="1636"/>
      <c r="J42" s="1636"/>
      <c r="K42" s="1636"/>
      <c r="L42" s="1636"/>
      <c r="M42" s="1636"/>
      <c r="N42" s="1636"/>
      <c r="O42" s="1636"/>
      <c r="P42" s="1636"/>
      <c r="Q42" s="1636"/>
      <c r="R42" s="1636"/>
      <c r="S42" s="1636"/>
      <c r="T42" s="1636"/>
      <c r="U42" s="1636"/>
      <c r="V42" s="1636"/>
      <c r="W42" s="1636"/>
      <c r="X42" s="1636"/>
      <c r="Y42" s="1636"/>
      <c r="Z42" s="1636"/>
      <c r="AA42" s="1636"/>
      <c r="AB42" s="1636"/>
      <c r="AC42" s="1636"/>
      <c r="AD42" s="1636"/>
      <c r="AE42" s="1636"/>
      <c r="AF42" s="1637"/>
    </row>
    <row r="43" spans="2:32" ht="16.5" customHeight="1" thickTop="1">
      <c r="B43" s="1822"/>
      <c r="C43" s="1822"/>
      <c r="D43" s="1822"/>
      <c r="AF43" s="1822"/>
    </row>
  </sheetData>
  <sheetProtection password="CC12"/>
  <printOptions/>
  <pageMargins left="0.55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AE156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2" width="4.140625" style="9" customWidth="1"/>
    <col min="3" max="3" width="5.421875" style="9" customWidth="1"/>
    <col min="4" max="5" width="13.57421875" style="9" customWidth="1"/>
    <col min="6" max="7" width="25.7109375" style="9" customWidth="1"/>
    <col min="8" max="8" width="9.7109375" style="9" customWidth="1"/>
    <col min="9" max="9" width="12.7109375" style="9" customWidth="1"/>
    <col min="10" max="10" width="13.7109375" style="9" hidden="1" customWidth="1"/>
    <col min="11" max="11" width="16.28125" style="9" customWidth="1"/>
    <col min="12" max="12" width="16.421875" style="9" customWidth="1"/>
    <col min="13" max="16" width="9.7109375" style="9" customWidth="1"/>
    <col min="17" max="17" width="5.8515625" style="9" customWidth="1"/>
    <col min="18" max="18" width="7.00390625" style="9" customWidth="1"/>
    <col min="19" max="19" width="13.140625" style="9" hidden="1" customWidth="1"/>
    <col min="20" max="21" width="16.421875" style="9" hidden="1" customWidth="1"/>
    <col min="22" max="22" width="16.57421875" style="9" hidden="1" customWidth="1"/>
    <col min="23" max="27" width="16.28125" style="9" hidden="1" customWidth="1"/>
    <col min="28" max="28" width="9.7109375" style="9" customWidth="1"/>
    <col min="29" max="29" width="15.7109375" style="9" customWidth="1"/>
    <col min="30" max="30" width="4.140625" style="9" customWidth="1"/>
    <col min="31" max="16384" width="11.421875" style="9" customWidth="1"/>
  </cols>
  <sheetData>
    <row r="1" spans="2:30" s="3" customFormat="1" ht="26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275"/>
    </row>
    <row r="2" spans="1:30" s="3" customFormat="1" ht="26.25">
      <c r="A2" s="88"/>
      <c r="B2" s="276" t="str">
        <f>+'TOT-0614'!B2</f>
        <v>ANEXO I al Memorándum D.T.E.E. N°         347   / 2015</v>
      </c>
      <c r="C2" s="276"/>
      <c r="D2" s="276"/>
      <c r="E2" s="276"/>
      <c r="F2" s="276"/>
      <c r="G2" s="2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</row>
    <row r="3" spans="1:30" s="8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1:30" s="14" customFormat="1" ht="11.25">
      <c r="A4" s="277" t="s">
        <v>55</v>
      </c>
      <c r="B4" s="278"/>
      <c r="C4" s="278"/>
      <c r="D4" s="278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</row>
    <row r="5" spans="1:30" s="14" customFormat="1" ht="11.25">
      <c r="A5" s="277" t="s">
        <v>3</v>
      </c>
      <c r="B5" s="278"/>
      <c r="C5" s="278"/>
      <c r="D5" s="278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</row>
    <row r="6" spans="1:30" s="8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</row>
    <row r="7" spans="1:30" s="8" customFormat="1" ht="13.5" thickTop="1">
      <c r="A7" s="89"/>
      <c r="B7" s="280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94"/>
    </row>
    <row r="8" spans="1:30" s="18" customFormat="1" ht="20.25">
      <c r="A8" s="282"/>
      <c r="B8" s="283"/>
      <c r="C8" s="284"/>
      <c r="D8" s="284"/>
      <c r="E8" s="282"/>
      <c r="F8" s="285" t="s">
        <v>24</v>
      </c>
      <c r="G8" s="282"/>
      <c r="H8" s="282"/>
      <c r="I8" s="286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98"/>
    </row>
    <row r="9" spans="1:30" s="8" customFormat="1" ht="12.75">
      <c r="A9" s="89"/>
      <c r="B9" s="287"/>
      <c r="C9" s="83"/>
      <c r="D9" s="83"/>
      <c r="E9" s="89"/>
      <c r="F9" s="83"/>
      <c r="G9" s="288"/>
      <c r="H9" s="89"/>
      <c r="I9" s="83"/>
      <c r="J9" s="89"/>
      <c r="K9" s="89"/>
      <c r="L9" s="89"/>
      <c r="M9" s="89"/>
      <c r="N9" s="89"/>
      <c r="O9" s="89"/>
      <c r="P9" s="89"/>
      <c r="Q9" s="89"/>
      <c r="R9" s="89"/>
      <c r="S9" s="89"/>
      <c r="T9" s="83"/>
      <c r="U9" s="83"/>
      <c r="V9" s="83"/>
      <c r="W9" s="83"/>
      <c r="X9" s="83"/>
      <c r="Y9" s="83"/>
      <c r="Z9" s="83"/>
      <c r="AA9" s="83"/>
      <c r="AB9" s="83"/>
      <c r="AC9" s="83"/>
      <c r="AD9" s="99"/>
    </row>
    <row r="10" spans="1:30" s="295" customFormat="1" ht="30" customHeight="1">
      <c r="A10" s="289"/>
      <c r="B10" s="290"/>
      <c r="C10" s="291"/>
      <c r="D10" s="291"/>
      <c r="E10" s="289"/>
      <c r="F10" s="292" t="s">
        <v>56</v>
      </c>
      <c r="G10" s="289"/>
      <c r="H10" s="293"/>
      <c r="I10" s="291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4"/>
    </row>
    <row r="11" spans="1:30" s="299" customFormat="1" ht="9.75" customHeight="1">
      <c r="A11" s="296"/>
      <c r="B11" s="297"/>
      <c r="C11" s="298"/>
      <c r="D11" s="298"/>
      <c r="E11" s="296"/>
      <c r="G11" s="298"/>
      <c r="H11" s="298"/>
      <c r="I11" s="298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8"/>
      <c r="U11" s="298"/>
      <c r="V11" s="298"/>
      <c r="W11" s="298"/>
      <c r="X11" s="298"/>
      <c r="Y11" s="298"/>
      <c r="Z11" s="298"/>
      <c r="AA11" s="298"/>
      <c r="AB11" s="298"/>
      <c r="AC11" s="298"/>
      <c r="AD11" s="300"/>
    </row>
    <row r="12" spans="1:30" s="299" customFormat="1" ht="21" customHeight="1">
      <c r="A12" s="289"/>
      <c r="B12" s="290"/>
      <c r="C12" s="291"/>
      <c r="D12" s="291"/>
      <c r="E12" s="289"/>
      <c r="F12" s="301" t="s">
        <v>57</v>
      </c>
      <c r="G12" s="289"/>
      <c r="H12" s="289"/>
      <c r="I12" s="289"/>
      <c r="J12" s="302"/>
      <c r="K12" s="302"/>
      <c r="L12" s="302"/>
      <c r="M12" s="302"/>
      <c r="N12" s="302"/>
      <c r="O12" s="296"/>
      <c r="P12" s="296"/>
      <c r="Q12" s="296"/>
      <c r="R12" s="296"/>
      <c r="S12" s="296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300"/>
    </row>
    <row r="13" spans="1:30" s="8" customFormat="1" ht="12.75">
      <c r="A13" s="89"/>
      <c r="B13" s="287"/>
      <c r="C13" s="83"/>
      <c r="D13" s="83"/>
      <c r="E13" s="89"/>
      <c r="F13" s="83"/>
      <c r="G13" s="83"/>
      <c r="H13" s="83"/>
      <c r="I13" s="303"/>
      <c r="J13" s="83"/>
      <c r="K13" s="83"/>
      <c r="L13" s="83"/>
      <c r="M13" s="83"/>
      <c r="N13" s="83"/>
      <c r="O13" s="89"/>
      <c r="P13" s="89"/>
      <c r="Q13" s="89"/>
      <c r="R13" s="89"/>
      <c r="S13" s="89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99"/>
    </row>
    <row r="14" spans="1:30" s="34" customFormat="1" ht="19.5">
      <c r="A14" s="304"/>
      <c r="B14" s="35" t="str">
        <f>'TOT-0614'!B14</f>
        <v>Desde el 01 al 30 de junio de 2014</v>
      </c>
      <c r="C14" s="39"/>
      <c r="D14" s="39"/>
      <c r="E14" s="305"/>
      <c r="F14" s="306"/>
      <c r="G14" s="306"/>
      <c r="H14" s="306"/>
      <c r="I14" s="306"/>
      <c r="J14" s="306"/>
      <c r="K14" s="306"/>
      <c r="L14" s="306"/>
      <c r="M14" s="306"/>
      <c r="N14" s="306"/>
      <c r="O14" s="305"/>
      <c r="P14" s="305"/>
      <c r="Q14" s="305"/>
      <c r="R14" s="305"/>
      <c r="S14" s="305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7"/>
    </row>
    <row r="15" spans="1:30" s="8" customFormat="1" ht="13.5" thickBot="1">
      <c r="A15" s="89"/>
      <c r="B15" s="287"/>
      <c r="C15" s="83"/>
      <c r="D15" s="83"/>
      <c r="E15" s="89"/>
      <c r="F15" s="83"/>
      <c r="G15" s="83"/>
      <c r="H15" s="83"/>
      <c r="I15" s="303"/>
      <c r="J15" s="83"/>
      <c r="K15" s="83"/>
      <c r="L15" s="83"/>
      <c r="M15" s="83"/>
      <c r="N15" s="83"/>
      <c r="O15" s="89"/>
      <c r="P15" s="89"/>
      <c r="Q15" s="89"/>
      <c r="R15" s="89"/>
      <c r="S15" s="89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99"/>
    </row>
    <row r="16" spans="1:30" s="8" customFormat="1" ht="16.5" customHeight="1" thickBot="1" thickTop="1">
      <c r="A16" s="89"/>
      <c r="B16" s="287"/>
      <c r="C16" s="83"/>
      <c r="D16" s="83"/>
      <c r="E16" s="89"/>
      <c r="F16" s="308" t="s">
        <v>58</v>
      </c>
      <c r="G16" s="309"/>
      <c r="H16" s="310">
        <v>1.077</v>
      </c>
      <c r="J16" s="89"/>
      <c r="K16" s="89"/>
      <c r="L16" s="89"/>
      <c r="M16" s="89"/>
      <c r="N16" s="89"/>
      <c r="O16" s="89"/>
      <c r="P16" s="89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99"/>
    </row>
    <row r="17" spans="1:30" s="8" customFormat="1" ht="16.5" customHeight="1" thickBot="1" thickTop="1">
      <c r="A17" s="89"/>
      <c r="B17" s="287"/>
      <c r="C17" s="83"/>
      <c r="D17" s="83"/>
      <c r="E17" s="89"/>
      <c r="F17" s="311" t="s">
        <v>59</v>
      </c>
      <c r="G17" s="312"/>
      <c r="H17" s="313">
        <v>200</v>
      </c>
      <c r="I17" s="9"/>
      <c r="J17" s="83"/>
      <c r="K17" s="107"/>
      <c r="L17" s="108"/>
      <c r="M17" s="11"/>
      <c r="N17" s="83"/>
      <c r="O17" s="83"/>
      <c r="P17" s="83"/>
      <c r="Q17" s="83"/>
      <c r="R17" s="83"/>
      <c r="S17" s="83"/>
      <c r="T17" s="83"/>
      <c r="U17" s="83"/>
      <c r="V17" s="83"/>
      <c r="W17" s="314"/>
      <c r="X17" s="314"/>
      <c r="Y17" s="314"/>
      <c r="Z17" s="314"/>
      <c r="AA17" s="314"/>
      <c r="AB17" s="314"/>
      <c r="AC17" s="89"/>
      <c r="AD17" s="99"/>
    </row>
    <row r="18" spans="1:30" s="8" customFormat="1" ht="16.5" customHeight="1" thickBot="1" thickTop="1">
      <c r="A18" s="89"/>
      <c r="B18" s="287"/>
      <c r="C18" s="315">
        <v>3</v>
      </c>
      <c r="D18" s="315">
        <v>4</v>
      </c>
      <c r="E18" s="315">
        <v>5</v>
      </c>
      <c r="F18" s="315">
        <v>6</v>
      </c>
      <c r="G18" s="315">
        <v>7</v>
      </c>
      <c r="H18" s="315">
        <v>8</v>
      </c>
      <c r="I18" s="315">
        <v>9</v>
      </c>
      <c r="J18" s="315">
        <v>10</v>
      </c>
      <c r="K18" s="315">
        <v>11</v>
      </c>
      <c r="L18" s="315">
        <v>12</v>
      </c>
      <c r="M18" s="315">
        <v>13</v>
      </c>
      <c r="N18" s="315">
        <v>14</v>
      </c>
      <c r="O18" s="315">
        <v>15</v>
      </c>
      <c r="P18" s="315">
        <v>16</v>
      </c>
      <c r="Q18" s="315">
        <v>17</v>
      </c>
      <c r="R18" s="315">
        <v>18</v>
      </c>
      <c r="S18" s="315">
        <v>19</v>
      </c>
      <c r="T18" s="315">
        <v>20</v>
      </c>
      <c r="U18" s="315">
        <v>21</v>
      </c>
      <c r="V18" s="315">
        <v>22</v>
      </c>
      <c r="W18" s="315">
        <v>23</v>
      </c>
      <c r="X18" s="315">
        <v>24</v>
      </c>
      <c r="Y18" s="315">
        <v>25</v>
      </c>
      <c r="Z18" s="315">
        <v>26</v>
      </c>
      <c r="AA18" s="315">
        <v>27</v>
      </c>
      <c r="AB18" s="315">
        <v>28</v>
      </c>
      <c r="AC18" s="315">
        <v>29</v>
      </c>
      <c r="AD18" s="99"/>
    </row>
    <row r="19" spans="1:30" s="8" customFormat="1" ht="33.75" customHeight="1" thickBot="1" thickTop="1">
      <c r="A19" s="89"/>
      <c r="B19" s="287"/>
      <c r="C19" s="316" t="s">
        <v>29</v>
      </c>
      <c r="D19" s="111" t="s">
        <v>30</v>
      </c>
      <c r="E19" s="111" t="s">
        <v>31</v>
      </c>
      <c r="F19" s="317" t="s">
        <v>60</v>
      </c>
      <c r="G19" s="318" t="s">
        <v>61</v>
      </c>
      <c r="H19" s="319" t="s">
        <v>62</v>
      </c>
      <c r="I19" s="320" t="s">
        <v>32</v>
      </c>
      <c r="J19" s="321" t="s">
        <v>36</v>
      </c>
      <c r="K19" s="318" t="s">
        <v>37</v>
      </c>
      <c r="L19" s="318" t="s">
        <v>38</v>
      </c>
      <c r="M19" s="317" t="s">
        <v>63</v>
      </c>
      <c r="N19" s="317" t="s">
        <v>40</v>
      </c>
      <c r="O19" s="119" t="s">
        <v>316</v>
      </c>
      <c r="P19" s="119" t="s">
        <v>41</v>
      </c>
      <c r="Q19" s="322" t="s">
        <v>43</v>
      </c>
      <c r="R19" s="318" t="s">
        <v>64</v>
      </c>
      <c r="S19" s="323" t="s">
        <v>35</v>
      </c>
      <c r="T19" s="324" t="s">
        <v>44</v>
      </c>
      <c r="U19" s="325" t="s">
        <v>45</v>
      </c>
      <c r="V19" s="122" t="s">
        <v>65</v>
      </c>
      <c r="W19" s="124"/>
      <c r="X19" s="326" t="s">
        <v>66</v>
      </c>
      <c r="Y19" s="327"/>
      <c r="Z19" s="328" t="s">
        <v>48</v>
      </c>
      <c r="AA19" s="329" t="s">
        <v>49</v>
      </c>
      <c r="AB19" s="130" t="s">
        <v>50</v>
      </c>
      <c r="AC19" s="320" t="s">
        <v>51</v>
      </c>
      <c r="AD19" s="99"/>
    </row>
    <row r="20" spans="1:30" s="8" customFormat="1" ht="16.5" customHeight="1" thickTop="1">
      <c r="A20" s="89"/>
      <c r="B20" s="287"/>
      <c r="C20" s="330"/>
      <c r="D20" s="330"/>
      <c r="E20" s="330"/>
      <c r="F20" s="330"/>
      <c r="G20" s="330"/>
      <c r="H20" s="330"/>
      <c r="I20" s="331"/>
      <c r="J20" s="332"/>
      <c r="K20" s="330"/>
      <c r="L20" s="330"/>
      <c r="M20" s="330"/>
      <c r="N20" s="330"/>
      <c r="O20" s="330"/>
      <c r="P20" s="132"/>
      <c r="Q20" s="333"/>
      <c r="R20" s="330"/>
      <c r="S20" s="334"/>
      <c r="T20" s="335"/>
      <c r="U20" s="336"/>
      <c r="V20" s="337"/>
      <c r="W20" s="338"/>
      <c r="X20" s="339"/>
      <c r="Y20" s="340"/>
      <c r="Z20" s="341"/>
      <c r="AA20" s="342"/>
      <c r="AB20" s="333"/>
      <c r="AC20" s="343"/>
      <c r="AD20" s="99"/>
    </row>
    <row r="21" spans="1:30" s="8" customFormat="1" ht="16.5" customHeight="1">
      <c r="A21" s="89"/>
      <c r="B21" s="287"/>
      <c r="C21" s="150"/>
      <c r="D21" s="150"/>
      <c r="E21" s="150"/>
      <c r="F21" s="150"/>
      <c r="G21" s="150"/>
      <c r="H21" s="150"/>
      <c r="I21" s="344"/>
      <c r="J21" s="345"/>
      <c r="K21" s="150"/>
      <c r="L21" s="150"/>
      <c r="M21" s="150"/>
      <c r="N21" s="150"/>
      <c r="O21" s="150"/>
      <c r="P21" s="157"/>
      <c r="Q21" s="346"/>
      <c r="R21" s="150"/>
      <c r="S21" s="347"/>
      <c r="T21" s="348"/>
      <c r="U21" s="349"/>
      <c r="V21" s="350"/>
      <c r="W21" s="351"/>
      <c r="X21" s="352"/>
      <c r="Y21" s="353"/>
      <c r="Z21" s="354"/>
      <c r="AA21" s="355"/>
      <c r="AB21" s="346"/>
      <c r="AC21" s="356"/>
      <c r="AD21" s="99"/>
    </row>
    <row r="22" spans="1:30" s="8" customFormat="1" ht="16.5" customHeight="1">
      <c r="A22" s="89"/>
      <c r="B22" s="287"/>
      <c r="C22" s="169">
        <v>17</v>
      </c>
      <c r="D22" s="169">
        <v>275635</v>
      </c>
      <c r="E22" s="169">
        <v>4654</v>
      </c>
      <c r="F22" s="357" t="s">
        <v>341</v>
      </c>
      <c r="G22" s="358" t="s">
        <v>342</v>
      </c>
      <c r="H22" s="359">
        <v>300</v>
      </c>
      <c r="I22" s="591" t="s">
        <v>144</v>
      </c>
      <c r="J22" s="361">
        <f aca="true" t="shared" si="0" ref="J22:J41">H22*$H$16</f>
        <v>323.09999999999997</v>
      </c>
      <c r="K22" s="362">
        <v>41798.35972222222</v>
      </c>
      <c r="L22" s="362">
        <v>41798.520833333336</v>
      </c>
      <c r="M22" s="363">
        <f aca="true" t="shared" si="1" ref="M22:M41">IF(F22="","",(L22-K22)*24)</f>
        <v>3.8666666666977108</v>
      </c>
      <c r="N22" s="364">
        <f aca="true" t="shared" si="2" ref="N22:N41">IF(F22="","",ROUND((L22-K22)*24*60,0))</f>
        <v>232</v>
      </c>
      <c r="O22" s="365" t="s">
        <v>332</v>
      </c>
      <c r="P22" s="273" t="str">
        <f aca="true" t="shared" si="3" ref="P22:P41">IF(F22="","","--")</f>
        <v>--</v>
      </c>
      <c r="Q22" s="366" t="str">
        <f aca="true" t="shared" si="4" ref="Q22:Q41">IF(F22="","",IF(OR(O22="P",O22="RP"),"--","NO"))</f>
        <v>--</v>
      </c>
      <c r="R22" s="180" t="str">
        <f aca="true" t="shared" si="5" ref="R22:R41">IF(F22="","","NO")</f>
        <v>NO</v>
      </c>
      <c r="S22" s="367">
        <f aca="true" t="shared" si="6" ref="S22:S41">$H$17*IF(OR(O22="P",O22="RP"),0.1,1)*IF(R22="SI",1,0.1)</f>
        <v>2</v>
      </c>
      <c r="T22" s="368">
        <f aca="true" t="shared" si="7" ref="T22:T41">IF(O22="P",J22*S22*ROUND(N22/60,2),"--")</f>
        <v>2500.794</v>
      </c>
      <c r="U22" s="369" t="str">
        <f aca="true" t="shared" si="8" ref="U22:U41">IF(O22="RP",J22*S22*P22/100*ROUND(N22/60,2),"--")</f>
        <v>--</v>
      </c>
      <c r="V22" s="370" t="str">
        <f aca="true" t="shared" si="9" ref="V22:V41">IF(AND(O22="F",Q22="NO"),J22*S22,"--")</f>
        <v>--</v>
      </c>
      <c r="W22" s="371" t="str">
        <f aca="true" t="shared" si="10" ref="W22:W41">IF(O22="F",J22*S22*ROUND(N22/60,2),"--")</f>
        <v>--</v>
      </c>
      <c r="X22" s="372" t="str">
        <f aca="true" t="shared" si="11" ref="X22:X41">IF(AND(O22="R",Q22="NO"),J22*S22*P22/100,"--")</f>
        <v>--</v>
      </c>
      <c r="Y22" s="373" t="str">
        <f aca="true" t="shared" si="12" ref="Y22:Y41">IF(O22="R",J22*S22*P22/100*ROUND(N22/60,2),"--")</f>
        <v>--</v>
      </c>
      <c r="Z22" s="374" t="str">
        <f aca="true" t="shared" si="13" ref="Z22:Z41">IF(O22="RF",J22*S22*ROUND(N22/60,2),"--")</f>
        <v>--</v>
      </c>
      <c r="AA22" s="375" t="str">
        <f aca="true" t="shared" si="14" ref="AA22:AA41">IF(O22="RR",J22*S22*P22/100*ROUND(N22/60,2),"--")</f>
        <v>--</v>
      </c>
      <c r="AB22" s="376" t="s">
        <v>84</v>
      </c>
      <c r="AC22" s="192">
        <v>0</v>
      </c>
      <c r="AD22" s="99"/>
    </row>
    <row r="23" spans="1:30" s="8" customFormat="1" ht="16.5" customHeight="1">
      <c r="A23" s="89"/>
      <c r="B23" s="287"/>
      <c r="C23" s="150">
        <v>18</v>
      </c>
      <c r="D23" s="150">
        <v>276052</v>
      </c>
      <c r="E23" s="150">
        <v>73</v>
      </c>
      <c r="F23" s="357" t="s">
        <v>343</v>
      </c>
      <c r="G23" s="358" t="s">
        <v>344</v>
      </c>
      <c r="H23" s="359">
        <v>300</v>
      </c>
      <c r="I23" s="2436" t="s">
        <v>144</v>
      </c>
      <c r="J23" s="361">
        <f t="shared" si="0"/>
        <v>323.09999999999997</v>
      </c>
      <c r="K23" s="362">
        <v>41810.25277777778</v>
      </c>
      <c r="L23" s="362">
        <v>41810.36041666667</v>
      </c>
      <c r="M23" s="363">
        <f t="shared" si="1"/>
        <v>2.5833333333721384</v>
      </c>
      <c r="N23" s="364">
        <f t="shared" si="2"/>
        <v>155</v>
      </c>
      <c r="O23" s="365" t="s">
        <v>329</v>
      </c>
      <c r="P23" s="273" t="str">
        <f t="shared" si="3"/>
        <v>--</v>
      </c>
      <c r="Q23" s="366" t="str">
        <f t="shared" si="4"/>
        <v>NO</v>
      </c>
      <c r="R23" s="180" t="str">
        <f t="shared" si="5"/>
        <v>NO</v>
      </c>
      <c r="S23" s="367">
        <f t="shared" si="6"/>
        <v>20</v>
      </c>
      <c r="T23" s="368" t="str">
        <f t="shared" si="7"/>
        <v>--</v>
      </c>
      <c r="U23" s="369" t="str">
        <f t="shared" si="8"/>
        <v>--</v>
      </c>
      <c r="V23" s="370">
        <f t="shared" si="9"/>
        <v>6461.999999999999</v>
      </c>
      <c r="W23" s="371">
        <f t="shared" si="10"/>
        <v>16671.96</v>
      </c>
      <c r="X23" s="372" t="str">
        <f t="shared" si="11"/>
        <v>--</v>
      </c>
      <c r="Y23" s="373" t="str">
        <f t="shared" si="12"/>
        <v>--</v>
      </c>
      <c r="Z23" s="374" t="str">
        <f t="shared" si="13"/>
        <v>--</v>
      </c>
      <c r="AA23" s="375" t="str">
        <f t="shared" si="14"/>
        <v>--</v>
      </c>
      <c r="AB23" s="376" t="s">
        <v>84</v>
      </c>
      <c r="AC23" s="192">
        <f aca="true" t="shared" si="15" ref="AC23:AC41">IF(F23="","",(SUM(T23:AA23)*IF(AB23="SI",1,2)*IF(AND(P23&lt;&gt;"--",O23="RF"),P23/100,1)))</f>
        <v>23133.96</v>
      </c>
      <c r="AD23" s="99"/>
    </row>
    <row r="24" spans="1:30" s="8" customFormat="1" ht="16.5" customHeight="1">
      <c r="A24" s="89"/>
      <c r="B24" s="287"/>
      <c r="C24" s="169">
        <v>19</v>
      </c>
      <c r="D24" s="169">
        <v>276060</v>
      </c>
      <c r="E24" s="169">
        <v>5185</v>
      </c>
      <c r="F24" s="357" t="s">
        <v>471</v>
      </c>
      <c r="G24" s="358" t="s">
        <v>472</v>
      </c>
      <c r="H24" s="359">
        <v>300</v>
      </c>
      <c r="I24" s="591" t="s">
        <v>144</v>
      </c>
      <c r="J24" s="361">
        <f t="shared" si="0"/>
        <v>323.09999999999997</v>
      </c>
      <c r="K24" s="362">
        <v>41810.37430555555</v>
      </c>
      <c r="L24" s="362">
        <v>41810.52847222222</v>
      </c>
      <c r="M24" s="363">
        <f t="shared" si="1"/>
        <v>3.7000000000116415</v>
      </c>
      <c r="N24" s="364">
        <f t="shared" si="2"/>
        <v>222</v>
      </c>
      <c r="O24" s="365" t="s">
        <v>332</v>
      </c>
      <c r="P24" s="273" t="str">
        <f t="shared" si="3"/>
        <v>--</v>
      </c>
      <c r="Q24" s="366" t="str">
        <f t="shared" si="4"/>
        <v>--</v>
      </c>
      <c r="R24" s="180" t="str">
        <f t="shared" si="5"/>
        <v>NO</v>
      </c>
      <c r="S24" s="367">
        <f t="shared" si="6"/>
        <v>2</v>
      </c>
      <c r="T24" s="368">
        <f t="shared" si="7"/>
        <v>2390.94</v>
      </c>
      <c r="U24" s="369" t="str">
        <f t="shared" si="8"/>
        <v>--</v>
      </c>
      <c r="V24" s="370" t="str">
        <f t="shared" si="9"/>
        <v>--</v>
      </c>
      <c r="W24" s="371" t="str">
        <f t="shared" si="10"/>
        <v>--</v>
      </c>
      <c r="X24" s="372" t="str">
        <f t="shared" si="11"/>
        <v>--</v>
      </c>
      <c r="Y24" s="373" t="str">
        <f t="shared" si="12"/>
        <v>--</v>
      </c>
      <c r="Z24" s="374" t="str">
        <f t="shared" si="13"/>
        <v>--</v>
      </c>
      <c r="AA24" s="375" t="str">
        <f t="shared" si="14"/>
        <v>--</v>
      </c>
      <c r="AB24" s="376" t="s">
        <v>84</v>
      </c>
      <c r="AC24" s="192">
        <f t="shared" si="15"/>
        <v>2390.94</v>
      </c>
      <c r="AD24" s="99"/>
    </row>
    <row r="25" spans="1:30" s="8" customFormat="1" ht="16.5" customHeight="1">
      <c r="A25" s="89"/>
      <c r="B25" s="287"/>
      <c r="C25" s="150">
        <v>20</v>
      </c>
      <c r="D25" s="150">
        <v>276235</v>
      </c>
      <c r="E25" s="150">
        <v>62</v>
      </c>
      <c r="F25" s="357" t="s">
        <v>345</v>
      </c>
      <c r="G25" s="358" t="s">
        <v>346</v>
      </c>
      <c r="H25" s="359">
        <v>100</v>
      </c>
      <c r="I25" s="2436" t="s">
        <v>144</v>
      </c>
      <c r="J25" s="361">
        <f t="shared" si="0"/>
        <v>107.69999999999999</v>
      </c>
      <c r="K25" s="362">
        <v>41816.36111111111</v>
      </c>
      <c r="L25" s="362">
        <v>41816.69236111111</v>
      </c>
      <c r="M25" s="363">
        <f t="shared" si="1"/>
        <v>7.950000000069849</v>
      </c>
      <c r="N25" s="364">
        <f t="shared" si="2"/>
        <v>477</v>
      </c>
      <c r="O25" s="365" t="s">
        <v>329</v>
      </c>
      <c r="P25" s="273" t="str">
        <f t="shared" si="3"/>
        <v>--</v>
      </c>
      <c r="Q25" s="366" t="str">
        <f t="shared" si="4"/>
        <v>NO</v>
      </c>
      <c r="R25" s="180" t="s">
        <v>84</v>
      </c>
      <c r="S25" s="367">
        <f t="shared" si="6"/>
        <v>200</v>
      </c>
      <c r="T25" s="368" t="str">
        <f t="shared" si="7"/>
        <v>--</v>
      </c>
      <c r="U25" s="369" t="str">
        <f t="shared" si="8"/>
        <v>--</v>
      </c>
      <c r="V25" s="370">
        <f t="shared" si="9"/>
        <v>21539.999999999996</v>
      </c>
      <c r="W25" s="371">
        <f t="shared" si="10"/>
        <v>171242.99999999997</v>
      </c>
      <c r="X25" s="372" t="str">
        <f t="shared" si="11"/>
        <v>--</v>
      </c>
      <c r="Y25" s="373" t="str">
        <f t="shared" si="12"/>
        <v>--</v>
      </c>
      <c r="Z25" s="374" t="str">
        <f t="shared" si="13"/>
        <v>--</v>
      </c>
      <c r="AA25" s="375" t="str">
        <f t="shared" si="14"/>
        <v>--</v>
      </c>
      <c r="AB25" s="376" t="s">
        <v>84</v>
      </c>
      <c r="AC25" s="192">
        <f t="shared" si="15"/>
        <v>192782.99999999997</v>
      </c>
      <c r="AD25" s="99"/>
    </row>
    <row r="26" spans="1:30" s="8" customFormat="1" ht="16.5" customHeight="1">
      <c r="A26" s="89"/>
      <c r="B26" s="287"/>
      <c r="C26" s="169"/>
      <c r="D26" s="169"/>
      <c r="E26" s="169"/>
      <c r="F26" s="357"/>
      <c r="G26" s="358"/>
      <c r="H26" s="359"/>
      <c r="I26" s="360"/>
      <c r="J26" s="361">
        <f t="shared" si="0"/>
        <v>0</v>
      </c>
      <c r="K26" s="362"/>
      <c r="L26" s="362"/>
      <c r="M26" s="363">
        <f t="shared" si="1"/>
      </c>
      <c r="N26" s="364">
        <f t="shared" si="2"/>
      </c>
      <c r="O26" s="365"/>
      <c r="P26" s="273">
        <f t="shared" si="3"/>
      </c>
      <c r="Q26" s="366">
        <f t="shared" si="4"/>
      </c>
      <c r="R26" s="180">
        <f t="shared" si="5"/>
      </c>
      <c r="S26" s="367">
        <f t="shared" si="6"/>
        <v>20</v>
      </c>
      <c r="T26" s="368" t="str">
        <f t="shared" si="7"/>
        <v>--</v>
      </c>
      <c r="U26" s="369" t="str">
        <f t="shared" si="8"/>
        <v>--</v>
      </c>
      <c r="V26" s="370" t="str">
        <f t="shared" si="9"/>
        <v>--</v>
      </c>
      <c r="W26" s="371" t="str">
        <f t="shared" si="10"/>
        <v>--</v>
      </c>
      <c r="X26" s="372" t="str">
        <f t="shared" si="11"/>
        <v>--</v>
      </c>
      <c r="Y26" s="373" t="str">
        <f t="shared" si="12"/>
        <v>--</v>
      </c>
      <c r="Z26" s="374" t="str">
        <f t="shared" si="13"/>
        <v>--</v>
      </c>
      <c r="AA26" s="375" t="str">
        <f t="shared" si="14"/>
        <v>--</v>
      </c>
      <c r="AB26" s="376">
        <f aca="true" t="shared" si="16" ref="AB26:AB41">IF(F26="","","SI")</f>
      </c>
      <c r="AC26" s="192">
        <f t="shared" si="15"/>
      </c>
      <c r="AD26" s="99"/>
    </row>
    <row r="27" spans="1:30" s="8" customFormat="1" ht="16.5" customHeight="1">
      <c r="A27" s="89"/>
      <c r="B27" s="287"/>
      <c r="C27" s="150"/>
      <c r="D27" s="150"/>
      <c r="E27" s="150"/>
      <c r="F27" s="357"/>
      <c r="G27" s="358"/>
      <c r="H27" s="359"/>
      <c r="I27" s="360"/>
      <c r="J27" s="361">
        <f t="shared" si="0"/>
        <v>0</v>
      </c>
      <c r="K27" s="362"/>
      <c r="L27" s="362"/>
      <c r="M27" s="363">
        <f t="shared" si="1"/>
      </c>
      <c r="N27" s="364">
        <f t="shared" si="2"/>
      </c>
      <c r="O27" s="365"/>
      <c r="P27" s="273">
        <f t="shared" si="3"/>
      </c>
      <c r="Q27" s="366">
        <f t="shared" si="4"/>
      </c>
      <c r="R27" s="180">
        <f t="shared" si="5"/>
      </c>
      <c r="S27" s="367">
        <f t="shared" si="6"/>
        <v>20</v>
      </c>
      <c r="T27" s="368" t="str">
        <f t="shared" si="7"/>
        <v>--</v>
      </c>
      <c r="U27" s="369" t="str">
        <f t="shared" si="8"/>
        <v>--</v>
      </c>
      <c r="V27" s="370" t="str">
        <f t="shared" si="9"/>
        <v>--</v>
      </c>
      <c r="W27" s="371" t="str">
        <f t="shared" si="10"/>
        <v>--</v>
      </c>
      <c r="X27" s="372" t="str">
        <f t="shared" si="11"/>
        <v>--</v>
      </c>
      <c r="Y27" s="373" t="str">
        <f t="shared" si="12"/>
        <v>--</v>
      </c>
      <c r="Z27" s="374" t="str">
        <f t="shared" si="13"/>
        <v>--</v>
      </c>
      <c r="AA27" s="375" t="str">
        <f t="shared" si="14"/>
        <v>--</v>
      </c>
      <c r="AB27" s="376">
        <f t="shared" si="16"/>
      </c>
      <c r="AC27" s="192">
        <f t="shared" si="15"/>
      </c>
      <c r="AD27" s="99"/>
    </row>
    <row r="28" spans="1:31" s="8" customFormat="1" ht="16.5" customHeight="1">
      <c r="A28" s="89"/>
      <c r="B28" s="287"/>
      <c r="C28" s="169"/>
      <c r="D28" s="169"/>
      <c r="E28" s="169"/>
      <c r="F28" s="357"/>
      <c r="G28" s="358"/>
      <c r="H28" s="359"/>
      <c r="I28" s="360"/>
      <c r="J28" s="361">
        <f t="shared" si="0"/>
        <v>0</v>
      </c>
      <c r="K28" s="362"/>
      <c r="L28" s="362"/>
      <c r="M28" s="363">
        <f t="shared" si="1"/>
      </c>
      <c r="N28" s="364">
        <f t="shared" si="2"/>
      </c>
      <c r="O28" s="365"/>
      <c r="P28" s="273">
        <f t="shared" si="3"/>
      </c>
      <c r="Q28" s="366">
        <f t="shared" si="4"/>
      </c>
      <c r="R28" s="180">
        <f t="shared" si="5"/>
      </c>
      <c r="S28" s="367">
        <f t="shared" si="6"/>
        <v>20</v>
      </c>
      <c r="T28" s="368" t="str">
        <f t="shared" si="7"/>
        <v>--</v>
      </c>
      <c r="U28" s="369" t="str">
        <f t="shared" si="8"/>
        <v>--</v>
      </c>
      <c r="V28" s="370" t="str">
        <f t="shared" si="9"/>
        <v>--</v>
      </c>
      <c r="W28" s="371" t="str">
        <f t="shared" si="10"/>
        <v>--</v>
      </c>
      <c r="X28" s="372" t="str">
        <f t="shared" si="11"/>
        <v>--</v>
      </c>
      <c r="Y28" s="373" t="str">
        <f t="shared" si="12"/>
        <v>--</v>
      </c>
      <c r="Z28" s="374" t="str">
        <f t="shared" si="13"/>
        <v>--</v>
      </c>
      <c r="AA28" s="375" t="str">
        <f t="shared" si="14"/>
        <v>--</v>
      </c>
      <c r="AB28" s="376">
        <f t="shared" si="16"/>
      </c>
      <c r="AC28" s="192">
        <f t="shared" si="15"/>
      </c>
      <c r="AD28" s="99"/>
      <c r="AE28" s="83"/>
    </row>
    <row r="29" spans="1:30" s="8" customFormat="1" ht="16.5" customHeight="1">
      <c r="A29" s="89"/>
      <c r="B29" s="287"/>
      <c r="C29" s="150"/>
      <c r="D29" s="150"/>
      <c r="E29" s="150"/>
      <c r="F29" s="357"/>
      <c r="G29" s="358"/>
      <c r="H29" s="359"/>
      <c r="I29" s="360"/>
      <c r="J29" s="361">
        <f t="shared" si="0"/>
        <v>0</v>
      </c>
      <c r="K29" s="362"/>
      <c r="L29" s="362"/>
      <c r="M29" s="363">
        <f t="shared" si="1"/>
      </c>
      <c r="N29" s="364">
        <f t="shared" si="2"/>
      </c>
      <c r="O29" s="365"/>
      <c r="P29" s="273">
        <f t="shared" si="3"/>
      </c>
      <c r="Q29" s="366">
        <f t="shared" si="4"/>
      </c>
      <c r="R29" s="180">
        <f t="shared" si="5"/>
      </c>
      <c r="S29" s="367">
        <f t="shared" si="6"/>
        <v>20</v>
      </c>
      <c r="T29" s="368" t="str">
        <f t="shared" si="7"/>
        <v>--</v>
      </c>
      <c r="U29" s="369" t="str">
        <f t="shared" si="8"/>
        <v>--</v>
      </c>
      <c r="V29" s="370" t="str">
        <f t="shared" si="9"/>
        <v>--</v>
      </c>
      <c r="W29" s="371" t="str">
        <f t="shared" si="10"/>
        <v>--</v>
      </c>
      <c r="X29" s="372" t="str">
        <f t="shared" si="11"/>
        <v>--</v>
      </c>
      <c r="Y29" s="373" t="str">
        <f t="shared" si="12"/>
        <v>--</v>
      </c>
      <c r="Z29" s="374" t="str">
        <f t="shared" si="13"/>
        <v>--</v>
      </c>
      <c r="AA29" s="375" t="str">
        <f t="shared" si="14"/>
        <v>--</v>
      </c>
      <c r="AB29" s="376">
        <f t="shared" si="16"/>
      </c>
      <c r="AC29" s="192">
        <f t="shared" si="15"/>
      </c>
      <c r="AD29" s="99"/>
    </row>
    <row r="30" spans="1:30" s="8" customFormat="1" ht="16.5" customHeight="1">
      <c r="A30" s="89"/>
      <c r="B30" s="287"/>
      <c r="C30" s="169"/>
      <c r="D30" s="169"/>
      <c r="E30" s="169"/>
      <c r="F30" s="357"/>
      <c r="G30" s="358"/>
      <c r="H30" s="359"/>
      <c r="I30" s="360"/>
      <c r="J30" s="361">
        <f t="shared" si="0"/>
        <v>0</v>
      </c>
      <c r="K30" s="362"/>
      <c r="L30" s="362"/>
      <c r="M30" s="363">
        <f t="shared" si="1"/>
      </c>
      <c r="N30" s="364">
        <f t="shared" si="2"/>
      </c>
      <c r="O30" s="365"/>
      <c r="P30" s="273">
        <f t="shared" si="3"/>
      </c>
      <c r="Q30" s="366">
        <f t="shared" si="4"/>
      </c>
      <c r="R30" s="180">
        <f t="shared" si="5"/>
      </c>
      <c r="S30" s="367">
        <f t="shared" si="6"/>
        <v>20</v>
      </c>
      <c r="T30" s="368" t="str">
        <f t="shared" si="7"/>
        <v>--</v>
      </c>
      <c r="U30" s="369" t="str">
        <f t="shared" si="8"/>
        <v>--</v>
      </c>
      <c r="V30" s="370" t="str">
        <f t="shared" si="9"/>
        <v>--</v>
      </c>
      <c r="W30" s="371" t="str">
        <f t="shared" si="10"/>
        <v>--</v>
      </c>
      <c r="X30" s="372" t="str">
        <f t="shared" si="11"/>
        <v>--</v>
      </c>
      <c r="Y30" s="373" t="str">
        <f t="shared" si="12"/>
        <v>--</v>
      </c>
      <c r="Z30" s="374" t="str">
        <f t="shared" si="13"/>
        <v>--</v>
      </c>
      <c r="AA30" s="375" t="str">
        <f t="shared" si="14"/>
        <v>--</v>
      </c>
      <c r="AB30" s="376">
        <f t="shared" si="16"/>
      </c>
      <c r="AC30" s="192">
        <f t="shared" si="15"/>
      </c>
      <c r="AD30" s="99"/>
    </row>
    <row r="31" spans="1:30" s="8" customFormat="1" ht="16.5" customHeight="1">
      <c r="A31" s="89"/>
      <c r="B31" s="287"/>
      <c r="C31" s="150"/>
      <c r="D31" s="150"/>
      <c r="E31" s="150"/>
      <c r="F31" s="357"/>
      <c r="G31" s="358"/>
      <c r="H31" s="359"/>
      <c r="I31" s="360"/>
      <c r="J31" s="361">
        <f t="shared" si="0"/>
        <v>0</v>
      </c>
      <c r="K31" s="362"/>
      <c r="L31" s="362"/>
      <c r="M31" s="363">
        <f t="shared" si="1"/>
      </c>
      <c r="N31" s="364">
        <f t="shared" si="2"/>
      </c>
      <c r="O31" s="365"/>
      <c r="P31" s="273">
        <f t="shared" si="3"/>
      </c>
      <c r="Q31" s="366">
        <f t="shared" si="4"/>
      </c>
      <c r="R31" s="180">
        <f t="shared" si="5"/>
      </c>
      <c r="S31" s="367">
        <f t="shared" si="6"/>
        <v>20</v>
      </c>
      <c r="T31" s="368" t="str">
        <f t="shared" si="7"/>
        <v>--</v>
      </c>
      <c r="U31" s="369" t="str">
        <f t="shared" si="8"/>
        <v>--</v>
      </c>
      <c r="V31" s="370" t="str">
        <f t="shared" si="9"/>
        <v>--</v>
      </c>
      <c r="W31" s="371" t="str">
        <f t="shared" si="10"/>
        <v>--</v>
      </c>
      <c r="X31" s="372" t="str">
        <f t="shared" si="11"/>
        <v>--</v>
      </c>
      <c r="Y31" s="373" t="str">
        <f t="shared" si="12"/>
        <v>--</v>
      </c>
      <c r="Z31" s="374" t="str">
        <f t="shared" si="13"/>
        <v>--</v>
      </c>
      <c r="AA31" s="375" t="str">
        <f t="shared" si="14"/>
        <v>--</v>
      </c>
      <c r="AB31" s="376">
        <f t="shared" si="16"/>
      </c>
      <c r="AC31" s="192">
        <f t="shared" si="15"/>
      </c>
      <c r="AD31" s="99"/>
    </row>
    <row r="32" spans="1:30" s="8" customFormat="1" ht="16.5" customHeight="1">
      <c r="A32" s="89"/>
      <c r="B32" s="287"/>
      <c r="C32" s="169"/>
      <c r="D32" s="169"/>
      <c r="E32" s="169"/>
      <c r="F32" s="357"/>
      <c r="G32" s="377"/>
      <c r="H32" s="359"/>
      <c r="I32" s="360"/>
      <c r="J32" s="361">
        <f t="shared" si="0"/>
        <v>0</v>
      </c>
      <c r="K32" s="362"/>
      <c r="L32" s="362"/>
      <c r="M32" s="363">
        <f t="shared" si="1"/>
      </c>
      <c r="N32" s="364">
        <f t="shared" si="2"/>
      </c>
      <c r="O32" s="365"/>
      <c r="P32" s="273">
        <f t="shared" si="3"/>
      </c>
      <c r="Q32" s="366">
        <f t="shared" si="4"/>
      </c>
      <c r="R32" s="180">
        <f t="shared" si="5"/>
      </c>
      <c r="S32" s="367">
        <f t="shared" si="6"/>
        <v>20</v>
      </c>
      <c r="T32" s="368" t="str">
        <f t="shared" si="7"/>
        <v>--</v>
      </c>
      <c r="U32" s="369" t="str">
        <f t="shared" si="8"/>
        <v>--</v>
      </c>
      <c r="V32" s="370" t="str">
        <f t="shared" si="9"/>
        <v>--</v>
      </c>
      <c r="W32" s="371" t="str">
        <f t="shared" si="10"/>
        <v>--</v>
      </c>
      <c r="X32" s="372" t="str">
        <f t="shared" si="11"/>
        <v>--</v>
      </c>
      <c r="Y32" s="373" t="str">
        <f t="shared" si="12"/>
        <v>--</v>
      </c>
      <c r="Z32" s="374" t="str">
        <f t="shared" si="13"/>
        <v>--</v>
      </c>
      <c r="AA32" s="375" t="str">
        <f t="shared" si="14"/>
        <v>--</v>
      </c>
      <c r="AB32" s="376">
        <f t="shared" si="16"/>
      </c>
      <c r="AC32" s="192">
        <f t="shared" si="15"/>
      </c>
      <c r="AD32" s="99"/>
    </row>
    <row r="33" spans="1:30" s="8" customFormat="1" ht="16.5" customHeight="1">
      <c r="A33" s="89"/>
      <c r="B33" s="287"/>
      <c r="C33" s="150"/>
      <c r="D33" s="150"/>
      <c r="E33" s="150"/>
      <c r="F33" s="357"/>
      <c r="G33" s="377"/>
      <c r="H33" s="359"/>
      <c r="I33" s="360"/>
      <c r="J33" s="361">
        <f t="shared" si="0"/>
        <v>0</v>
      </c>
      <c r="K33" s="362"/>
      <c r="L33" s="362"/>
      <c r="M33" s="363">
        <f t="shared" si="1"/>
      </c>
      <c r="N33" s="364">
        <f t="shared" si="2"/>
      </c>
      <c r="O33" s="365"/>
      <c r="P33" s="273">
        <f t="shared" si="3"/>
      </c>
      <c r="Q33" s="366">
        <f t="shared" si="4"/>
      </c>
      <c r="R33" s="180">
        <f t="shared" si="5"/>
      </c>
      <c r="S33" s="367">
        <f t="shared" si="6"/>
        <v>20</v>
      </c>
      <c r="T33" s="368" t="str">
        <f t="shared" si="7"/>
        <v>--</v>
      </c>
      <c r="U33" s="369" t="str">
        <f t="shared" si="8"/>
        <v>--</v>
      </c>
      <c r="V33" s="370" t="str">
        <f t="shared" si="9"/>
        <v>--</v>
      </c>
      <c r="W33" s="371" t="str">
        <f t="shared" si="10"/>
        <v>--</v>
      </c>
      <c r="X33" s="372" t="str">
        <f t="shared" si="11"/>
        <v>--</v>
      </c>
      <c r="Y33" s="373" t="str">
        <f t="shared" si="12"/>
        <v>--</v>
      </c>
      <c r="Z33" s="374" t="str">
        <f t="shared" si="13"/>
        <v>--</v>
      </c>
      <c r="AA33" s="375" t="str">
        <f t="shared" si="14"/>
        <v>--</v>
      </c>
      <c r="AB33" s="376">
        <f t="shared" si="16"/>
      </c>
      <c r="AC33" s="192">
        <f t="shared" si="15"/>
      </c>
      <c r="AD33" s="99"/>
    </row>
    <row r="34" spans="1:30" s="8" customFormat="1" ht="16.5" customHeight="1">
      <c r="A34" s="89"/>
      <c r="B34" s="287"/>
      <c r="C34" s="169"/>
      <c r="D34" s="169"/>
      <c r="E34" s="169"/>
      <c r="F34" s="357"/>
      <c r="G34" s="377"/>
      <c r="H34" s="359"/>
      <c r="I34" s="360"/>
      <c r="J34" s="361">
        <f t="shared" si="0"/>
        <v>0</v>
      </c>
      <c r="K34" s="362"/>
      <c r="L34" s="362"/>
      <c r="M34" s="363">
        <f t="shared" si="1"/>
      </c>
      <c r="N34" s="364">
        <f t="shared" si="2"/>
      </c>
      <c r="O34" s="365"/>
      <c r="P34" s="273">
        <f t="shared" si="3"/>
      </c>
      <c r="Q34" s="366">
        <f t="shared" si="4"/>
      </c>
      <c r="R34" s="180">
        <f t="shared" si="5"/>
      </c>
      <c r="S34" s="367">
        <f t="shared" si="6"/>
        <v>20</v>
      </c>
      <c r="T34" s="368" t="str">
        <f t="shared" si="7"/>
        <v>--</v>
      </c>
      <c r="U34" s="369" t="str">
        <f t="shared" si="8"/>
        <v>--</v>
      </c>
      <c r="V34" s="370" t="str">
        <f t="shared" si="9"/>
        <v>--</v>
      </c>
      <c r="W34" s="371" t="str">
        <f t="shared" si="10"/>
        <v>--</v>
      </c>
      <c r="X34" s="372" t="str">
        <f t="shared" si="11"/>
        <v>--</v>
      </c>
      <c r="Y34" s="373" t="str">
        <f t="shared" si="12"/>
        <v>--</v>
      </c>
      <c r="Z34" s="374" t="str">
        <f t="shared" si="13"/>
        <v>--</v>
      </c>
      <c r="AA34" s="375" t="str">
        <f t="shared" si="14"/>
        <v>--</v>
      </c>
      <c r="AB34" s="376">
        <f t="shared" si="16"/>
      </c>
      <c r="AC34" s="192">
        <f t="shared" si="15"/>
      </c>
      <c r="AD34" s="99"/>
    </row>
    <row r="35" spans="1:30" s="8" customFormat="1" ht="16.5" customHeight="1">
      <c r="A35" s="89"/>
      <c r="B35" s="287"/>
      <c r="C35" s="150"/>
      <c r="D35" s="150"/>
      <c r="E35" s="150"/>
      <c r="F35" s="357"/>
      <c r="G35" s="377"/>
      <c r="H35" s="359"/>
      <c r="I35" s="360"/>
      <c r="J35" s="361">
        <f t="shared" si="0"/>
        <v>0</v>
      </c>
      <c r="K35" s="362"/>
      <c r="L35" s="362"/>
      <c r="M35" s="363">
        <f t="shared" si="1"/>
      </c>
      <c r="N35" s="364">
        <f t="shared" si="2"/>
      </c>
      <c r="O35" s="365"/>
      <c r="P35" s="273">
        <f t="shared" si="3"/>
      </c>
      <c r="Q35" s="366">
        <f t="shared" si="4"/>
      </c>
      <c r="R35" s="180">
        <f t="shared" si="5"/>
      </c>
      <c r="S35" s="367">
        <f t="shared" si="6"/>
        <v>20</v>
      </c>
      <c r="T35" s="368" t="str">
        <f t="shared" si="7"/>
        <v>--</v>
      </c>
      <c r="U35" s="369" t="str">
        <f t="shared" si="8"/>
        <v>--</v>
      </c>
      <c r="V35" s="370" t="str">
        <f t="shared" si="9"/>
        <v>--</v>
      </c>
      <c r="W35" s="371" t="str">
        <f t="shared" si="10"/>
        <v>--</v>
      </c>
      <c r="X35" s="372" t="str">
        <f t="shared" si="11"/>
        <v>--</v>
      </c>
      <c r="Y35" s="373" t="str">
        <f t="shared" si="12"/>
        <v>--</v>
      </c>
      <c r="Z35" s="374" t="str">
        <f t="shared" si="13"/>
        <v>--</v>
      </c>
      <c r="AA35" s="375" t="str">
        <f t="shared" si="14"/>
        <v>--</v>
      </c>
      <c r="AB35" s="376">
        <f t="shared" si="16"/>
      </c>
      <c r="AC35" s="192">
        <f t="shared" si="15"/>
      </c>
      <c r="AD35" s="99"/>
    </row>
    <row r="36" spans="1:30" s="8" customFormat="1" ht="16.5" customHeight="1">
      <c r="A36" s="89"/>
      <c r="B36" s="287"/>
      <c r="C36" s="169"/>
      <c r="D36" s="169"/>
      <c r="E36" s="169"/>
      <c r="F36" s="357"/>
      <c r="G36" s="377"/>
      <c r="H36" s="359"/>
      <c r="I36" s="360"/>
      <c r="J36" s="361">
        <f t="shared" si="0"/>
        <v>0</v>
      </c>
      <c r="K36" s="362"/>
      <c r="L36" s="362"/>
      <c r="M36" s="363">
        <f t="shared" si="1"/>
      </c>
      <c r="N36" s="364">
        <f t="shared" si="2"/>
      </c>
      <c r="O36" s="365"/>
      <c r="P36" s="273">
        <f t="shared" si="3"/>
      </c>
      <c r="Q36" s="366">
        <f t="shared" si="4"/>
      </c>
      <c r="R36" s="180">
        <f t="shared" si="5"/>
      </c>
      <c r="S36" s="367">
        <f t="shared" si="6"/>
        <v>20</v>
      </c>
      <c r="T36" s="368" t="str">
        <f t="shared" si="7"/>
        <v>--</v>
      </c>
      <c r="U36" s="369" t="str">
        <f t="shared" si="8"/>
        <v>--</v>
      </c>
      <c r="V36" s="370" t="str">
        <f t="shared" si="9"/>
        <v>--</v>
      </c>
      <c r="W36" s="371" t="str">
        <f t="shared" si="10"/>
        <v>--</v>
      </c>
      <c r="X36" s="372" t="str">
        <f t="shared" si="11"/>
        <v>--</v>
      </c>
      <c r="Y36" s="373" t="str">
        <f t="shared" si="12"/>
        <v>--</v>
      </c>
      <c r="Z36" s="374" t="str">
        <f t="shared" si="13"/>
        <v>--</v>
      </c>
      <c r="AA36" s="375" t="str">
        <f t="shared" si="14"/>
        <v>--</v>
      </c>
      <c r="AB36" s="376">
        <f t="shared" si="16"/>
      </c>
      <c r="AC36" s="192">
        <f t="shared" si="15"/>
      </c>
      <c r="AD36" s="99"/>
    </row>
    <row r="37" spans="1:30" s="8" customFormat="1" ht="16.5" customHeight="1">
      <c r="A37" s="89"/>
      <c r="B37" s="287"/>
      <c r="C37" s="150"/>
      <c r="D37" s="150"/>
      <c r="E37" s="150"/>
      <c r="F37" s="357"/>
      <c r="G37" s="377"/>
      <c r="H37" s="359"/>
      <c r="I37" s="360"/>
      <c r="J37" s="361">
        <f t="shared" si="0"/>
        <v>0</v>
      </c>
      <c r="K37" s="362"/>
      <c r="L37" s="362"/>
      <c r="M37" s="363">
        <f t="shared" si="1"/>
      </c>
      <c r="N37" s="364">
        <f t="shared" si="2"/>
      </c>
      <c r="O37" s="365"/>
      <c r="P37" s="273">
        <f t="shared" si="3"/>
      </c>
      <c r="Q37" s="366">
        <f t="shared" si="4"/>
      </c>
      <c r="R37" s="180">
        <f t="shared" si="5"/>
      </c>
      <c r="S37" s="367">
        <f t="shared" si="6"/>
        <v>20</v>
      </c>
      <c r="T37" s="368" t="str">
        <f t="shared" si="7"/>
        <v>--</v>
      </c>
      <c r="U37" s="369" t="str">
        <f t="shared" si="8"/>
        <v>--</v>
      </c>
      <c r="V37" s="370" t="str">
        <f t="shared" si="9"/>
        <v>--</v>
      </c>
      <c r="W37" s="371" t="str">
        <f t="shared" si="10"/>
        <v>--</v>
      </c>
      <c r="X37" s="372" t="str">
        <f t="shared" si="11"/>
        <v>--</v>
      </c>
      <c r="Y37" s="373" t="str">
        <f t="shared" si="12"/>
        <v>--</v>
      </c>
      <c r="Z37" s="374" t="str">
        <f t="shared" si="13"/>
        <v>--</v>
      </c>
      <c r="AA37" s="375" t="str">
        <f t="shared" si="14"/>
        <v>--</v>
      </c>
      <c r="AB37" s="376">
        <f t="shared" si="16"/>
      </c>
      <c r="AC37" s="192">
        <f t="shared" si="15"/>
      </c>
      <c r="AD37" s="99"/>
    </row>
    <row r="38" spans="1:30" s="8" customFormat="1" ht="16.5" customHeight="1">
      <c r="A38" s="89"/>
      <c r="B38" s="287"/>
      <c r="C38" s="169"/>
      <c r="D38" s="169"/>
      <c r="E38" s="169"/>
      <c r="F38" s="357"/>
      <c r="G38" s="377"/>
      <c r="H38" s="359"/>
      <c r="I38" s="360"/>
      <c r="J38" s="361">
        <f t="shared" si="0"/>
        <v>0</v>
      </c>
      <c r="K38" s="362"/>
      <c r="L38" s="362"/>
      <c r="M38" s="363">
        <f t="shared" si="1"/>
      </c>
      <c r="N38" s="364">
        <f t="shared" si="2"/>
      </c>
      <c r="O38" s="365"/>
      <c r="P38" s="273">
        <f t="shared" si="3"/>
      </c>
      <c r="Q38" s="366">
        <f t="shared" si="4"/>
      </c>
      <c r="R38" s="180">
        <f t="shared" si="5"/>
      </c>
      <c r="S38" s="367">
        <f t="shared" si="6"/>
        <v>20</v>
      </c>
      <c r="T38" s="368" t="str">
        <f t="shared" si="7"/>
        <v>--</v>
      </c>
      <c r="U38" s="369" t="str">
        <f t="shared" si="8"/>
        <v>--</v>
      </c>
      <c r="V38" s="370" t="str">
        <f t="shared" si="9"/>
        <v>--</v>
      </c>
      <c r="W38" s="371" t="str">
        <f t="shared" si="10"/>
        <v>--</v>
      </c>
      <c r="X38" s="372" t="str">
        <f t="shared" si="11"/>
        <v>--</v>
      </c>
      <c r="Y38" s="373" t="str">
        <f t="shared" si="12"/>
        <v>--</v>
      </c>
      <c r="Z38" s="374" t="str">
        <f t="shared" si="13"/>
        <v>--</v>
      </c>
      <c r="AA38" s="375" t="str">
        <f t="shared" si="14"/>
        <v>--</v>
      </c>
      <c r="AB38" s="376">
        <f t="shared" si="16"/>
      </c>
      <c r="AC38" s="192">
        <f t="shared" si="15"/>
      </c>
      <c r="AD38" s="99"/>
    </row>
    <row r="39" spans="1:30" s="8" customFormat="1" ht="16.5" customHeight="1">
      <c r="A39" s="89"/>
      <c r="B39" s="287"/>
      <c r="C39" s="150"/>
      <c r="D39" s="150"/>
      <c r="E39" s="150"/>
      <c r="F39" s="357"/>
      <c r="G39" s="377"/>
      <c r="H39" s="359"/>
      <c r="I39" s="360"/>
      <c r="J39" s="361">
        <f t="shared" si="0"/>
        <v>0</v>
      </c>
      <c r="K39" s="362"/>
      <c r="L39" s="362"/>
      <c r="M39" s="363">
        <f t="shared" si="1"/>
      </c>
      <c r="N39" s="364">
        <f t="shared" si="2"/>
      </c>
      <c r="O39" s="365"/>
      <c r="P39" s="273">
        <f t="shared" si="3"/>
      </c>
      <c r="Q39" s="366">
        <f t="shared" si="4"/>
      </c>
      <c r="R39" s="180">
        <f t="shared" si="5"/>
      </c>
      <c r="S39" s="367">
        <f t="shared" si="6"/>
        <v>20</v>
      </c>
      <c r="T39" s="368" t="str">
        <f t="shared" si="7"/>
        <v>--</v>
      </c>
      <c r="U39" s="369" t="str">
        <f t="shared" si="8"/>
        <v>--</v>
      </c>
      <c r="V39" s="370" t="str">
        <f t="shared" si="9"/>
        <v>--</v>
      </c>
      <c r="W39" s="371" t="str">
        <f t="shared" si="10"/>
        <v>--</v>
      </c>
      <c r="X39" s="372" t="str">
        <f t="shared" si="11"/>
        <v>--</v>
      </c>
      <c r="Y39" s="373" t="str">
        <f t="shared" si="12"/>
        <v>--</v>
      </c>
      <c r="Z39" s="374" t="str">
        <f t="shared" si="13"/>
        <v>--</v>
      </c>
      <c r="AA39" s="375" t="str">
        <f t="shared" si="14"/>
        <v>--</v>
      </c>
      <c r="AB39" s="376">
        <f t="shared" si="16"/>
      </c>
      <c r="AC39" s="192">
        <f t="shared" si="15"/>
      </c>
      <c r="AD39" s="99"/>
    </row>
    <row r="40" spans="1:30" s="8" customFormat="1" ht="16.5" customHeight="1">
      <c r="A40" s="89"/>
      <c r="B40" s="287"/>
      <c r="C40" s="169"/>
      <c r="D40" s="169"/>
      <c r="E40" s="169"/>
      <c r="F40" s="357"/>
      <c r="G40" s="377"/>
      <c r="H40" s="359"/>
      <c r="I40" s="360"/>
      <c r="J40" s="361">
        <f t="shared" si="0"/>
        <v>0</v>
      </c>
      <c r="K40" s="362"/>
      <c r="L40" s="362"/>
      <c r="M40" s="363">
        <f t="shared" si="1"/>
      </c>
      <c r="N40" s="364">
        <f t="shared" si="2"/>
      </c>
      <c r="O40" s="365"/>
      <c r="P40" s="273">
        <f t="shared" si="3"/>
      </c>
      <c r="Q40" s="366">
        <f t="shared" si="4"/>
      </c>
      <c r="R40" s="180">
        <f t="shared" si="5"/>
      </c>
      <c r="S40" s="367">
        <f t="shared" si="6"/>
        <v>20</v>
      </c>
      <c r="T40" s="368" t="str">
        <f t="shared" si="7"/>
        <v>--</v>
      </c>
      <c r="U40" s="369" t="str">
        <f t="shared" si="8"/>
        <v>--</v>
      </c>
      <c r="V40" s="370" t="str">
        <f t="shared" si="9"/>
        <v>--</v>
      </c>
      <c r="W40" s="371" t="str">
        <f t="shared" si="10"/>
        <v>--</v>
      </c>
      <c r="X40" s="372" t="str">
        <f t="shared" si="11"/>
        <v>--</v>
      </c>
      <c r="Y40" s="373" t="str">
        <f t="shared" si="12"/>
        <v>--</v>
      </c>
      <c r="Z40" s="374" t="str">
        <f t="shared" si="13"/>
        <v>--</v>
      </c>
      <c r="AA40" s="375" t="str">
        <f t="shared" si="14"/>
        <v>--</v>
      </c>
      <c r="AB40" s="376">
        <f t="shared" si="16"/>
      </c>
      <c r="AC40" s="192">
        <f t="shared" si="15"/>
      </c>
      <c r="AD40" s="99"/>
    </row>
    <row r="41" spans="1:30" s="8" customFormat="1" ht="16.5" customHeight="1">
      <c r="A41" s="89"/>
      <c r="B41" s="287"/>
      <c r="C41" s="150"/>
      <c r="D41" s="150"/>
      <c r="E41" s="150"/>
      <c r="F41" s="357"/>
      <c r="G41" s="377"/>
      <c r="H41" s="359"/>
      <c r="I41" s="360"/>
      <c r="J41" s="361">
        <f t="shared" si="0"/>
        <v>0</v>
      </c>
      <c r="K41" s="362"/>
      <c r="L41" s="362"/>
      <c r="M41" s="363">
        <f t="shared" si="1"/>
      </c>
      <c r="N41" s="364">
        <f t="shared" si="2"/>
      </c>
      <c r="O41" s="365"/>
      <c r="P41" s="273">
        <f t="shared" si="3"/>
      </c>
      <c r="Q41" s="366">
        <f t="shared" si="4"/>
      </c>
      <c r="R41" s="180">
        <f t="shared" si="5"/>
      </c>
      <c r="S41" s="367">
        <f t="shared" si="6"/>
        <v>20</v>
      </c>
      <c r="T41" s="368" t="str">
        <f t="shared" si="7"/>
        <v>--</v>
      </c>
      <c r="U41" s="369" t="str">
        <f t="shared" si="8"/>
        <v>--</v>
      </c>
      <c r="V41" s="370" t="str">
        <f t="shared" si="9"/>
        <v>--</v>
      </c>
      <c r="W41" s="371" t="str">
        <f t="shared" si="10"/>
        <v>--</v>
      </c>
      <c r="X41" s="372" t="str">
        <f t="shared" si="11"/>
        <v>--</v>
      </c>
      <c r="Y41" s="373" t="str">
        <f t="shared" si="12"/>
        <v>--</v>
      </c>
      <c r="Z41" s="374" t="str">
        <f t="shared" si="13"/>
        <v>--</v>
      </c>
      <c r="AA41" s="375" t="str">
        <f t="shared" si="14"/>
        <v>--</v>
      </c>
      <c r="AB41" s="376">
        <f t="shared" si="16"/>
      </c>
      <c r="AC41" s="192">
        <f t="shared" si="15"/>
      </c>
      <c r="AD41" s="99"/>
    </row>
    <row r="42" spans="1:30" s="8" customFormat="1" ht="16.5" customHeight="1" thickBot="1">
      <c r="A42" s="89"/>
      <c r="B42" s="287"/>
      <c r="C42" s="169"/>
      <c r="D42" s="169"/>
      <c r="E42" s="169"/>
      <c r="F42" s="378"/>
      <c r="G42" s="379"/>
      <c r="H42" s="378"/>
      <c r="I42" s="380"/>
      <c r="J42" s="381"/>
      <c r="K42" s="382"/>
      <c r="L42" s="383"/>
      <c r="M42" s="384"/>
      <c r="N42" s="385"/>
      <c r="O42" s="386"/>
      <c r="P42" s="216"/>
      <c r="Q42" s="387"/>
      <c r="R42" s="386"/>
      <c r="S42" s="388"/>
      <c r="T42" s="389"/>
      <c r="U42" s="390"/>
      <c r="V42" s="391"/>
      <c r="W42" s="392"/>
      <c r="X42" s="393"/>
      <c r="Y42" s="394"/>
      <c r="Z42" s="395"/>
      <c r="AA42" s="396"/>
      <c r="AB42" s="397"/>
      <c r="AC42" s="398"/>
      <c r="AD42" s="99"/>
    </row>
    <row r="43" spans="1:30" s="8" customFormat="1" ht="16.5" customHeight="1" thickBot="1" thickTop="1">
      <c r="A43" s="89"/>
      <c r="B43" s="287"/>
      <c r="C43" s="229" t="s">
        <v>317</v>
      </c>
      <c r="D43" s="2435" t="s">
        <v>424</v>
      </c>
      <c r="E43" s="229"/>
      <c r="F43" s="230"/>
      <c r="G43" s="83"/>
      <c r="H43" s="83"/>
      <c r="I43" s="83"/>
      <c r="J43" s="83"/>
      <c r="K43" s="83"/>
      <c r="L43" s="314"/>
      <c r="M43" s="83"/>
      <c r="N43" s="83"/>
      <c r="O43" s="83"/>
      <c r="P43" s="83"/>
      <c r="Q43" s="83"/>
      <c r="R43" s="83"/>
      <c r="S43" s="83"/>
      <c r="T43" s="399">
        <f aca="true" t="shared" si="17" ref="T43:AA43">SUM(T20:T42)</f>
        <v>4891.734</v>
      </c>
      <c r="U43" s="400">
        <f t="shared" si="17"/>
        <v>0</v>
      </c>
      <c r="V43" s="401">
        <f t="shared" si="17"/>
        <v>28001.999999999996</v>
      </c>
      <c r="W43" s="402">
        <f t="shared" si="17"/>
        <v>187914.95999999996</v>
      </c>
      <c r="X43" s="403">
        <f t="shared" si="17"/>
        <v>0</v>
      </c>
      <c r="Y43" s="404">
        <f t="shared" si="17"/>
        <v>0</v>
      </c>
      <c r="Z43" s="405">
        <f t="shared" si="17"/>
        <v>0</v>
      </c>
      <c r="AA43" s="406">
        <f t="shared" si="17"/>
        <v>0</v>
      </c>
      <c r="AB43" s="89"/>
      <c r="AC43" s="407">
        <f>ROUND(SUM(AC20:AC42),2)</f>
        <v>218307.9</v>
      </c>
      <c r="AD43" s="99"/>
    </row>
    <row r="44" spans="1:30" s="8" customFormat="1" ht="16.5" customHeight="1" thickBot="1" thickTop="1">
      <c r="A44" s="89"/>
      <c r="B44" s="408"/>
      <c r="C44" s="409"/>
      <c r="D44" s="409"/>
      <c r="E44" s="409"/>
      <c r="F44" s="409"/>
      <c r="G44" s="409"/>
      <c r="H44" s="409"/>
      <c r="I44" s="409"/>
      <c r="J44" s="409"/>
      <c r="K44" s="409"/>
      <c r="L44" s="409"/>
      <c r="M44" s="409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10"/>
    </row>
    <row r="45" spans="1:31" ht="16.5" customHeight="1" thickTop="1">
      <c r="A45" s="411"/>
      <c r="F45" s="412"/>
      <c r="G45" s="412"/>
      <c r="H45" s="412"/>
      <c r="I45" s="412"/>
      <c r="J45" s="412"/>
      <c r="K45" s="412"/>
      <c r="L45" s="412"/>
      <c r="M45" s="412"/>
      <c r="N45" s="412"/>
      <c r="O45" s="412"/>
      <c r="P45" s="412"/>
      <c r="Q45" s="412"/>
      <c r="R45" s="412"/>
      <c r="S45" s="412"/>
      <c r="T45" s="412"/>
      <c r="U45" s="412"/>
      <c r="V45" s="412"/>
      <c r="W45" s="412"/>
      <c r="X45" s="412"/>
      <c r="Y45" s="412"/>
      <c r="Z45" s="412"/>
      <c r="AA45" s="412"/>
      <c r="AB45" s="412"/>
      <c r="AC45" s="412"/>
      <c r="AD45" s="412"/>
      <c r="AE45" s="412"/>
    </row>
    <row r="46" spans="1:31" ht="16.5" customHeight="1">
      <c r="A46" s="411"/>
      <c r="F46" s="412"/>
      <c r="G46" s="412"/>
      <c r="H46" s="412"/>
      <c r="I46" s="412"/>
      <c r="J46" s="412"/>
      <c r="K46" s="412"/>
      <c r="L46" s="412"/>
      <c r="M46" s="412"/>
      <c r="N46" s="412"/>
      <c r="O46" s="412"/>
      <c r="P46" s="412"/>
      <c r="Q46" s="412"/>
      <c r="R46" s="412"/>
      <c r="S46" s="412"/>
      <c r="T46" s="412"/>
      <c r="U46" s="412"/>
      <c r="V46" s="412"/>
      <c r="W46" s="412"/>
      <c r="X46" s="412"/>
      <c r="Y46" s="412"/>
      <c r="Z46" s="412"/>
      <c r="AA46" s="412"/>
      <c r="AB46" s="412"/>
      <c r="AC46" s="412"/>
      <c r="AD46" s="412"/>
      <c r="AE46" s="412"/>
    </row>
    <row r="47" spans="1:31" ht="16.5" customHeight="1">
      <c r="A47" s="411"/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</row>
    <row r="48" spans="1:31" ht="16.5" customHeight="1">
      <c r="A48" s="411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</row>
    <row r="49" spans="6:31" ht="16.5" customHeight="1"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412"/>
      <c r="T49" s="412"/>
      <c r="U49" s="412"/>
      <c r="V49" s="412"/>
      <c r="W49" s="412"/>
      <c r="X49" s="412"/>
      <c r="Y49" s="412"/>
      <c r="Z49" s="412"/>
      <c r="AA49" s="412"/>
      <c r="AB49" s="412"/>
      <c r="AC49" s="412"/>
      <c r="AD49" s="412"/>
      <c r="AE49" s="412"/>
    </row>
    <row r="50" spans="6:31" ht="16.5" customHeight="1"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2"/>
      <c r="X50" s="412"/>
      <c r="Y50" s="412"/>
      <c r="Z50" s="412"/>
      <c r="AA50" s="412"/>
      <c r="AB50" s="412"/>
      <c r="AC50" s="412"/>
      <c r="AD50" s="412"/>
      <c r="AE50" s="412"/>
    </row>
    <row r="51" spans="6:31" ht="16.5" customHeight="1">
      <c r="F51" s="412"/>
      <c r="G51" s="412"/>
      <c r="H51" s="412"/>
      <c r="I51" s="412"/>
      <c r="J51" s="412"/>
      <c r="K51" s="412"/>
      <c r="L51" s="412"/>
      <c r="M51" s="412"/>
      <c r="N51" s="412"/>
      <c r="O51" s="412"/>
      <c r="P51" s="412"/>
      <c r="Q51" s="412"/>
      <c r="R51" s="412"/>
      <c r="S51" s="412"/>
      <c r="T51" s="412"/>
      <c r="U51" s="412"/>
      <c r="V51" s="412"/>
      <c r="W51" s="412"/>
      <c r="X51" s="412"/>
      <c r="Y51" s="412"/>
      <c r="Z51" s="412"/>
      <c r="AA51" s="412"/>
      <c r="AB51" s="412"/>
      <c r="AC51" s="412"/>
      <c r="AD51" s="412"/>
      <c r="AE51" s="412"/>
    </row>
    <row r="52" spans="6:31" ht="16.5" customHeight="1">
      <c r="F52" s="412"/>
      <c r="G52" s="412"/>
      <c r="H52" s="412"/>
      <c r="I52" s="412"/>
      <c r="J52" s="412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</row>
    <row r="53" spans="6:31" ht="16.5" customHeight="1"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</row>
    <row r="54" spans="6:31" ht="16.5" customHeight="1"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2"/>
      <c r="X54" s="412"/>
      <c r="Y54" s="412"/>
      <c r="Z54" s="412"/>
      <c r="AA54" s="412"/>
      <c r="AB54" s="412"/>
      <c r="AC54" s="412"/>
      <c r="AD54" s="412"/>
      <c r="AE54" s="412"/>
    </row>
    <row r="55" spans="6:31" ht="16.5" customHeight="1"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2"/>
      <c r="Q55" s="412"/>
      <c r="R55" s="412"/>
      <c r="S55" s="412"/>
      <c r="T55" s="412"/>
      <c r="U55" s="412"/>
      <c r="V55" s="412"/>
      <c r="W55" s="412"/>
      <c r="X55" s="412"/>
      <c r="Y55" s="412"/>
      <c r="Z55" s="412"/>
      <c r="AA55" s="412"/>
      <c r="AB55" s="412"/>
      <c r="AC55" s="412"/>
      <c r="AD55" s="412"/>
      <c r="AE55" s="412"/>
    </row>
    <row r="56" spans="6:31" ht="16.5" customHeight="1"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2"/>
      <c r="X56" s="412"/>
      <c r="Y56" s="412"/>
      <c r="Z56" s="412"/>
      <c r="AA56" s="412"/>
      <c r="AB56" s="412"/>
      <c r="AC56" s="412"/>
      <c r="AD56" s="412"/>
      <c r="AE56" s="412"/>
    </row>
    <row r="57" spans="6:31" ht="16.5" customHeight="1">
      <c r="F57" s="412"/>
      <c r="G57" s="412"/>
      <c r="H57" s="412"/>
      <c r="I57" s="412"/>
      <c r="J57" s="412"/>
      <c r="K57" s="412"/>
      <c r="L57" s="412"/>
      <c r="M57" s="412"/>
      <c r="N57" s="412"/>
      <c r="O57" s="412"/>
      <c r="P57" s="412"/>
      <c r="Q57" s="412"/>
      <c r="R57" s="412"/>
      <c r="S57" s="412"/>
      <c r="T57" s="412"/>
      <c r="U57" s="412"/>
      <c r="V57" s="412"/>
      <c r="W57" s="412"/>
      <c r="X57" s="412"/>
      <c r="Y57" s="412"/>
      <c r="Z57" s="412"/>
      <c r="AA57" s="412"/>
      <c r="AB57" s="412"/>
      <c r="AC57" s="412"/>
      <c r="AD57" s="412"/>
      <c r="AE57" s="412"/>
    </row>
    <row r="58" spans="6:31" ht="16.5" customHeight="1">
      <c r="F58" s="412"/>
      <c r="G58" s="412"/>
      <c r="H58" s="412"/>
      <c r="I58" s="412"/>
      <c r="J58" s="412"/>
      <c r="K58" s="412"/>
      <c r="L58" s="412"/>
      <c r="M58" s="412"/>
      <c r="N58" s="412"/>
      <c r="O58" s="412"/>
      <c r="P58" s="412"/>
      <c r="Q58" s="412"/>
      <c r="R58" s="412"/>
      <c r="S58" s="412"/>
      <c r="T58" s="412"/>
      <c r="U58" s="412"/>
      <c r="V58" s="412"/>
      <c r="W58" s="412"/>
      <c r="X58" s="412"/>
      <c r="Y58" s="412"/>
      <c r="Z58" s="412"/>
      <c r="AA58" s="412"/>
      <c r="AB58" s="412"/>
      <c r="AC58" s="412"/>
      <c r="AD58" s="412"/>
      <c r="AE58" s="412"/>
    </row>
    <row r="59" spans="6:31" ht="16.5" customHeight="1">
      <c r="F59" s="412"/>
      <c r="G59" s="412"/>
      <c r="H59" s="412"/>
      <c r="I59" s="412"/>
      <c r="J59" s="412"/>
      <c r="K59" s="412"/>
      <c r="L59" s="412"/>
      <c r="M59" s="412"/>
      <c r="N59" s="412"/>
      <c r="O59" s="412"/>
      <c r="P59" s="412"/>
      <c r="Q59" s="412"/>
      <c r="R59" s="412"/>
      <c r="S59" s="412"/>
      <c r="T59" s="412"/>
      <c r="U59" s="412"/>
      <c r="V59" s="412"/>
      <c r="W59" s="412"/>
      <c r="X59" s="412"/>
      <c r="Y59" s="412"/>
      <c r="Z59" s="412"/>
      <c r="AA59" s="412"/>
      <c r="AB59" s="412"/>
      <c r="AC59" s="412"/>
      <c r="AD59" s="412"/>
      <c r="AE59" s="412"/>
    </row>
    <row r="60" spans="6:31" ht="16.5" customHeight="1"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412"/>
      <c r="U60" s="412"/>
      <c r="V60" s="412"/>
      <c r="W60" s="412"/>
      <c r="X60" s="412"/>
      <c r="Y60" s="412"/>
      <c r="Z60" s="412"/>
      <c r="AA60" s="412"/>
      <c r="AB60" s="412"/>
      <c r="AC60" s="412"/>
      <c r="AD60" s="412"/>
      <c r="AE60" s="412"/>
    </row>
    <row r="61" spans="6:31" ht="16.5" customHeight="1">
      <c r="F61" s="412"/>
      <c r="G61" s="412"/>
      <c r="H61" s="412"/>
      <c r="I61" s="412"/>
      <c r="J61" s="412"/>
      <c r="K61" s="412"/>
      <c r="L61" s="412"/>
      <c r="M61" s="412"/>
      <c r="N61" s="412"/>
      <c r="O61" s="412"/>
      <c r="P61" s="412"/>
      <c r="Q61" s="412"/>
      <c r="R61" s="412"/>
      <c r="S61" s="412"/>
      <c r="T61" s="412"/>
      <c r="U61" s="412"/>
      <c r="V61" s="412"/>
      <c r="W61" s="412"/>
      <c r="X61" s="412"/>
      <c r="Y61" s="412"/>
      <c r="Z61" s="412"/>
      <c r="AA61" s="412"/>
      <c r="AB61" s="412"/>
      <c r="AC61" s="412"/>
      <c r="AD61" s="412"/>
      <c r="AE61" s="412"/>
    </row>
    <row r="62" spans="6:31" ht="16.5" customHeight="1">
      <c r="F62" s="412"/>
      <c r="G62" s="412"/>
      <c r="H62" s="412"/>
      <c r="I62" s="412"/>
      <c r="J62" s="412"/>
      <c r="K62" s="412"/>
      <c r="L62" s="412"/>
      <c r="M62" s="412"/>
      <c r="N62" s="412"/>
      <c r="O62" s="412"/>
      <c r="P62" s="412"/>
      <c r="Q62" s="412"/>
      <c r="R62" s="412"/>
      <c r="S62" s="412"/>
      <c r="T62" s="412"/>
      <c r="U62" s="412"/>
      <c r="V62" s="412"/>
      <c r="W62" s="412"/>
      <c r="X62" s="412"/>
      <c r="Y62" s="412"/>
      <c r="Z62" s="412"/>
      <c r="AA62" s="412"/>
      <c r="AB62" s="412"/>
      <c r="AC62" s="412"/>
      <c r="AD62" s="412"/>
      <c r="AE62" s="412"/>
    </row>
    <row r="63" spans="6:31" ht="16.5" customHeight="1">
      <c r="F63" s="412"/>
      <c r="G63" s="412"/>
      <c r="H63" s="412"/>
      <c r="I63" s="412"/>
      <c r="J63" s="412"/>
      <c r="K63" s="412"/>
      <c r="L63" s="412"/>
      <c r="M63" s="412"/>
      <c r="N63" s="412"/>
      <c r="O63" s="412"/>
      <c r="P63" s="412"/>
      <c r="Q63" s="412"/>
      <c r="R63" s="412"/>
      <c r="S63" s="412"/>
      <c r="T63" s="412"/>
      <c r="U63" s="412"/>
      <c r="V63" s="412"/>
      <c r="W63" s="412"/>
      <c r="X63" s="412"/>
      <c r="Y63" s="412"/>
      <c r="Z63" s="412"/>
      <c r="AA63" s="412"/>
      <c r="AB63" s="412"/>
      <c r="AC63" s="412"/>
      <c r="AD63" s="412"/>
      <c r="AE63" s="412"/>
    </row>
    <row r="64" spans="6:31" ht="16.5" customHeight="1">
      <c r="F64" s="412"/>
      <c r="G64" s="412"/>
      <c r="H64" s="412"/>
      <c r="I64" s="412"/>
      <c r="J64" s="412"/>
      <c r="K64" s="412"/>
      <c r="L64" s="412"/>
      <c r="M64" s="412"/>
      <c r="N64" s="412"/>
      <c r="O64" s="412"/>
      <c r="P64" s="412"/>
      <c r="Q64" s="412"/>
      <c r="R64" s="412"/>
      <c r="S64" s="412"/>
      <c r="T64" s="412"/>
      <c r="U64" s="412"/>
      <c r="V64" s="412"/>
      <c r="W64" s="412"/>
      <c r="X64" s="412"/>
      <c r="Y64" s="412"/>
      <c r="Z64" s="412"/>
      <c r="AA64" s="412"/>
      <c r="AB64" s="412"/>
      <c r="AC64" s="412"/>
      <c r="AD64" s="412"/>
      <c r="AE64" s="412"/>
    </row>
    <row r="65" spans="6:31" ht="16.5" customHeight="1"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2"/>
      <c r="R65" s="412"/>
      <c r="S65" s="412"/>
      <c r="T65" s="412"/>
      <c r="U65" s="412"/>
      <c r="V65" s="412"/>
      <c r="W65" s="412"/>
      <c r="X65" s="412"/>
      <c r="Y65" s="412"/>
      <c r="Z65" s="412"/>
      <c r="AA65" s="412"/>
      <c r="AB65" s="412"/>
      <c r="AC65" s="412"/>
      <c r="AD65" s="412"/>
      <c r="AE65" s="412"/>
    </row>
    <row r="66" spans="6:31" ht="16.5" customHeight="1"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412"/>
      <c r="X66" s="412"/>
      <c r="Y66" s="412"/>
      <c r="Z66" s="412"/>
      <c r="AA66" s="412"/>
      <c r="AB66" s="412"/>
      <c r="AC66" s="412"/>
      <c r="AD66" s="412"/>
      <c r="AE66" s="412"/>
    </row>
    <row r="67" spans="6:31" ht="16.5" customHeight="1"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</row>
    <row r="68" spans="6:31" ht="16.5" customHeight="1"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</row>
    <row r="69" spans="6:31" ht="16.5" customHeight="1"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</row>
    <row r="70" spans="6:31" ht="16.5" customHeight="1"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</row>
    <row r="71" spans="6:31" ht="16.5" customHeight="1">
      <c r="F71" s="412"/>
      <c r="G71" s="412"/>
      <c r="H71" s="412"/>
      <c r="I71" s="412"/>
      <c r="J71" s="412"/>
      <c r="K71" s="412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2"/>
      <c r="X71" s="412"/>
      <c r="Y71" s="412"/>
      <c r="Z71" s="412"/>
      <c r="AA71" s="412"/>
      <c r="AB71" s="412"/>
      <c r="AC71" s="412"/>
      <c r="AD71" s="412"/>
      <c r="AE71" s="412"/>
    </row>
    <row r="72" spans="6:31" ht="16.5" customHeight="1">
      <c r="F72" s="412"/>
      <c r="G72" s="412"/>
      <c r="H72" s="412"/>
      <c r="I72" s="412"/>
      <c r="J72" s="412"/>
      <c r="K72" s="412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2"/>
      <c r="X72" s="412"/>
      <c r="Y72" s="412"/>
      <c r="Z72" s="412"/>
      <c r="AA72" s="412"/>
      <c r="AB72" s="412"/>
      <c r="AC72" s="412"/>
      <c r="AD72" s="412"/>
      <c r="AE72" s="412"/>
    </row>
    <row r="73" spans="6:31" ht="16.5" customHeight="1">
      <c r="F73" s="412"/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2"/>
      <c r="X73" s="412"/>
      <c r="Y73" s="412"/>
      <c r="Z73" s="412"/>
      <c r="AA73" s="412"/>
      <c r="AB73" s="412"/>
      <c r="AC73" s="412"/>
      <c r="AD73" s="412"/>
      <c r="AE73" s="412"/>
    </row>
    <row r="74" spans="6:31" ht="16.5" customHeight="1">
      <c r="F74" s="412"/>
      <c r="G74" s="412"/>
      <c r="H74" s="412"/>
      <c r="I74" s="412"/>
      <c r="J74" s="412"/>
      <c r="K74" s="412"/>
      <c r="L74" s="412"/>
      <c r="M74" s="412"/>
      <c r="N74" s="412"/>
      <c r="O74" s="412"/>
      <c r="P74" s="412"/>
      <c r="Q74" s="412"/>
      <c r="R74" s="412"/>
      <c r="S74" s="412"/>
      <c r="T74" s="412"/>
      <c r="U74" s="412"/>
      <c r="V74" s="412"/>
      <c r="W74" s="412"/>
      <c r="X74" s="412"/>
      <c r="Y74" s="412"/>
      <c r="Z74" s="412"/>
      <c r="AA74" s="412"/>
      <c r="AB74" s="412"/>
      <c r="AC74" s="412"/>
      <c r="AD74" s="412"/>
      <c r="AE74" s="412"/>
    </row>
    <row r="75" spans="6:31" ht="16.5" customHeight="1">
      <c r="F75" s="412"/>
      <c r="G75" s="412"/>
      <c r="H75" s="412"/>
      <c r="I75" s="412"/>
      <c r="J75" s="412"/>
      <c r="K75" s="412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412"/>
      <c r="X75" s="412"/>
      <c r="Y75" s="412"/>
      <c r="Z75" s="412"/>
      <c r="AA75" s="412"/>
      <c r="AB75" s="412"/>
      <c r="AC75" s="412"/>
      <c r="AD75" s="412"/>
      <c r="AE75" s="412"/>
    </row>
    <row r="76" spans="6:31" ht="16.5" customHeight="1">
      <c r="F76" s="412"/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412"/>
      <c r="X76" s="412"/>
      <c r="Y76" s="412"/>
      <c r="Z76" s="412"/>
      <c r="AA76" s="412"/>
      <c r="AB76" s="412"/>
      <c r="AC76" s="412"/>
      <c r="AD76" s="412"/>
      <c r="AE76" s="412"/>
    </row>
    <row r="77" spans="6:31" ht="16.5" customHeight="1">
      <c r="F77" s="412"/>
      <c r="G77" s="412"/>
      <c r="H77" s="412"/>
      <c r="I77" s="412"/>
      <c r="J77" s="412"/>
      <c r="K77" s="412"/>
      <c r="L77" s="412"/>
      <c r="M77" s="412"/>
      <c r="N77" s="412"/>
      <c r="O77" s="412"/>
      <c r="P77" s="412"/>
      <c r="Q77" s="412"/>
      <c r="R77" s="412"/>
      <c r="S77" s="412"/>
      <c r="T77" s="412"/>
      <c r="U77" s="412"/>
      <c r="V77" s="412"/>
      <c r="W77" s="412"/>
      <c r="X77" s="412"/>
      <c r="Y77" s="412"/>
      <c r="Z77" s="412"/>
      <c r="AA77" s="412"/>
      <c r="AB77" s="412"/>
      <c r="AC77" s="412"/>
      <c r="AD77" s="412"/>
      <c r="AE77" s="412"/>
    </row>
    <row r="78" spans="6:31" ht="16.5" customHeight="1">
      <c r="F78" s="412"/>
      <c r="G78" s="412"/>
      <c r="H78" s="412"/>
      <c r="I78" s="412"/>
      <c r="J78" s="412"/>
      <c r="K78" s="412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412"/>
      <c r="X78" s="412"/>
      <c r="Y78" s="412"/>
      <c r="Z78" s="412"/>
      <c r="AA78" s="412"/>
      <c r="AB78" s="412"/>
      <c r="AC78" s="412"/>
      <c r="AD78" s="412"/>
      <c r="AE78" s="412"/>
    </row>
    <row r="79" spans="6:31" ht="16.5" customHeight="1">
      <c r="F79" s="412"/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412"/>
      <c r="X79" s="412"/>
      <c r="Y79" s="412"/>
      <c r="Z79" s="412"/>
      <c r="AA79" s="412"/>
      <c r="AB79" s="412"/>
      <c r="AC79" s="412"/>
      <c r="AD79" s="412"/>
      <c r="AE79" s="412"/>
    </row>
    <row r="80" spans="6:31" ht="16.5" customHeight="1">
      <c r="F80" s="412"/>
      <c r="G80" s="412"/>
      <c r="H80" s="412"/>
      <c r="I80" s="412"/>
      <c r="J80" s="412"/>
      <c r="K80" s="412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412"/>
      <c r="X80" s="412"/>
      <c r="Y80" s="412"/>
      <c r="Z80" s="412"/>
      <c r="AA80" s="412"/>
      <c r="AB80" s="412"/>
      <c r="AC80" s="412"/>
      <c r="AD80" s="412"/>
      <c r="AE80" s="412"/>
    </row>
    <row r="81" spans="6:31" ht="16.5" customHeight="1">
      <c r="F81" s="412"/>
      <c r="G81" s="412"/>
      <c r="H81" s="412"/>
      <c r="I81" s="412"/>
      <c r="J81" s="412"/>
      <c r="K81" s="412"/>
      <c r="L81" s="412"/>
      <c r="M81" s="412"/>
      <c r="N81" s="412"/>
      <c r="O81" s="412"/>
      <c r="P81" s="412"/>
      <c r="Q81" s="412"/>
      <c r="R81" s="412"/>
      <c r="S81" s="412"/>
      <c r="T81" s="412"/>
      <c r="U81" s="412"/>
      <c r="V81" s="412"/>
      <c r="W81" s="412"/>
      <c r="X81" s="412"/>
      <c r="Y81" s="412"/>
      <c r="Z81" s="412"/>
      <c r="AA81" s="412"/>
      <c r="AB81" s="412"/>
      <c r="AC81" s="412"/>
      <c r="AD81" s="412"/>
      <c r="AE81" s="412"/>
    </row>
    <row r="82" spans="6:31" ht="16.5" customHeight="1">
      <c r="F82" s="412"/>
      <c r="G82" s="412"/>
      <c r="H82" s="412"/>
      <c r="I82" s="412"/>
      <c r="J82" s="412"/>
      <c r="K82" s="412"/>
      <c r="L82" s="412"/>
      <c r="M82" s="412"/>
      <c r="N82" s="412"/>
      <c r="O82" s="412"/>
      <c r="P82" s="412"/>
      <c r="Q82" s="412"/>
      <c r="R82" s="412"/>
      <c r="S82" s="412"/>
      <c r="T82" s="412"/>
      <c r="U82" s="412"/>
      <c r="V82" s="412"/>
      <c r="W82" s="412"/>
      <c r="X82" s="412"/>
      <c r="Y82" s="412"/>
      <c r="Z82" s="412"/>
      <c r="AA82" s="412"/>
      <c r="AB82" s="412"/>
      <c r="AC82" s="412"/>
      <c r="AD82" s="412"/>
      <c r="AE82" s="412"/>
    </row>
    <row r="83" spans="6:31" ht="16.5" customHeight="1">
      <c r="F83" s="412"/>
      <c r="G83" s="412"/>
      <c r="H83" s="412"/>
      <c r="I83" s="412"/>
      <c r="J83" s="412"/>
      <c r="K83" s="412"/>
      <c r="L83" s="412"/>
      <c r="M83" s="412"/>
      <c r="N83" s="412"/>
      <c r="O83" s="412"/>
      <c r="P83" s="412"/>
      <c r="Q83" s="412"/>
      <c r="R83" s="412"/>
      <c r="S83" s="412"/>
      <c r="T83" s="412"/>
      <c r="U83" s="412"/>
      <c r="V83" s="412"/>
      <c r="W83" s="412"/>
      <c r="X83" s="412"/>
      <c r="Y83" s="412"/>
      <c r="Z83" s="412"/>
      <c r="AA83" s="412"/>
      <c r="AB83" s="412"/>
      <c r="AC83" s="412"/>
      <c r="AD83" s="412"/>
      <c r="AE83" s="412"/>
    </row>
    <row r="84" spans="6:31" ht="16.5" customHeight="1">
      <c r="F84" s="412"/>
      <c r="G84" s="412"/>
      <c r="H84" s="412"/>
      <c r="I84" s="412"/>
      <c r="J84" s="412"/>
      <c r="K84" s="412"/>
      <c r="L84" s="412"/>
      <c r="M84" s="412"/>
      <c r="N84" s="412"/>
      <c r="O84" s="412"/>
      <c r="P84" s="412"/>
      <c r="Q84" s="412"/>
      <c r="R84" s="412"/>
      <c r="S84" s="412"/>
      <c r="T84" s="412"/>
      <c r="U84" s="412"/>
      <c r="V84" s="412"/>
      <c r="W84" s="412"/>
      <c r="X84" s="412"/>
      <c r="Y84" s="412"/>
      <c r="Z84" s="412"/>
      <c r="AA84" s="412"/>
      <c r="AB84" s="412"/>
      <c r="AC84" s="412"/>
      <c r="AD84" s="412"/>
      <c r="AE84" s="412"/>
    </row>
    <row r="85" spans="6:31" ht="16.5" customHeight="1">
      <c r="F85" s="412"/>
      <c r="G85" s="412"/>
      <c r="H85" s="412"/>
      <c r="I85" s="412"/>
      <c r="J85" s="412"/>
      <c r="K85" s="412"/>
      <c r="L85" s="412"/>
      <c r="M85" s="412"/>
      <c r="N85" s="412"/>
      <c r="O85" s="412"/>
      <c r="P85" s="412"/>
      <c r="Q85" s="412"/>
      <c r="R85" s="412"/>
      <c r="S85" s="412"/>
      <c r="T85" s="412"/>
      <c r="U85" s="412"/>
      <c r="V85" s="412"/>
      <c r="W85" s="412"/>
      <c r="X85" s="412"/>
      <c r="Y85" s="412"/>
      <c r="Z85" s="412"/>
      <c r="AA85" s="412"/>
      <c r="AB85" s="412"/>
      <c r="AC85" s="412"/>
      <c r="AD85" s="412"/>
      <c r="AE85" s="412"/>
    </row>
    <row r="86" spans="6:31" ht="16.5" customHeight="1">
      <c r="F86" s="412"/>
      <c r="G86" s="412"/>
      <c r="H86" s="412"/>
      <c r="I86" s="412"/>
      <c r="J86" s="412"/>
      <c r="K86" s="412"/>
      <c r="L86" s="412"/>
      <c r="M86" s="412"/>
      <c r="N86" s="412"/>
      <c r="O86" s="412"/>
      <c r="P86" s="412"/>
      <c r="Q86" s="412"/>
      <c r="R86" s="412"/>
      <c r="S86" s="412"/>
      <c r="T86" s="412"/>
      <c r="U86" s="412"/>
      <c r="V86" s="412"/>
      <c r="W86" s="412"/>
      <c r="X86" s="412"/>
      <c r="Y86" s="412"/>
      <c r="Z86" s="412"/>
      <c r="AA86" s="412"/>
      <c r="AB86" s="412"/>
      <c r="AC86" s="412"/>
      <c r="AD86" s="412"/>
      <c r="AE86" s="412"/>
    </row>
    <row r="87" spans="6:31" ht="16.5" customHeight="1">
      <c r="F87" s="412"/>
      <c r="G87" s="412"/>
      <c r="H87" s="412"/>
      <c r="I87" s="412"/>
      <c r="J87" s="412"/>
      <c r="K87" s="412"/>
      <c r="L87" s="412"/>
      <c r="M87" s="412"/>
      <c r="N87" s="412"/>
      <c r="O87" s="412"/>
      <c r="P87" s="412"/>
      <c r="Q87" s="412"/>
      <c r="R87" s="412"/>
      <c r="S87" s="412"/>
      <c r="T87" s="412"/>
      <c r="U87" s="412"/>
      <c r="V87" s="412"/>
      <c r="W87" s="412"/>
      <c r="X87" s="412"/>
      <c r="Y87" s="412"/>
      <c r="Z87" s="412"/>
      <c r="AA87" s="412"/>
      <c r="AB87" s="412"/>
      <c r="AC87" s="412"/>
      <c r="AD87" s="412"/>
      <c r="AE87" s="412"/>
    </row>
    <row r="88" spans="6:31" ht="16.5" customHeight="1">
      <c r="F88" s="412"/>
      <c r="G88" s="412"/>
      <c r="H88" s="412"/>
      <c r="I88" s="412"/>
      <c r="J88" s="412"/>
      <c r="K88" s="412"/>
      <c r="L88" s="412"/>
      <c r="M88" s="412"/>
      <c r="N88" s="412"/>
      <c r="O88" s="412"/>
      <c r="P88" s="412"/>
      <c r="Q88" s="412"/>
      <c r="R88" s="412"/>
      <c r="S88" s="412"/>
      <c r="T88" s="412"/>
      <c r="U88" s="412"/>
      <c r="V88" s="412"/>
      <c r="W88" s="412"/>
      <c r="X88" s="412"/>
      <c r="Y88" s="412"/>
      <c r="Z88" s="412"/>
      <c r="AA88" s="412"/>
      <c r="AB88" s="412"/>
      <c r="AC88" s="412"/>
      <c r="AD88" s="412"/>
      <c r="AE88" s="412"/>
    </row>
    <row r="89" spans="6:31" ht="16.5" customHeight="1">
      <c r="F89" s="412"/>
      <c r="G89" s="412"/>
      <c r="H89" s="412"/>
      <c r="I89" s="412"/>
      <c r="J89" s="412"/>
      <c r="K89" s="412"/>
      <c r="L89" s="412"/>
      <c r="M89" s="412"/>
      <c r="N89" s="412"/>
      <c r="O89" s="412"/>
      <c r="P89" s="412"/>
      <c r="Q89" s="412"/>
      <c r="R89" s="412"/>
      <c r="S89" s="412"/>
      <c r="T89" s="412"/>
      <c r="U89" s="412"/>
      <c r="V89" s="412"/>
      <c r="W89" s="412"/>
      <c r="X89" s="412"/>
      <c r="Y89" s="412"/>
      <c r="Z89" s="412"/>
      <c r="AA89" s="412"/>
      <c r="AB89" s="412"/>
      <c r="AC89" s="412"/>
      <c r="AD89" s="412"/>
      <c r="AE89" s="412"/>
    </row>
    <row r="90" spans="6:31" ht="16.5" customHeight="1">
      <c r="F90" s="412"/>
      <c r="G90" s="412"/>
      <c r="H90" s="412"/>
      <c r="I90" s="412"/>
      <c r="J90" s="412"/>
      <c r="K90" s="412"/>
      <c r="L90" s="412"/>
      <c r="M90" s="412"/>
      <c r="N90" s="412"/>
      <c r="O90" s="412"/>
      <c r="P90" s="412"/>
      <c r="Q90" s="412"/>
      <c r="R90" s="412"/>
      <c r="S90" s="412"/>
      <c r="T90" s="412"/>
      <c r="U90" s="412"/>
      <c r="V90" s="412"/>
      <c r="W90" s="412"/>
      <c r="X90" s="412"/>
      <c r="Y90" s="412"/>
      <c r="Z90" s="412"/>
      <c r="AA90" s="412"/>
      <c r="AB90" s="412"/>
      <c r="AC90" s="412"/>
      <c r="AD90" s="412"/>
      <c r="AE90" s="412"/>
    </row>
    <row r="91" spans="6:31" ht="16.5" customHeight="1"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412"/>
      <c r="AE91" s="412"/>
    </row>
    <row r="92" spans="6:31" ht="16.5" customHeight="1"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  <c r="AE92" s="412"/>
    </row>
    <row r="93" spans="6:31" ht="16.5" customHeight="1">
      <c r="F93" s="412"/>
      <c r="G93" s="412"/>
      <c r="H93" s="412"/>
      <c r="I93" s="412"/>
      <c r="J93" s="412"/>
      <c r="K93" s="412"/>
      <c r="L93" s="412"/>
      <c r="M93" s="412"/>
      <c r="N93" s="412"/>
      <c r="O93" s="412"/>
      <c r="P93" s="412"/>
      <c r="Q93" s="412"/>
      <c r="R93" s="412"/>
      <c r="S93" s="412"/>
      <c r="T93" s="412"/>
      <c r="U93" s="412"/>
      <c r="V93" s="412"/>
      <c r="W93" s="412"/>
      <c r="X93" s="412"/>
      <c r="Y93" s="412"/>
      <c r="Z93" s="412"/>
      <c r="AA93" s="412"/>
      <c r="AB93" s="412"/>
      <c r="AC93" s="412"/>
      <c r="AD93" s="412"/>
      <c r="AE93" s="412"/>
    </row>
    <row r="94" spans="6:31" ht="16.5" customHeight="1">
      <c r="F94" s="412"/>
      <c r="G94" s="412"/>
      <c r="H94" s="412"/>
      <c r="I94" s="412"/>
      <c r="J94" s="412"/>
      <c r="K94" s="412"/>
      <c r="L94" s="412"/>
      <c r="M94" s="412"/>
      <c r="N94" s="412"/>
      <c r="O94" s="412"/>
      <c r="P94" s="412"/>
      <c r="Q94" s="412"/>
      <c r="R94" s="412"/>
      <c r="S94" s="412"/>
      <c r="T94" s="412"/>
      <c r="U94" s="412"/>
      <c r="V94" s="412"/>
      <c r="W94" s="412"/>
      <c r="X94" s="412"/>
      <c r="Y94" s="412"/>
      <c r="Z94" s="412"/>
      <c r="AA94" s="412"/>
      <c r="AB94" s="412"/>
      <c r="AC94" s="412"/>
      <c r="AD94" s="412"/>
      <c r="AE94" s="412"/>
    </row>
    <row r="95" spans="6:31" ht="16.5" customHeight="1">
      <c r="F95" s="412"/>
      <c r="G95" s="412"/>
      <c r="H95" s="412"/>
      <c r="I95" s="412"/>
      <c r="J95" s="412"/>
      <c r="K95" s="412"/>
      <c r="L95" s="412"/>
      <c r="M95" s="412"/>
      <c r="N95" s="412"/>
      <c r="O95" s="412"/>
      <c r="P95" s="412"/>
      <c r="Q95" s="412"/>
      <c r="R95" s="412"/>
      <c r="S95" s="412"/>
      <c r="T95" s="412"/>
      <c r="U95" s="412"/>
      <c r="V95" s="412"/>
      <c r="W95" s="412"/>
      <c r="X95" s="412"/>
      <c r="Y95" s="412"/>
      <c r="Z95" s="412"/>
      <c r="AA95" s="412"/>
      <c r="AB95" s="412"/>
      <c r="AC95" s="412"/>
      <c r="AD95" s="412"/>
      <c r="AE95" s="412"/>
    </row>
    <row r="96" spans="6:31" ht="16.5" customHeight="1">
      <c r="F96" s="412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412"/>
      <c r="R96" s="412"/>
      <c r="S96" s="412"/>
      <c r="T96" s="412"/>
      <c r="U96" s="412"/>
      <c r="V96" s="412"/>
      <c r="W96" s="412"/>
      <c r="X96" s="412"/>
      <c r="Y96" s="412"/>
      <c r="Z96" s="412"/>
      <c r="AA96" s="412"/>
      <c r="AB96" s="412"/>
      <c r="AC96" s="412"/>
      <c r="AD96" s="412"/>
      <c r="AE96" s="412"/>
    </row>
    <row r="97" spans="6:31" ht="16.5" customHeight="1">
      <c r="F97" s="412"/>
      <c r="G97" s="412"/>
      <c r="H97" s="412"/>
      <c r="I97" s="412"/>
      <c r="J97" s="412"/>
      <c r="K97" s="412"/>
      <c r="L97" s="412"/>
      <c r="M97" s="412"/>
      <c r="N97" s="412"/>
      <c r="O97" s="412"/>
      <c r="P97" s="412"/>
      <c r="Q97" s="412"/>
      <c r="R97" s="412"/>
      <c r="S97" s="412"/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  <c r="AE97" s="412"/>
    </row>
    <row r="98" spans="6:31" ht="16.5" customHeight="1">
      <c r="F98" s="412"/>
      <c r="G98" s="412"/>
      <c r="H98" s="412"/>
      <c r="I98" s="412"/>
      <c r="J98" s="412"/>
      <c r="K98" s="412"/>
      <c r="L98" s="412"/>
      <c r="M98" s="412"/>
      <c r="N98" s="412"/>
      <c r="O98" s="412"/>
      <c r="P98" s="412"/>
      <c r="Q98" s="412"/>
      <c r="R98" s="412"/>
      <c r="S98" s="412"/>
      <c r="T98" s="412"/>
      <c r="U98" s="412"/>
      <c r="V98" s="412"/>
      <c r="W98" s="412"/>
      <c r="X98" s="412"/>
      <c r="Y98" s="412"/>
      <c r="Z98" s="412"/>
      <c r="AA98" s="412"/>
      <c r="AB98" s="412"/>
      <c r="AC98" s="412"/>
      <c r="AD98" s="412"/>
      <c r="AE98" s="412"/>
    </row>
    <row r="99" spans="6:31" ht="16.5" customHeight="1">
      <c r="F99" s="412"/>
      <c r="G99" s="412"/>
      <c r="H99" s="412"/>
      <c r="I99" s="412"/>
      <c r="J99" s="412"/>
      <c r="K99" s="412"/>
      <c r="L99" s="412"/>
      <c r="M99" s="412"/>
      <c r="N99" s="412"/>
      <c r="O99" s="412"/>
      <c r="P99" s="412"/>
      <c r="Q99" s="412"/>
      <c r="R99" s="412"/>
      <c r="S99" s="412"/>
      <c r="T99" s="412"/>
      <c r="U99" s="412"/>
      <c r="V99" s="412"/>
      <c r="W99" s="412"/>
      <c r="X99" s="412"/>
      <c r="Y99" s="412"/>
      <c r="Z99" s="412"/>
      <c r="AA99" s="412"/>
      <c r="AB99" s="412"/>
      <c r="AC99" s="412"/>
      <c r="AD99" s="412"/>
      <c r="AE99" s="412"/>
    </row>
    <row r="100" spans="6:31" ht="16.5" customHeight="1">
      <c r="F100" s="412"/>
      <c r="G100" s="412"/>
      <c r="H100" s="412"/>
      <c r="I100" s="412"/>
      <c r="J100" s="412"/>
      <c r="K100" s="412"/>
      <c r="L100" s="412"/>
      <c r="M100" s="412"/>
      <c r="N100" s="412"/>
      <c r="O100" s="412"/>
      <c r="P100" s="412"/>
      <c r="Q100" s="412"/>
      <c r="R100" s="412"/>
      <c r="S100" s="412"/>
      <c r="T100" s="412"/>
      <c r="U100" s="412"/>
      <c r="V100" s="412"/>
      <c r="W100" s="412"/>
      <c r="X100" s="412"/>
      <c r="Y100" s="412"/>
      <c r="Z100" s="412"/>
      <c r="AA100" s="412"/>
      <c r="AB100" s="412"/>
      <c r="AC100" s="412"/>
      <c r="AD100" s="412"/>
      <c r="AE100" s="412"/>
    </row>
    <row r="101" spans="6:31" ht="16.5" customHeight="1">
      <c r="F101" s="412"/>
      <c r="G101" s="412"/>
      <c r="H101" s="412"/>
      <c r="I101" s="412"/>
      <c r="J101" s="412"/>
      <c r="K101" s="412"/>
      <c r="L101" s="412"/>
      <c r="M101" s="412"/>
      <c r="N101" s="412"/>
      <c r="O101" s="412"/>
      <c r="P101" s="412"/>
      <c r="Q101" s="412"/>
      <c r="R101" s="412"/>
      <c r="S101" s="412"/>
      <c r="T101" s="412"/>
      <c r="U101" s="412"/>
      <c r="V101" s="412"/>
      <c r="W101" s="412"/>
      <c r="X101" s="412"/>
      <c r="Y101" s="412"/>
      <c r="Z101" s="412"/>
      <c r="AA101" s="412"/>
      <c r="AB101" s="412"/>
      <c r="AC101" s="412"/>
      <c r="AD101" s="412"/>
      <c r="AE101" s="412"/>
    </row>
    <row r="102" spans="6:31" ht="16.5" customHeight="1">
      <c r="F102" s="412"/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412"/>
      <c r="T102" s="412"/>
      <c r="U102" s="412"/>
      <c r="V102" s="412"/>
      <c r="W102" s="412"/>
      <c r="X102" s="412"/>
      <c r="Y102" s="412"/>
      <c r="Z102" s="412"/>
      <c r="AA102" s="412"/>
      <c r="AB102" s="412"/>
      <c r="AC102" s="412"/>
      <c r="AD102" s="412"/>
      <c r="AE102" s="412"/>
    </row>
    <row r="103" spans="6:31" ht="16.5" customHeight="1">
      <c r="F103" s="412"/>
      <c r="G103" s="412"/>
      <c r="H103" s="412"/>
      <c r="I103" s="412"/>
      <c r="J103" s="412"/>
      <c r="K103" s="412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412"/>
      <c r="X103" s="412"/>
      <c r="Y103" s="412"/>
      <c r="Z103" s="412"/>
      <c r="AA103" s="412"/>
      <c r="AB103" s="412"/>
      <c r="AC103" s="412"/>
      <c r="AD103" s="412"/>
      <c r="AE103" s="412"/>
    </row>
    <row r="104" spans="6:31" ht="16.5" customHeight="1">
      <c r="F104" s="412"/>
      <c r="G104" s="412"/>
      <c r="H104" s="412"/>
      <c r="I104" s="412"/>
      <c r="J104" s="412"/>
      <c r="K104" s="412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412"/>
      <c r="X104" s="412"/>
      <c r="Y104" s="412"/>
      <c r="Z104" s="412"/>
      <c r="AA104" s="412"/>
      <c r="AB104" s="412"/>
      <c r="AC104" s="412"/>
      <c r="AD104" s="412"/>
      <c r="AE104" s="412"/>
    </row>
    <row r="105" spans="6:31" ht="16.5" customHeight="1">
      <c r="F105" s="412"/>
      <c r="G105" s="412"/>
      <c r="H105" s="412"/>
      <c r="I105" s="412"/>
      <c r="J105" s="412"/>
      <c r="K105" s="412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412"/>
      <c r="X105" s="412"/>
      <c r="Y105" s="412"/>
      <c r="Z105" s="412"/>
      <c r="AA105" s="412"/>
      <c r="AB105" s="412"/>
      <c r="AC105" s="412"/>
      <c r="AD105" s="412"/>
      <c r="AE105" s="412"/>
    </row>
    <row r="106" spans="6:31" ht="16.5" customHeight="1">
      <c r="F106" s="412"/>
      <c r="G106" s="412"/>
      <c r="H106" s="412"/>
      <c r="I106" s="412"/>
      <c r="J106" s="412"/>
      <c r="K106" s="412"/>
      <c r="L106" s="412"/>
      <c r="M106" s="412"/>
      <c r="N106" s="412"/>
      <c r="O106" s="412"/>
      <c r="P106" s="412"/>
      <c r="Q106" s="412"/>
      <c r="R106" s="412"/>
      <c r="S106" s="412"/>
      <c r="T106" s="412"/>
      <c r="U106" s="412"/>
      <c r="V106" s="412"/>
      <c r="W106" s="412"/>
      <c r="X106" s="412"/>
      <c r="Y106" s="412"/>
      <c r="Z106" s="412"/>
      <c r="AA106" s="412"/>
      <c r="AB106" s="412"/>
      <c r="AC106" s="412"/>
      <c r="AD106" s="412"/>
      <c r="AE106" s="412"/>
    </row>
    <row r="107" spans="6:31" ht="16.5" customHeight="1">
      <c r="F107" s="412"/>
      <c r="G107" s="412"/>
      <c r="H107" s="412"/>
      <c r="I107" s="412"/>
      <c r="J107" s="412"/>
      <c r="K107" s="412"/>
      <c r="L107" s="412"/>
      <c r="M107" s="412"/>
      <c r="N107" s="412"/>
      <c r="O107" s="412"/>
      <c r="P107" s="412"/>
      <c r="Q107" s="412"/>
      <c r="R107" s="412"/>
      <c r="S107" s="412"/>
      <c r="T107" s="412"/>
      <c r="U107" s="412"/>
      <c r="V107" s="412"/>
      <c r="W107" s="412"/>
      <c r="X107" s="412"/>
      <c r="Y107" s="412"/>
      <c r="Z107" s="412"/>
      <c r="AA107" s="412"/>
      <c r="AB107" s="412"/>
      <c r="AC107" s="412"/>
      <c r="AD107" s="412"/>
      <c r="AE107" s="412"/>
    </row>
    <row r="108" spans="6:31" ht="16.5" customHeight="1">
      <c r="F108" s="412"/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412"/>
      <c r="T108" s="412"/>
      <c r="U108" s="412"/>
      <c r="V108" s="412"/>
      <c r="W108" s="412"/>
      <c r="X108" s="412"/>
      <c r="Y108" s="412"/>
      <c r="Z108" s="412"/>
      <c r="AA108" s="412"/>
      <c r="AB108" s="412"/>
      <c r="AC108" s="412"/>
      <c r="AD108" s="412"/>
      <c r="AE108" s="412"/>
    </row>
    <row r="109" spans="6:31" ht="16.5" customHeight="1">
      <c r="F109" s="412"/>
      <c r="G109" s="412"/>
      <c r="H109" s="412"/>
      <c r="I109" s="412"/>
      <c r="J109" s="412"/>
      <c r="K109" s="412"/>
      <c r="L109" s="412"/>
      <c r="M109" s="412"/>
      <c r="N109" s="412"/>
      <c r="O109" s="412"/>
      <c r="P109" s="412"/>
      <c r="Q109" s="412"/>
      <c r="R109" s="412"/>
      <c r="S109" s="412"/>
      <c r="T109" s="412"/>
      <c r="U109" s="412"/>
      <c r="V109" s="412"/>
      <c r="W109" s="412"/>
      <c r="X109" s="412"/>
      <c r="Y109" s="412"/>
      <c r="Z109" s="412"/>
      <c r="AA109" s="412"/>
      <c r="AB109" s="412"/>
      <c r="AC109" s="412"/>
      <c r="AD109" s="412"/>
      <c r="AE109" s="412"/>
    </row>
    <row r="110" spans="6:31" ht="16.5" customHeight="1">
      <c r="F110" s="412"/>
      <c r="G110" s="412"/>
      <c r="H110" s="412"/>
      <c r="I110" s="412"/>
      <c r="J110" s="412"/>
      <c r="K110" s="412"/>
      <c r="L110" s="412"/>
      <c r="M110" s="412"/>
      <c r="N110" s="412"/>
      <c r="O110" s="412"/>
      <c r="P110" s="412"/>
      <c r="Q110" s="412"/>
      <c r="R110" s="412"/>
      <c r="S110" s="412"/>
      <c r="T110" s="412"/>
      <c r="U110" s="412"/>
      <c r="V110" s="412"/>
      <c r="W110" s="412"/>
      <c r="X110" s="412"/>
      <c r="Y110" s="412"/>
      <c r="Z110" s="412"/>
      <c r="AA110" s="412"/>
      <c r="AB110" s="412"/>
      <c r="AC110" s="412"/>
      <c r="AD110" s="412"/>
      <c r="AE110" s="412"/>
    </row>
    <row r="111" spans="6:31" ht="16.5" customHeight="1">
      <c r="F111" s="412"/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412"/>
      <c r="T111" s="412"/>
      <c r="U111" s="412"/>
      <c r="V111" s="412"/>
      <c r="W111" s="412"/>
      <c r="X111" s="412"/>
      <c r="Y111" s="412"/>
      <c r="Z111" s="412"/>
      <c r="AA111" s="412"/>
      <c r="AB111" s="412"/>
      <c r="AC111" s="412"/>
      <c r="AD111" s="412"/>
      <c r="AE111" s="412"/>
    </row>
    <row r="112" spans="6:31" ht="16.5" customHeight="1">
      <c r="F112" s="412"/>
      <c r="G112" s="412"/>
      <c r="H112" s="412"/>
      <c r="I112" s="412"/>
      <c r="J112" s="412"/>
      <c r="K112" s="412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412"/>
      <c r="X112" s="412"/>
      <c r="Y112" s="412"/>
      <c r="Z112" s="412"/>
      <c r="AA112" s="412"/>
      <c r="AB112" s="412"/>
      <c r="AC112" s="412"/>
      <c r="AD112" s="412"/>
      <c r="AE112" s="412"/>
    </row>
    <row r="113" spans="6:31" ht="16.5" customHeight="1">
      <c r="F113" s="412"/>
      <c r="G113" s="412"/>
      <c r="H113" s="412"/>
      <c r="I113" s="412"/>
      <c r="J113" s="412"/>
      <c r="K113" s="412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412"/>
      <c r="X113" s="412"/>
      <c r="Y113" s="412"/>
      <c r="Z113" s="412"/>
      <c r="AA113" s="412"/>
      <c r="AB113" s="412"/>
      <c r="AC113" s="412"/>
      <c r="AD113" s="412"/>
      <c r="AE113" s="412"/>
    </row>
    <row r="114" spans="6:31" ht="16.5" customHeight="1">
      <c r="F114" s="412"/>
      <c r="G114" s="412"/>
      <c r="H114" s="412"/>
      <c r="I114" s="412"/>
      <c r="J114" s="412"/>
      <c r="K114" s="412"/>
      <c r="L114" s="412"/>
      <c r="M114" s="412"/>
      <c r="N114" s="412"/>
      <c r="O114" s="412"/>
      <c r="P114" s="412"/>
      <c r="Q114" s="412"/>
      <c r="R114" s="412"/>
      <c r="S114" s="412"/>
      <c r="T114" s="412"/>
      <c r="U114" s="412"/>
      <c r="V114" s="412"/>
      <c r="W114" s="412"/>
      <c r="X114" s="412"/>
      <c r="Y114" s="412"/>
      <c r="Z114" s="412"/>
      <c r="AA114" s="412"/>
      <c r="AB114" s="412"/>
      <c r="AC114" s="412"/>
      <c r="AD114" s="412"/>
      <c r="AE114" s="412"/>
    </row>
    <row r="115" spans="6:31" ht="16.5" customHeight="1">
      <c r="F115" s="412"/>
      <c r="G115" s="412"/>
      <c r="H115" s="412"/>
      <c r="I115" s="412"/>
      <c r="J115" s="412"/>
      <c r="K115" s="412"/>
      <c r="L115" s="412"/>
      <c r="M115" s="412"/>
      <c r="N115" s="412"/>
      <c r="O115" s="412"/>
      <c r="P115" s="412"/>
      <c r="Q115" s="412"/>
      <c r="R115" s="412"/>
      <c r="S115" s="412"/>
      <c r="T115" s="412"/>
      <c r="U115" s="412"/>
      <c r="V115" s="412"/>
      <c r="W115" s="412"/>
      <c r="X115" s="412"/>
      <c r="Y115" s="412"/>
      <c r="Z115" s="412"/>
      <c r="AA115" s="412"/>
      <c r="AB115" s="412"/>
      <c r="AC115" s="412"/>
      <c r="AD115" s="412"/>
      <c r="AE115" s="412"/>
    </row>
    <row r="116" spans="6:31" ht="16.5" customHeight="1">
      <c r="F116" s="412"/>
      <c r="G116" s="412"/>
      <c r="H116" s="412"/>
      <c r="I116" s="412"/>
      <c r="J116" s="412"/>
      <c r="K116" s="412"/>
      <c r="L116" s="412"/>
      <c r="M116" s="412"/>
      <c r="N116" s="412"/>
      <c r="O116" s="412"/>
      <c r="P116" s="412"/>
      <c r="Q116" s="412"/>
      <c r="R116" s="412"/>
      <c r="S116" s="412"/>
      <c r="T116" s="412"/>
      <c r="U116" s="412"/>
      <c r="V116" s="412"/>
      <c r="W116" s="412"/>
      <c r="X116" s="412"/>
      <c r="Y116" s="412"/>
      <c r="Z116" s="412"/>
      <c r="AA116" s="412"/>
      <c r="AB116" s="412"/>
      <c r="AC116" s="412"/>
      <c r="AD116" s="412"/>
      <c r="AE116" s="412"/>
    </row>
    <row r="117" spans="6:31" ht="16.5" customHeight="1">
      <c r="F117" s="412"/>
      <c r="G117" s="412"/>
      <c r="H117" s="412"/>
      <c r="I117" s="412"/>
      <c r="J117" s="412"/>
      <c r="K117" s="412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412"/>
      <c r="X117" s="412"/>
      <c r="Y117" s="412"/>
      <c r="Z117" s="412"/>
      <c r="AA117" s="412"/>
      <c r="AB117" s="412"/>
      <c r="AC117" s="412"/>
      <c r="AD117" s="412"/>
      <c r="AE117" s="412"/>
    </row>
    <row r="118" spans="6:31" ht="16.5" customHeight="1">
      <c r="F118" s="412"/>
      <c r="G118" s="412"/>
      <c r="H118" s="412"/>
      <c r="I118" s="412"/>
      <c r="J118" s="412"/>
      <c r="K118" s="412"/>
      <c r="L118" s="412"/>
      <c r="M118" s="412"/>
      <c r="N118" s="412"/>
      <c r="O118" s="412"/>
      <c r="P118" s="412"/>
      <c r="Q118" s="412"/>
      <c r="R118" s="412"/>
      <c r="S118" s="412"/>
      <c r="T118" s="412"/>
      <c r="U118" s="412"/>
      <c r="V118" s="412"/>
      <c r="W118" s="412"/>
      <c r="X118" s="412"/>
      <c r="Y118" s="412"/>
      <c r="Z118" s="412"/>
      <c r="AA118" s="412"/>
      <c r="AB118" s="412"/>
      <c r="AC118" s="412"/>
      <c r="AD118" s="412"/>
      <c r="AE118" s="412"/>
    </row>
    <row r="119" spans="6:31" ht="16.5" customHeight="1">
      <c r="F119" s="412"/>
      <c r="G119" s="412"/>
      <c r="H119" s="412"/>
      <c r="I119" s="412"/>
      <c r="J119" s="412"/>
      <c r="K119" s="412"/>
      <c r="L119" s="412"/>
      <c r="M119" s="412"/>
      <c r="N119" s="412"/>
      <c r="O119" s="412"/>
      <c r="P119" s="412"/>
      <c r="Q119" s="412"/>
      <c r="R119" s="412"/>
      <c r="S119" s="412"/>
      <c r="T119" s="412"/>
      <c r="U119" s="412"/>
      <c r="V119" s="412"/>
      <c r="W119" s="412"/>
      <c r="X119" s="412"/>
      <c r="Y119" s="412"/>
      <c r="Z119" s="412"/>
      <c r="AA119" s="412"/>
      <c r="AB119" s="412"/>
      <c r="AC119" s="412"/>
      <c r="AD119" s="412"/>
      <c r="AE119" s="412"/>
    </row>
    <row r="120" spans="6:31" ht="16.5" customHeight="1">
      <c r="F120" s="412"/>
      <c r="G120" s="412"/>
      <c r="H120" s="412"/>
      <c r="I120" s="412"/>
      <c r="J120" s="412"/>
      <c r="K120" s="412"/>
      <c r="L120" s="412"/>
      <c r="M120" s="412"/>
      <c r="N120" s="412"/>
      <c r="O120" s="412"/>
      <c r="P120" s="412"/>
      <c r="Q120" s="412"/>
      <c r="R120" s="412"/>
      <c r="S120" s="412"/>
      <c r="T120" s="412"/>
      <c r="U120" s="412"/>
      <c r="V120" s="412"/>
      <c r="W120" s="412"/>
      <c r="X120" s="412"/>
      <c r="Y120" s="412"/>
      <c r="Z120" s="412"/>
      <c r="AA120" s="412"/>
      <c r="AB120" s="412"/>
      <c r="AC120" s="412"/>
      <c r="AD120" s="412"/>
      <c r="AE120" s="412"/>
    </row>
    <row r="121" spans="6:31" ht="16.5" customHeight="1">
      <c r="F121" s="412"/>
      <c r="G121" s="412"/>
      <c r="H121" s="412"/>
      <c r="I121" s="412"/>
      <c r="J121" s="412"/>
      <c r="K121" s="412"/>
      <c r="L121" s="412"/>
      <c r="M121" s="412"/>
      <c r="N121" s="412"/>
      <c r="O121" s="412"/>
      <c r="P121" s="412"/>
      <c r="Q121" s="412"/>
      <c r="R121" s="412"/>
      <c r="S121" s="412"/>
      <c r="T121" s="412"/>
      <c r="U121" s="412"/>
      <c r="V121" s="412"/>
      <c r="W121" s="412"/>
      <c r="X121" s="412"/>
      <c r="Y121" s="412"/>
      <c r="Z121" s="412"/>
      <c r="AA121" s="412"/>
      <c r="AB121" s="412"/>
      <c r="AC121" s="412"/>
      <c r="AD121" s="412"/>
      <c r="AE121" s="412"/>
    </row>
    <row r="122" spans="6:31" ht="16.5" customHeight="1">
      <c r="F122" s="412"/>
      <c r="G122" s="412"/>
      <c r="H122" s="412"/>
      <c r="I122" s="412"/>
      <c r="J122" s="412"/>
      <c r="K122" s="412"/>
      <c r="L122" s="412"/>
      <c r="M122" s="412"/>
      <c r="N122" s="412"/>
      <c r="O122" s="412"/>
      <c r="P122" s="412"/>
      <c r="Q122" s="412"/>
      <c r="R122" s="412"/>
      <c r="S122" s="412"/>
      <c r="T122" s="412"/>
      <c r="U122" s="412"/>
      <c r="V122" s="412"/>
      <c r="W122" s="412"/>
      <c r="X122" s="412"/>
      <c r="Y122" s="412"/>
      <c r="Z122" s="412"/>
      <c r="AA122" s="412"/>
      <c r="AB122" s="412"/>
      <c r="AC122" s="412"/>
      <c r="AD122" s="412"/>
      <c r="AE122" s="412"/>
    </row>
    <row r="123" spans="6:31" ht="16.5" customHeight="1">
      <c r="F123" s="412"/>
      <c r="G123" s="412"/>
      <c r="H123" s="412"/>
      <c r="I123" s="412"/>
      <c r="J123" s="412"/>
      <c r="K123" s="412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12"/>
      <c r="X123" s="412"/>
      <c r="Y123" s="412"/>
      <c r="Z123" s="412"/>
      <c r="AA123" s="412"/>
      <c r="AB123" s="412"/>
      <c r="AC123" s="412"/>
      <c r="AD123" s="412"/>
      <c r="AE123" s="412"/>
    </row>
    <row r="124" spans="6:31" ht="16.5" customHeight="1">
      <c r="F124" s="412"/>
      <c r="G124" s="412"/>
      <c r="H124" s="412"/>
      <c r="I124" s="412"/>
      <c r="J124" s="412"/>
      <c r="K124" s="412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12"/>
      <c r="X124" s="412"/>
      <c r="Y124" s="412"/>
      <c r="Z124" s="412"/>
      <c r="AA124" s="412"/>
      <c r="AB124" s="412"/>
      <c r="AC124" s="412"/>
      <c r="AD124" s="412"/>
      <c r="AE124" s="412"/>
    </row>
    <row r="125" spans="6:31" ht="16.5" customHeight="1">
      <c r="F125" s="412"/>
      <c r="G125" s="412"/>
      <c r="H125" s="412"/>
      <c r="I125" s="412"/>
      <c r="J125" s="412"/>
      <c r="K125" s="412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12"/>
      <c r="X125" s="412"/>
      <c r="Y125" s="412"/>
      <c r="Z125" s="412"/>
      <c r="AA125" s="412"/>
      <c r="AB125" s="412"/>
      <c r="AC125" s="412"/>
      <c r="AD125" s="412"/>
      <c r="AE125" s="412"/>
    </row>
    <row r="126" spans="6:31" ht="16.5" customHeight="1">
      <c r="F126" s="412"/>
      <c r="G126" s="412"/>
      <c r="H126" s="412"/>
      <c r="I126" s="412"/>
      <c r="J126" s="412"/>
      <c r="K126" s="412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412"/>
      <c r="X126" s="412"/>
      <c r="Y126" s="412"/>
      <c r="Z126" s="412"/>
      <c r="AA126" s="412"/>
      <c r="AB126" s="412"/>
      <c r="AC126" s="412"/>
      <c r="AD126" s="412"/>
      <c r="AE126" s="412"/>
    </row>
    <row r="127" spans="6:31" ht="16.5" customHeight="1">
      <c r="F127" s="412"/>
      <c r="G127" s="412"/>
      <c r="H127" s="412"/>
      <c r="I127" s="412"/>
      <c r="J127" s="412"/>
      <c r="K127" s="412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412"/>
      <c r="X127" s="412"/>
      <c r="Y127" s="412"/>
      <c r="Z127" s="412"/>
      <c r="AA127" s="412"/>
      <c r="AB127" s="412"/>
      <c r="AC127" s="412"/>
      <c r="AD127" s="412"/>
      <c r="AE127" s="412"/>
    </row>
    <row r="128" spans="6:31" ht="16.5" customHeight="1">
      <c r="F128" s="412"/>
      <c r="G128" s="412"/>
      <c r="H128" s="412"/>
      <c r="I128" s="412"/>
      <c r="J128" s="412"/>
      <c r="K128" s="412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412"/>
      <c r="X128" s="412"/>
      <c r="Y128" s="412"/>
      <c r="Z128" s="412"/>
      <c r="AA128" s="412"/>
      <c r="AB128" s="412"/>
      <c r="AC128" s="412"/>
      <c r="AD128" s="412"/>
      <c r="AE128" s="412"/>
    </row>
    <row r="129" spans="6:31" ht="16.5" customHeight="1">
      <c r="F129" s="412"/>
      <c r="G129" s="412"/>
      <c r="H129" s="412"/>
      <c r="I129" s="412"/>
      <c r="J129" s="412"/>
      <c r="K129" s="412"/>
      <c r="L129" s="412"/>
      <c r="M129" s="412"/>
      <c r="N129" s="412"/>
      <c r="O129" s="412"/>
      <c r="P129" s="412"/>
      <c r="Q129" s="412"/>
      <c r="R129" s="412"/>
      <c r="S129" s="412"/>
      <c r="T129" s="412"/>
      <c r="U129" s="412"/>
      <c r="V129" s="412"/>
      <c r="W129" s="412"/>
      <c r="X129" s="412"/>
      <c r="Y129" s="412"/>
      <c r="Z129" s="412"/>
      <c r="AA129" s="412"/>
      <c r="AB129" s="412"/>
      <c r="AC129" s="412"/>
      <c r="AD129" s="412"/>
      <c r="AE129" s="412"/>
    </row>
    <row r="130" spans="6:31" ht="16.5" customHeight="1">
      <c r="F130" s="412"/>
      <c r="G130" s="412"/>
      <c r="H130" s="412"/>
      <c r="I130" s="412"/>
      <c r="J130" s="412"/>
      <c r="K130" s="412"/>
      <c r="L130" s="412"/>
      <c r="M130" s="412"/>
      <c r="N130" s="412"/>
      <c r="O130" s="412"/>
      <c r="P130" s="412"/>
      <c r="Q130" s="412"/>
      <c r="R130" s="412"/>
      <c r="S130" s="412"/>
      <c r="T130" s="412"/>
      <c r="U130" s="412"/>
      <c r="V130" s="412"/>
      <c r="W130" s="412"/>
      <c r="X130" s="412"/>
      <c r="Y130" s="412"/>
      <c r="Z130" s="412"/>
      <c r="AA130" s="412"/>
      <c r="AB130" s="412"/>
      <c r="AC130" s="412"/>
      <c r="AD130" s="412"/>
      <c r="AE130" s="412"/>
    </row>
    <row r="131" spans="6:31" ht="16.5" customHeight="1">
      <c r="F131" s="412"/>
      <c r="G131" s="412"/>
      <c r="H131" s="412"/>
      <c r="I131" s="412"/>
      <c r="J131" s="412"/>
      <c r="K131" s="412"/>
      <c r="L131" s="412"/>
      <c r="M131" s="412"/>
      <c r="N131" s="412"/>
      <c r="O131" s="412"/>
      <c r="P131" s="412"/>
      <c r="Q131" s="412"/>
      <c r="R131" s="412"/>
      <c r="S131" s="412"/>
      <c r="T131" s="412"/>
      <c r="U131" s="412"/>
      <c r="V131" s="412"/>
      <c r="W131" s="412"/>
      <c r="X131" s="412"/>
      <c r="Y131" s="412"/>
      <c r="Z131" s="412"/>
      <c r="AA131" s="412"/>
      <c r="AB131" s="412"/>
      <c r="AC131" s="412"/>
      <c r="AD131" s="412"/>
      <c r="AE131" s="412"/>
    </row>
    <row r="132" spans="6:31" ht="16.5" customHeight="1">
      <c r="F132" s="412"/>
      <c r="G132" s="412"/>
      <c r="H132" s="412"/>
      <c r="I132" s="412"/>
      <c r="J132" s="412"/>
      <c r="K132" s="412"/>
      <c r="L132" s="412"/>
      <c r="M132" s="412"/>
      <c r="N132" s="412"/>
      <c r="O132" s="412"/>
      <c r="P132" s="412"/>
      <c r="Q132" s="412"/>
      <c r="R132" s="412"/>
      <c r="S132" s="412"/>
      <c r="T132" s="412"/>
      <c r="U132" s="412"/>
      <c r="V132" s="412"/>
      <c r="W132" s="412"/>
      <c r="X132" s="412"/>
      <c r="Y132" s="412"/>
      <c r="Z132" s="412"/>
      <c r="AA132" s="412"/>
      <c r="AB132" s="412"/>
      <c r="AC132" s="412"/>
      <c r="AD132" s="412"/>
      <c r="AE132" s="412"/>
    </row>
    <row r="133" spans="6:31" ht="16.5" customHeight="1">
      <c r="F133" s="412"/>
      <c r="G133" s="412"/>
      <c r="H133" s="412"/>
      <c r="I133" s="412"/>
      <c r="J133" s="412"/>
      <c r="K133" s="412"/>
      <c r="L133" s="412"/>
      <c r="M133" s="412"/>
      <c r="N133" s="412"/>
      <c r="O133" s="412"/>
      <c r="P133" s="412"/>
      <c r="Q133" s="412"/>
      <c r="R133" s="412"/>
      <c r="S133" s="412"/>
      <c r="T133" s="412"/>
      <c r="U133" s="412"/>
      <c r="V133" s="412"/>
      <c r="W133" s="412"/>
      <c r="X133" s="412"/>
      <c r="Y133" s="412"/>
      <c r="Z133" s="412"/>
      <c r="AA133" s="412"/>
      <c r="AB133" s="412"/>
      <c r="AC133" s="412"/>
      <c r="AD133" s="412"/>
      <c r="AE133" s="412"/>
    </row>
    <row r="134" spans="6:31" ht="16.5" customHeight="1">
      <c r="F134" s="412"/>
      <c r="G134" s="412"/>
      <c r="H134" s="412"/>
      <c r="I134" s="412"/>
      <c r="J134" s="412"/>
      <c r="K134" s="412"/>
      <c r="L134" s="412"/>
      <c r="M134" s="412"/>
      <c r="N134" s="412"/>
      <c r="O134" s="412"/>
      <c r="P134" s="412"/>
      <c r="Q134" s="412"/>
      <c r="R134" s="412"/>
      <c r="S134" s="412"/>
      <c r="T134" s="412"/>
      <c r="U134" s="412"/>
      <c r="V134" s="412"/>
      <c r="W134" s="412"/>
      <c r="X134" s="412"/>
      <c r="Y134" s="412"/>
      <c r="Z134" s="412"/>
      <c r="AA134" s="412"/>
      <c r="AB134" s="412"/>
      <c r="AC134" s="412"/>
      <c r="AD134" s="412"/>
      <c r="AE134" s="412"/>
    </row>
    <row r="135" spans="6:31" ht="16.5" customHeight="1">
      <c r="F135" s="412"/>
      <c r="G135" s="412"/>
      <c r="H135" s="412"/>
      <c r="I135" s="412"/>
      <c r="J135" s="412"/>
      <c r="K135" s="412"/>
      <c r="L135" s="412"/>
      <c r="M135" s="412"/>
      <c r="N135" s="412"/>
      <c r="O135" s="412"/>
      <c r="P135" s="412"/>
      <c r="Q135" s="412"/>
      <c r="R135" s="412"/>
      <c r="S135" s="412"/>
      <c r="T135" s="412"/>
      <c r="U135" s="412"/>
      <c r="V135" s="412"/>
      <c r="W135" s="412"/>
      <c r="X135" s="412"/>
      <c r="Y135" s="412"/>
      <c r="Z135" s="412"/>
      <c r="AA135" s="412"/>
      <c r="AB135" s="412"/>
      <c r="AC135" s="412"/>
      <c r="AD135" s="412"/>
      <c r="AE135" s="412"/>
    </row>
    <row r="136" spans="6:31" ht="16.5" customHeight="1">
      <c r="F136" s="412"/>
      <c r="G136" s="412"/>
      <c r="H136" s="412"/>
      <c r="I136" s="412"/>
      <c r="J136" s="412"/>
      <c r="K136" s="412"/>
      <c r="L136" s="412"/>
      <c r="M136" s="412"/>
      <c r="N136" s="412"/>
      <c r="O136" s="412"/>
      <c r="P136" s="412"/>
      <c r="Q136" s="412"/>
      <c r="R136" s="412"/>
      <c r="S136" s="412"/>
      <c r="T136" s="412"/>
      <c r="U136" s="412"/>
      <c r="V136" s="412"/>
      <c r="W136" s="412"/>
      <c r="X136" s="412"/>
      <c r="Y136" s="412"/>
      <c r="Z136" s="412"/>
      <c r="AA136" s="412"/>
      <c r="AB136" s="412"/>
      <c r="AC136" s="412"/>
      <c r="AD136" s="412"/>
      <c r="AE136" s="412"/>
    </row>
    <row r="137" spans="6:31" ht="16.5" customHeight="1">
      <c r="F137" s="412"/>
      <c r="G137" s="412"/>
      <c r="H137" s="412"/>
      <c r="I137" s="412"/>
      <c r="J137" s="412"/>
      <c r="K137" s="412"/>
      <c r="L137" s="412"/>
      <c r="M137" s="412"/>
      <c r="N137" s="412"/>
      <c r="O137" s="412"/>
      <c r="P137" s="412"/>
      <c r="Q137" s="412"/>
      <c r="R137" s="412"/>
      <c r="S137" s="412"/>
      <c r="T137" s="412"/>
      <c r="U137" s="412"/>
      <c r="V137" s="412"/>
      <c r="W137" s="412"/>
      <c r="X137" s="412"/>
      <c r="Y137" s="412"/>
      <c r="Z137" s="412"/>
      <c r="AA137" s="412"/>
      <c r="AB137" s="412"/>
      <c r="AC137" s="412"/>
      <c r="AD137" s="412"/>
      <c r="AE137" s="412"/>
    </row>
    <row r="138" spans="6:31" ht="16.5" customHeight="1">
      <c r="F138" s="412"/>
      <c r="G138" s="412"/>
      <c r="H138" s="412"/>
      <c r="I138" s="412"/>
      <c r="J138" s="412"/>
      <c r="K138" s="412"/>
      <c r="L138" s="412"/>
      <c r="M138" s="412"/>
      <c r="N138" s="412"/>
      <c r="O138" s="412"/>
      <c r="P138" s="412"/>
      <c r="Q138" s="412"/>
      <c r="R138" s="412"/>
      <c r="S138" s="412"/>
      <c r="T138" s="412"/>
      <c r="U138" s="412"/>
      <c r="V138" s="412"/>
      <c r="W138" s="412"/>
      <c r="X138" s="412"/>
      <c r="Y138" s="412"/>
      <c r="Z138" s="412"/>
      <c r="AA138" s="412"/>
      <c r="AB138" s="412"/>
      <c r="AC138" s="412"/>
      <c r="AD138" s="412"/>
      <c r="AE138" s="412"/>
    </row>
    <row r="139" spans="6:31" ht="16.5" customHeight="1">
      <c r="F139" s="412"/>
      <c r="G139" s="412"/>
      <c r="H139" s="412"/>
      <c r="I139" s="412"/>
      <c r="J139" s="412"/>
      <c r="K139" s="412"/>
      <c r="L139" s="412"/>
      <c r="M139" s="412"/>
      <c r="N139" s="412"/>
      <c r="O139" s="412"/>
      <c r="P139" s="412"/>
      <c r="Q139" s="412"/>
      <c r="R139" s="412"/>
      <c r="S139" s="412"/>
      <c r="T139" s="412"/>
      <c r="U139" s="412"/>
      <c r="V139" s="412"/>
      <c r="W139" s="412"/>
      <c r="X139" s="412"/>
      <c r="Y139" s="412"/>
      <c r="Z139" s="412"/>
      <c r="AA139" s="412"/>
      <c r="AB139" s="412"/>
      <c r="AC139" s="412"/>
      <c r="AD139" s="412"/>
      <c r="AE139" s="412"/>
    </row>
    <row r="140" spans="6:31" ht="16.5" customHeight="1">
      <c r="F140" s="412"/>
      <c r="G140" s="412"/>
      <c r="H140" s="412"/>
      <c r="I140" s="412"/>
      <c r="J140" s="412"/>
      <c r="K140" s="412"/>
      <c r="L140" s="412"/>
      <c r="M140" s="412"/>
      <c r="N140" s="412"/>
      <c r="O140" s="412"/>
      <c r="P140" s="412"/>
      <c r="Q140" s="412"/>
      <c r="R140" s="412"/>
      <c r="S140" s="412"/>
      <c r="T140" s="412"/>
      <c r="U140" s="412"/>
      <c r="V140" s="412"/>
      <c r="W140" s="412"/>
      <c r="X140" s="412"/>
      <c r="Y140" s="412"/>
      <c r="Z140" s="412"/>
      <c r="AA140" s="412"/>
      <c r="AB140" s="412"/>
      <c r="AC140" s="412"/>
      <c r="AD140" s="412"/>
      <c r="AE140" s="412"/>
    </row>
    <row r="141" spans="6:31" ht="16.5" customHeight="1">
      <c r="F141" s="412"/>
      <c r="G141" s="412"/>
      <c r="H141" s="412"/>
      <c r="I141" s="412"/>
      <c r="J141" s="412"/>
      <c r="K141" s="412"/>
      <c r="L141" s="412"/>
      <c r="M141" s="412"/>
      <c r="N141" s="412"/>
      <c r="O141" s="412"/>
      <c r="P141" s="412"/>
      <c r="Q141" s="412"/>
      <c r="R141" s="412"/>
      <c r="S141" s="412"/>
      <c r="T141" s="412"/>
      <c r="U141" s="412"/>
      <c r="V141" s="412"/>
      <c r="W141" s="412"/>
      <c r="X141" s="412"/>
      <c r="Y141" s="412"/>
      <c r="Z141" s="412"/>
      <c r="AA141" s="412"/>
      <c r="AB141" s="412"/>
      <c r="AC141" s="412"/>
      <c r="AD141" s="412"/>
      <c r="AE141" s="412"/>
    </row>
    <row r="142" spans="6:31" ht="16.5" customHeight="1">
      <c r="F142" s="412"/>
      <c r="G142" s="412"/>
      <c r="H142" s="412"/>
      <c r="I142" s="412"/>
      <c r="J142" s="412"/>
      <c r="K142" s="412"/>
      <c r="L142" s="412"/>
      <c r="M142" s="412"/>
      <c r="N142" s="412"/>
      <c r="O142" s="412"/>
      <c r="P142" s="412"/>
      <c r="Q142" s="412"/>
      <c r="R142" s="412"/>
      <c r="S142" s="412"/>
      <c r="T142" s="412"/>
      <c r="U142" s="412"/>
      <c r="V142" s="412"/>
      <c r="W142" s="412"/>
      <c r="X142" s="412"/>
      <c r="Y142" s="412"/>
      <c r="Z142" s="412"/>
      <c r="AA142" s="412"/>
      <c r="AB142" s="412"/>
      <c r="AC142" s="412"/>
      <c r="AD142" s="412"/>
      <c r="AE142" s="412"/>
    </row>
    <row r="143" spans="6:31" ht="16.5" customHeight="1">
      <c r="F143" s="412"/>
      <c r="G143" s="412"/>
      <c r="H143" s="412"/>
      <c r="I143" s="412"/>
      <c r="J143" s="412"/>
      <c r="K143" s="412"/>
      <c r="L143" s="412"/>
      <c r="M143" s="412"/>
      <c r="N143" s="412"/>
      <c r="O143" s="412"/>
      <c r="P143" s="412"/>
      <c r="Q143" s="412"/>
      <c r="R143" s="412"/>
      <c r="S143" s="412"/>
      <c r="T143" s="412"/>
      <c r="U143" s="412"/>
      <c r="V143" s="412"/>
      <c r="W143" s="412"/>
      <c r="X143" s="412"/>
      <c r="Y143" s="412"/>
      <c r="Z143" s="412"/>
      <c r="AA143" s="412"/>
      <c r="AB143" s="412"/>
      <c r="AC143" s="412"/>
      <c r="AD143" s="412"/>
      <c r="AE143" s="412"/>
    </row>
    <row r="144" spans="6:31" ht="16.5" customHeight="1">
      <c r="F144" s="412"/>
      <c r="G144" s="412"/>
      <c r="H144" s="412"/>
      <c r="I144" s="412"/>
      <c r="J144" s="412"/>
      <c r="K144" s="412"/>
      <c r="L144" s="412"/>
      <c r="M144" s="412"/>
      <c r="N144" s="412"/>
      <c r="O144" s="412"/>
      <c r="P144" s="412"/>
      <c r="Q144" s="412"/>
      <c r="R144" s="412"/>
      <c r="S144" s="412"/>
      <c r="T144" s="412"/>
      <c r="U144" s="412"/>
      <c r="V144" s="412"/>
      <c r="W144" s="412"/>
      <c r="X144" s="412"/>
      <c r="Y144" s="412"/>
      <c r="Z144" s="412"/>
      <c r="AA144" s="412"/>
      <c r="AB144" s="412"/>
      <c r="AC144" s="412"/>
      <c r="AD144" s="412"/>
      <c r="AE144" s="412"/>
    </row>
    <row r="145" spans="6:31" ht="16.5" customHeight="1">
      <c r="F145" s="412"/>
      <c r="G145" s="412"/>
      <c r="H145" s="412"/>
      <c r="I145" s="412"/>
      <c r="J145" s="412"/>
      <c r="K145" s="412"/>
      <c r="L145" s="412"/>
      <c r="M145" s="412"/>
      <c r="N145" s="412"/>
      <c r="O145" s="412"/>
      <c r="P145" s="412"/>
      <c r="Q145" s="412"/>
      <c r="R145" s="412"/>
      <c r="S145" s="412"/>
      <c r="T145" s="412"/>
      <c r="U145" s="412"/>
      <c r="V145" s="412"/>
      <c r="W145" s="412"/>
      <c r="X145" s="412"/>
      <c r="Y145" s="412"/>
      <c r="Z145" s="412"/>
      <c r="AA145" s="412"/>
      <c r="AB145" s="412"/>
      <c r="AC145" s="412"/>
      <c r="AD145" s="412"/>
      <c r="AE145" s="412"/>
    </row>
    <row r="146" spans="6:31" ht="16.5" customHeight="1">
      <c r="F146" s="412"/>
      <c r="G146" s="412"/>
      <c r="H146" s="412"/>
      <c r="I146" s="412"/>
      <c r="J146" s="412"/>
      <c r="K146" s="412"/>
      <c r="L146" s="412"/>
      <c r="M146" s="412"/>
      <c r="N146" s="412"/>
      <c r="O146" s="412"/>
      <c r="P146" s="412"/>
      <c r="Q146" s="412"/>
      <c r="R146" s="412"/>
      <c r="S146" s="412"/>
      <c r="T146" s="412"/>
      <c r="U146" s="412"/>
      <c r="V146" s="412"/>
      <c r="W146" s="412"/>
      <c r="X146" s="412"/>
      <c r="Y146" s="412"/>
      <c r="Z146" s="412"/>
      <c r="AA146" s="412"/>
      <c r="AB146" s="412"/>
      <c r="AC146" s="412"/>
      <c r="AD146" s="412"/>
      <c r="AE146" s="412"/>
    </row>
    <row r="147" spans="6:31" ht="16.5" customHeight="1">
      <c r="F147" s="412"/>
      <c r="G147" s="412"/>
      <c r="H147" s="412"/>
      <c r="I147" s="412"/>
      <c r="J147" s="412"/>
      <c r="K147" s="412"/>
      <c r="L147" s="412"/>
      <c r="M147" s="412"/>
      <c r="N147" s="412"/>
      <c r="O147" s="412"/>
      <c r="P147" s="412"/>
      <c r="Q147" s="412"/>
      <c r="R147" s="412"/>
      <c r="S147" s="412"/>
      <c r="T147" s="412"/>
      <c r="U147" s="412"/>
      <c r="V147" s="412"/>
      <c r="W147" s="412"/>
      <c r="X147" s="412"/>
      <c r="Y147" s="412"/>
      <c r="Z147" s="412"/>
      <c r="AA147" s="412"/>
      <c r="AB147" s="412"/>
      <c r="AC147" s="412"/>
      <c r="AD147" s="412"/>
      <c r="AE147" s="412"/>
    </row>
    <row r="148" spans="6:31" ht="16.5" customHeight="1">
      <c r="F148" s="412"/>
      <c r="G148" s="412"/>
      <c r="H148" s="412"/>
      <c r="I148" s="412"/>
      <c r="J148" s="412"/>
      <c r="K148" s="412"/>
      <c r="L148" s="412"/>
      <c r="M148" s="412"/>
      <c r="N148" s="412"/>
      <c r="O148" s="412"/>
      <c r="P148" s="412"/>
      <c r="Q148" s="412"/>
      <c r="R148" s="412"/>
      <c r="S148" s="412"/>
      <c r="T148" s="412"/>
      <c r="U148" s="412"/>
      <c r="V148" s="412"/>
      <c r="W148" s="412"/>
      <c r="X148" s="412"/>
      <c r="Y148" s="412"/>
      <c r="Z148" s="412"/>
      <c r="AA148" s="412"/>
      <c r="AB148" s="412"/>
      <c r="AC148" s="412"/>
      <c r="AD148" s="412"/>
      <c r="AE148" s="412"/>
    </row>
    <row r="149" spans="6:31" ht="16.5" customHeight="1">
      <c r="F149" s="412"/>
      <c r="G149" s="412"/>
      <c r="H149" s="412"/>
      <c r="I149" s="412"/>
      <c r="J149" s="412"/>
      <c r="K149" s="412"/>
      <c r="L149" s="412"/>
      <c r="M149" s="412"/>
      <c r="N149" s="412"/>
      <c r="O149" s="412"/>
      <c r="P149" s="412"/>
      <c r="Q149" s="412"/>
      <c r="R149" s="412"/>
      <c r="S149" s="412"/>
      <c r="T149" s="412"/>
      <c r="U149" s="412"/>
      <c r="V149" s="412"/>
      <c r="W149" s="412"/>
      <c r="X149" s="412"/>
      <c r="Y149" s="412"/>
      <c r="Z149" s="412"/>
      <c r="AA149" s="412"/>
      <c r="AB149" s="412"/>
      <c r="AC149" s="412"/>
      <c r="AD149" s="412"/>
      <c r="AE149" s="412"/>
    </row>
    <row r="150" spans="6:31" ht="16.5" customHeight="1">
      <c r="F150" s="412"/>
      <c r="G150" s="412"/>
      <c r="H150" s="412"/>
      <c r="I150" s="412"/>
      <c r="J150" s="412"/>
      <c r="K150" s="412"/>
      <c r="L150" s="412"/>
      <c r="M150" s="412"/>
      <c r="N150" s="412"/>
      <c r="O150" s="412"/>
      <c r="P150" s="412"/>
      <c r="Q150" s="412"/>
      <c r="R150" s="412"/>
      <c r="S150" s="412"/>
      <c r="T150" s="412"/>
      <c r="U150" s="412"/>
      <c r="V150" s="412"/>
      <c r="W150" s="412"/>
      <c r="X150" s="412"/>
      <c r="Y150" s="412"/>
      <c r="Z150" s="412"/>
      <c r="AA150" s="412"/>
      <c r="AB150" s="412"/>
      <c r="AC150" s="412"/>
      <c r="AD150" s="412"/>
      <c r="AE150" s="412"/>
    </row>
    <row r="151" spans="6:31" ht="16.5" customHeight="1">
      <c r="F151" s="412"/>
      <c r="G151" s="412"/>
      <c r="H151" s="412"/>
      <c r="I151" s="412"/>
      <c r="J151" s="412"/>
      <c r="K151" s="412"/>
      <c r="L151" s="412"/>
      <c r="M151" s="412"/>
      <c r="N151" s="412"/>
      <c r="O151" s="412"/>
      <c r="P151" s="412"/>
      <c r="Q151" s="412"/>
      <c r="R151" s="412"/>
      <c r="S151" s="412"/>
      <c r="T151" s="412"/>
      <c r="U151" s="412"/>
      <c r="V151" s="412"/>
      <c r="W151" s="412"/>
      <c r="X151" s="412"/>
      <c r="Y151" s="412"/>
      <c r="Z151" s="412"/>
      <c r="AA151" s="412"/>
      <c r="AB151" s="412"/>
      <c r="AC151" s="412"/>
      <c r="AD151" s="412"/>
      <c r="AE151" s="412"/>
    </row>
    <row r="152" spans="6:31" ht="16.5" customHeight="1">
      <c r="F152" s="412"/>
      <c r="G152" s="412"/>
      <c r="H152" s="412"/>
      <c r="I152" s="412"/>
      <c r="J152" s="412"/>
      <c r="K152" s="412"/>
      <c r="L152" s="412"/>
      <c r="M152" s="412"/>
      <c r="N152" s="412"/>
      <c r="O152" s="412"/>
      <c r="P152" s="412"/>
      <c r="Q152" s="412"/>
      <c r="R152" s="412"/>
      <c r="S152" s="412"/>
      <c r="T152" s="412"/>
      <c r="U152" s="412"/>
      <c r="V152" s="412"/>
      <c r="W152" s="412"/>
      <c r="X152" s="412"/>
      <c r="Y152" s="412"/>
      <c r="Z152" s="412"/>
      <c r="AA152" s="412"/>
      <c r="AB152" s="412"/>
      <c r="AC152" s="412"/>
      <c r="AD152" s="412"/>
      <c r="AE152" s="412"/>
    </row>
    <row r="153" ht="16.5" customHeight="1">
      <c r="AE153" s="412"/>
    </row>
    <row r="154" ht="16.5" customHeight="1">
      <c r="AE154" s="412"/>
    </row>
    <row r="155" ht="16.5" customHeight="1">
      <c r="AE155" s="412"/>
    </row>
    <row r="156" ht="16.5" customHeight="1">
      <c r="AE156" s="412"/>
    </row>
    <row r="157" ht="16.5" customHeight="1"/>
    <row r="158" ht="16.5" customHeight="1"/>
    <row r="159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6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1" width="7.28125" style="649" customWidth="1"/>
    <col min="2" max="2" width="4.140625" style="649" customWidth="1"/>
    <col min="3" max="3" width="5.421875" style="649" customWidth="1"/>
    <col min="4" max="4" width="15.00390625" style="649" customWidth="1"/>
    <col min="5" max="5" width="14.421875" style="649" customWidth="1"/>
    <col min="6" max="6" width="22.28125" style="649" customWidth="1"/>
    <col min="7" max="7" width="20.28125" style="649" customWidth="1"/>
    <col min="8" max="8" width="9.7109375" style="649" customWidth="1"/>
    <col min="9" max="9" width="12.28125" style="649" customWidth="1"/>
    <col min="10" max="10" width="7.57421875" style="649" hidden="1" customWidth="1"/>
    <col min="11" max="11" width="16.421875" style="649" customWidth="1"/>
    <col min="12" max="12" width="16.7109375" style="649" customWidth="1"/>
    <col min="13" max="16" width="9.7109375" style="649" customWidth="1"/>
    <col min="17" max="17" width="5.8515625" style="649" customWidth="1"/>
    <col min="18" max="18" width="6.7109375" style="649" bestFit="1" customWidth="1"/>
    <col min="19" max="19" width="4.140625" style="649" hidden="1" customWidth="1"/>
    <col min="20" max="21" width="12.28125" style="649" hidden="1" customWidth="1"/>
    <col min="22" max="25" width="6.421875" style="649" hidden="1" customWidth="1"/>
    <col min="26" max="26" width="12.28125" style="649" hidden="1" customWidth="1"/>
    <col min="27" max="27" width="13.421875" style="649" hidden="1" customWidth="1"/>
    <col min="28" max="28" width="8.7109375" style="649" customWidth="1"/>
    <col min="29" max="29" width="10.421875" style="649" hidden="1" customWidth="1"/>
    <col min="30" max="30" width="15.7109375" style="649" customWidth="1"/>
    <col min="31" max="31" width="4.140625" style="649" customWidth="1"/>
    <col min="32" max="16384" width="11.421875" style="649" customWidth="1"/>
  </cols>
  <sheetData>
    <row r="1" spans="2:31" s="594" customFormat="1" ht="26.25"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595"/>
      <c r="X1" s="595"/>
      <c r="Y1" s="595"/>
      <c r="Z1" s="595"/>
      <c r="AA1" s="595"/>
      <c r="AB1" s="595"/>
      <c r="AC1" s="595"/>
      <c r="AD1" s="595"/>
      <c r="AE1" s="596"/>
    </row>
    <row r="2" spans="1:31" s="594" customFormat="1" ht="26.25">
      <c r="A2" s="595"/>
      <c r="B2" s="597" t="str">
        <f>'TOT-0614'!B2</f>
        <v>ANEXO I al Memorándum D.T.E.E. N°         347   / 2015</v>
      </c>
      <c r="C2" s="597"/>
      <c r="D2" s="597"/>
      <c r="E2" s="597"/>
      <c r="F2" s="597"/>
      <c r="G2" s="598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  <c r="U2" s="597"/>
      <c r="V2" s="597"/>
      <c r="W2" s="597"/>
      <c r="X2" s="597"/>
      <c r="Y2" s="597"/>
      <c r="Z2" s="597"/>
      <c r="AA2" s="597"/>
      <c r="AB2" s="597"/>
      <c r="AC2" s="597"/>
      <c r="AD2" s="597"/>
      <c r="AE2" s="597"/>
    </row>
    <row r="3" spans="1:31" s="600" customFormat="1" ht="17.25" customHeight="1">
      <c r="A3" s="5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599"/>
      <c r="AD3" s="599"/>
      <c r="AE3" s="599"/>
    </row>
    <row r="4" spans="1:31" s="604" customFormat="1" ht="11.25">
      <c r="A4" s="601" t="s">
        <v>55</v>
      </c>
      <c r="B4" s="602"/>
      <c r="C4" s="602"/>
      <c r="D4" s="602"/>
      <c r="E4" s="603"/>
      <c r="F4" s="603"/>
      <c r="G4" s="603"/>
      <c r="H4" s="603"/>
      <c r="I4" s="603"/>
      <c r="J4" s="603"/>
      <c r="K4" s="603"/>
      <c r="L4" s="603"/>
      <c r="M4" s="603"/>
      <c r="N4" s="603"/>
      <c r="O4" s="603"/>
      <c r="P4" s="603"/>
      <c r="Q4" s="603"/>
      <c r="R4" s="603"/>
      <c r="S4" s="603"/>
      <c r="T4" s="603"/>
      <c r="U4" s="603"/>
      <c r="V4" s="603"/>
      <c r="W4" s="603"/>
      <c r="X4" s="603"/>
      <c r="Y4" s="603"/>
      <c r="Z4" s="603"/>
      <c r="AA4" s="603"/>
      <c r="AB4" s="603"/>
      <c r="AC4" s="603"/>
      <c r="AD4" s="603"/>
      <c r="AE4" s="603"/>
    </row>
    <row r="5" spans="1:31" s="604" customFormat="1" ht="11.25">
      <c r="A5" s="601" t="s">
        <v>3</v>
      </c>
      <c r="B5" s="602"/>
      <c r="C5" s="602"/>
      <c r="D5" s="602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</row>
    <row r="6" spans="1:31" s="600" customFormat="1" ht="13.5" thickBot="1">
      <c r="A6" s="599"/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  <c r="R6" s="599"/>
      <c r="S6" s="599"/>
      <c r="T6" s="599"/>
      <c r="U6" s="599"/>
      <c r="V6" s="599"/>
      <c r="W6" s="599"/>
      <c r="X6" s="599"/>
      <c r="Y6" s="599"/>
      <c r="Z6" s="599"/>
      <c r="AA6" s="599"/>
      <c r="AB6" s="599"/>
      <c r="AC6" s="599"/>
      <c r="AD6" s="599"/>
      <c r="AE6" s="599"/>
    </row>
    <row r="7" spans="1:31" s="600" customFormat="1" ht="13.5" thickTop="1">
      <c r="A7" s="599"/>
      <c r="B7" s="605"/>
      <c r="C7" s="606"/>
      <c r="D7" s="606"/>
      <c r="E7" s="606"/>
      <c r="F7" s="606"/>
      <c r="G7" s="606"/>
      <c r="H7" s="606"/>
      <c r="I7" s="606"/>
      <c r="J7" s="606"/>
      <c r="K7" s="606"/>
      <c r="L7" s="606"/>
      <c r="M7" s="606"/>
      <c r="N7" s="606"/>
      <c r="O7" s="606"/>
      <c r="P7" s="606"/>
      <c r="Q7" s="606"/>
      <c r="R7" s="606"/>
      <c r="S7" s="606"/>
      <c r="T7" s="606"/>
      <c r="U7" s="606"/>
      <c r="V7" s="606"/>
      <c r="W7" s="606"/>
      <c r="X7" s="606"/>
      <c r="Y7" s="606"/>
      <c r="Z7" s="606"/>
      <c r="AA7" s="606"/>
      <c r="AB7" s="606"/>
      <c r="AC7" s="606"/>
      <c r="AD7" s="606"/>
      <c r="AE7" s="607"/>
    </row>
    <row r="8" spans="2:35" s="608" customFormat="1" ht="21">
      <c r="B8" s="609"/>
      <c r="C8" s="610"/>
      <c r="D8" s="610"/>
      <c r="E8" s="610"/>
      <c r="F8" s="611" t="s">
        <v>24</v>
      </c>
      <c r="G8" s="610"/>
      <c r="H8" s="610"/>
      <c r="I8" s="610"/>
      <c r="J8" s="610"/>
      <c r="Q8" s="610"/>
      <c r="R8" s="610"/>
      <c r="S8" s="612"/>
      <c r="T8" s="612"/>
      <c r="U8" s="612"/>
      <c r="V8" s="610"/>
      <c r="W8" s="610"/>
      <c r="X8" s="610"/>
      <c r="Y8" s="610"/>
      <c r="Z8" s="610"/>
      <c r="AA8" s="610"/>
      <c r="AB8" s="610"/>
      <c r="AC8" s="610"/>
      <c r="AD8" s="613"/>
      <c r="AE8" s="614"/>
      <c r="AF8" s="610"/>
      <c r="AG8" s="610"/>
      <c r="AH8" s="613"/>
      <c r="AI8" s="613"/>
    </row>
    <row r="9" spans="1:31" s="600" customFormat="1" ht="12.75">
      <c r="A9" s="599"/>
      <c r="B9" s="615"/>
      <c r="C9" s="616"/>
      <c r="D9" s="616"/>
      <c r="E9" s="599"/>
      <c r="F9" s="616"/>
      <c r="G9" s="617"/>
      <c r="H9" s="599"/>
      <c r="I9" s="616"/>
      <c r="J9" s="599"/>
      <c r="K9" s="599"/>
      <c r="L9" s="599"/>
      <c r="M9" s="599"/>
      <c r="N9" s="599"/>
      <c r="O9" s="599"/>
      <c r="P9" s="599"/>
      <c r="Q9" s="599"/>
      <c r="R9" s="599"/>
      <c r="S9" s="599"/>
      <c r="T9" s="616"/>
      <c r="U9" s="616"/>
      <c r="V9" s="616"/>
      <c r="W9" s="616"/>
      <c r="X9" s="616"/>
      <c r="Y9" s="616"/>
      <c r="Z9" s="616"/>
      <c r="AA9" s="616"/>
      <c r="AB9" s="616"/>
      <c r="AC9" s="616"/>
      <c r="AD9" s="599"/>
      <c r="AE9" s="618"/>
    </row>
    <row r="10" spans="2:35" s="619" customFormat="1" ht="33" customHeight="1">
      <c r="B10" s="620"/>
      <c r="C10" s="621"/>
      <c r="D10" s="621"/>
      <c r="E10" s="621"/>
      <c r="F10" s="622" t="s">
        <v>56</v>
      </c>
      <c r="G10" s="621"/>
      <c r="H10" s="621"/>
      <c r="I10" s="621"/>
      <c r="J10" s="621"/>
      <c r="Q10" s="621"/>
      <c r="R10" s="621"/>
      <c r="S10" s="623"/>
      <c r="T10" s="623"/>
      <c r="U10" s="623"/>
      <c r="V10" s="621"/>
      <c r="W10" s="621"/>
      <c r="X10" s="621"/>
      <c r="Y10" s="621"/>
      <c r="Z10" s="621"/>
      <c r="AA10" s="621"/>
      <c r="AB10" s="621"/>
      <c r="AC10" s="621"/>
      <c r="AD10" s="624"/>
      <c r="AE10" s="625"/>
      <c r="AF10" s="621"/>
      <c r="AG10" s="621"/>
      <c r="AH10" s="624"/>
      <c r="AI10" s="624"/>
    </row>
    <row r="11" spans="1:31" s="632" customFormat="1" ht="33" customHeight="1">
      <c r="A11" s="626"/>
      <c r="B11" s="627"/>
      <c r="C11" s="628"/>
      <c r="D11" s="628"/>
      <c r="E11" s="626"/>
      <c r="F11" s="629" t="s">
        <v>387</v>
      </c>
      <c r="G11" s="628"/>
      <c r="H11" s="628"/>
      <c r="I11" s="630"/>
      <c r="J11" s="628"/>
      <c r="K11" s="628"/>
      <c r="L11" s="628"/>
      <c r="M11" s="628"/>
      <c r="N11" s="628"/>
      <c r="O11" s="626"/>
      <c r="P11" s="626"/>
      <c r="Q11" s="626"/>
      <c r="R11" s="626"/>
      <c r="S11" s="626"/>
      <c r="T11" s="628"/>
      <c r="U11" s="628"/>
      <c r="V11" s="628"/>
      <c r="W11" s="628"/>
      <c r="X11" s="628"/>
      <c r="Y11" s="628"/>
      <c r="Z11" s="628"/>
      <c r="AA11" s="628"/>
      <c r="AB11" s="628"/>
      <c r="AC11" s="628"/>
      <c r="AD11" s="626"/>
      <c r="AE11" s="631"/>
    </row>
    <row r="12" spans="1:31" s="640" customFormat="1" ht="19.5">
      <c r="A12" s="633"/>
      <c r="B12" s="634" t="str">
        <f>'TOT-0614'!B14</f>
        <v>Desde el 01 al 30 de junio de 2014</v>
      </c>
      <c r="C12" s="635"/>
      <c r="D12" s="635"/>
      <c r="E12" s="636"/>
      <c r="F12" s="637"/>
      <c r="G12" s="637"/>
      <c r="H12" s="637"/>
      <c r="I12" s="637"/>
      <c r="J12" s="637"/>
      <c r="K12" s="637"/>
      <c r="L12" s="637"/>
      <c r="M12" s="637"/>
      <c r="N12" s="637"/>
      <c r="O12" s="636"/>
      <c r="P12" s="636"/>
      <c r="Q12" s="636"/>
      <c r="R12" s="636"/>
      <c r="S12" s="636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8"/>
      <c r="AE12" s="639"/>
    </row>
    <row r="13" spans="1:31" s="600" customFormat="1" ht="12.75">
      <c r="A13" s="599"/>
      <c r="B13" s="615"/>
      <c r="C13" s="616"/>
      <c r="D13" s="616"/>
      <c r="E13" s="599"/>
      <c r="F13" s="616"/>
      <c r="G13" s="616"/>
      <c r="H13" s="616"/>
      <c r="I13" s="641"/>
      <c r="J13" s="616"/>
      <c r="K13" s="616"/>
      <c r="L13" s="616"/>
      <c r="M13" s="616"/>
      <c r="N13" s="616"/>
      <c r="O13" s="599"/>
      <c r="P13" s="599"/>
      <c r="Q13" s="599"/>
      <c r="R13" s="599"/>
      <c r="S13" s="599"/>
      <c r="T13" s="616"/>
      <c r="U13" s="616"/>
      <c r="V13" s="616"/>
      <c r="W13" s="616"/>
      <c r="X13" s="616"/>
      <c r="Y13" s="616"/>
      <c r="Z13" s="616"/>
      <c r="AA13" s="616"/>
      <c r="AB13" s="616"/>
      <c r="AC13" s="616"/>
      <c r="AD13" s="599"/>
      <c r="AE13" s="618"/>
    </row>
    <row r="14" spans="1:31" s="600" customFormat="1" ht="16.5" customHeight="1" thickBot="1">
      <c r="A14" s="599"/>
      <c r="B14" s="615"/>
      <c r="C14" s="616"/>
      <c r="D14" s="616"/>
      <c r="E14" s="599"/>
      <c r="F14" s="642"/>
      <c r="G14" s="643"/>
      <c r="H14" s="644"/>
      <c r="I14" s="641"/>
      <c r="J14" s="616"/>
      <c r="K14" s="616"/>
      <c r="L14" s="616"/>
      <c r="M14" s="616"/>
      <c r="N14" s="2772"/>
      <c r="O14" s="2772"/>
      <c r="P14" s="2772"/>
      <c r="Q14" s="2772"/>
      <c r="R14" s="2772"/>
      <c r="S14" s="645"/>
      <c r="T14" s="645"/>
      <c r="U14" s="645"/>
      <c r="V14" s="616"/>
      <c r="W14" s="616"/>
      <c r="X14" s="616"/>
      <c r="Y14" s="616"/>
      <c r="Z14" s="616"/>
      <c r="AA14" s="616"/>
      <c r="AB14" s="616"/>
      <c r="AC14" s="616"/>
      <c r="AD14" s="599"/>
      <c r="AE14" s="618"/>
    </row>
    <row r="15" spans="1:31" s="600" customFormat="1" ht="16.5" customHeight="1" thickBot="1" thickTop="1">
      <c r="A15" s="599"/>
      <c r="B15" s="615"/>
      <c r="C15" s="616"/>
      <c r="D15" s="616"/>
      <c r="E15" s="599"/>
      <c r="F15" s="646" t="s">
        <v>388</v>
      </c>
      <c r="G15" s="647"/>
      <c r="H15" s="648">
        <v>1.077</v>
      </c>
      <c r="I15" s="649"/>
      <c r="J15" s="599"/>
      <c r="K15" s="650"/>
      <c r="L15" s="599"/>
      <c r="M15" s="599"/>
      <c r="N15" s="651"/>
      <c r="O15" s="651"/>
      <c r="P15" s="651"/>
      <c r="Q15" s="651"/>
      <c r="R15" s="652"/>
      <c r="S15" s="645"/>
      <c r="T15" s="645"/>
      <c r="U15" s="645"/>
      <c r="V15" s="616"/>
      <c r="W15" s="616"/>
      <c r="X15" s="616"/>
      <c r="Y15" s="616"/>
      <c r="Z15" s="616"/>
      <c r="AA15" s="616"/>
      <c r="AB15" s="616"/>
      <c r="AC15" s="616"/>
      <c r="AD15" s="599"/>
      <c r="AE15" s="618"/>
    </row>
    <row r="16" spans="1:31" s="600" customFormat="1" ht="16.5" customHeight="1" thickBot="1" thickTop="1">
      <c r="A16" s="599"/>
      <c r="B16" s="615"/>
      <c r="C16" s="616"/>
      <c r="D16" s="616"/>
      <c r="E16" s="599"/>
      <c r="F16" s="653" t="s">
        <v>59</v>
      </c>
      <c r="G16" s="654"/>
      <c r="H16" s="655">
        <v>200</v>
      </c>
      <c r="I16" s="649"/>
      <c r="J16" s="616"/>
      <c r="L16" s="656"/>
      <c r="M16" s="616"/>
      <c r="N16" s="651"/>
      <c r="O16" s="651"/>
      <c r="P16" s="651"/>
      <c r="Q16" s="651"/>
      <c r="R16" s="652"/>
      <c r="S16" s="645"/>
      <c r="T16" s="645"/>
      <c r="U16" s="645"/>
      <c r="V16" s="616"/>
      <c r="W16" s="657"/>
      <c r="X16" s="657"/>
      <c r="Y16" s="657"/>
      <c r="Z16" s="657"/>
      <c r="AA16" s="657"/>
      <c r="AB16" s="657"/>
      <c r="AC16" s="599"/>
      <c r="AD16" s="599"/>
      <c r="AE16" s="618"/>
    </row>
    <row r="17" spans="1:31" s="600" customFormat="1" ht="16.5" customHeight="1" thickTop="1">
      <c r="A17" s="599"/>
      <c r="B17" s="615"/>
      <c r="C17" s="616"/>
      <c r="D17" s="616"/>
      <c r="E17" s="599"/>
      <c r="F17" s="658"/>
      <c r="G17" s="659"/>
      <c r="H17" s="660"/>
      <c r="I17" s="649"/>
      <c r="J17" s="616"/>
      <c r="K17" s="650"/>
      <c r="L17" s="656"/>
      <c r="M17" s="616"/>
      <c r="N17" s="651"/>
      <c r="O17" s="651"/>
      <c r="P17" s="651"/>
      <c r="Q17" s="651"/>
      <c r="R17" s="652"/>
      <c r="S17" s="645"/>
      <c r="T17" s="645"/>
      <c r="U17" s="645"/>
      <c r="V17" s="616"/>
      <c r="W17" s="657"/>
      <c r="X17" s="657"/>
      <c r="Y17" s="657"/>
      <c r="Z17" s="657"/>
      <c r="AA17" s="657"/>
      <c r="AB17" s="657"/>
      <c r="AC17" s="599"/>
      <c r="AD17" s="599"/>
      <c r="AE17" s="618"/>
    </row>
    <row r="18" spans="1:31" s="600" customFormat="1" ht="16.5" customHeight="1" thickBot="1">
      <c r="A18" s="599"/>
      <c r="B18" s="615"/>
      <c r="C18" s="661">
        <v>3</v>
      </c>
      <c r="D18" s="661">
        <v>4</v>
      </c>
      <c r="E18" s="661">
        <v>5</v>
      </c>
      <c r="F18" s="661">
        <v>6</v>
      </c>
      <c r="G18" s="661">
        <v>7</v>
      </c>
      <c r="H18" s="661">
        <v>8</v>
      </c>
      <c r="I18" s="661">
        <v>9</v>
      </c>
      <c r="J18" s="661">
        <v>10</v>
      </c>
      <c r="K18" s="661">
        <v>11</v>
      </c>
      <c r="L18" s="661">
        <v>12</v>
      </c>
      <c r="M18" s="661">
        <v>13</v>
      </c>
      <c r="N18" s="661">
        <v>14</v>
      </c>
      <c r="O18" s="661">
        <v>15</v>
      </c>
      <c r="P18" s="661">
        <v>16</v>
      </c>
      <c r="Q18" s="661">
        <v>17</v>
      </c>
      <c r="R18" s="661">
        <v>18</v>
      </c>
      <c r="S18" s="661">
        <v>19</v>
      </c>
      <c r="T18" s="661">
        <v>20</v>
      </c>
      <c r="U18" s="661">
        <v>21</v>
      </c>
      <c r="V18" s="661">
        <v>22</v>
      </c>
      <c r="W18" s="661">
        <v>23</v>
      </c>
      <c r="X18" s="661">
        <v>24</v>
      </c>
      <c r="Y18" s="661">
        <v>25</v>
      </c>
      <c r="Z18" s="661">
        <v>26</v>
      </c>
      <c r="AA18" s="661">
        <v>27</v>
      </c>
      <c r="AB18" s="661">
        <v>28</v>
      </c>
      <c r="AC18" s="661">
        <v>29</v>
      </c>
      <c r="AD18" s="661">
        <v>30</v>
      </c>
      <c r="AE18" s="618"/>
    </row>
    <row r="19" spans="1:31" s="600" customFormat="1" ht="33.75" customHeight="1" thickBot="1" thickTop="1">
      <c r="A19" s="599"/>
      <c r="B19" s="615"/>
      <c r="C19" s="662" t="s">
        <v>29</v>
      </c>
      <c r="D19" s="663" t="s">
        <v>30</v>
      </c>
      <c r="E19" s="663" t="s">
        <v>31</v>
      </c>
      <c r="F19" s="664" t="s">
        <v>60</v>
      </c>
      <c r="G19" s="665" t="s">
        <v>61</v>
      </c>
      <c r="H19" s="666" t="s">
        <v>62</v>
      </c>
      <c r="I19" s="667" t="s">
        <v>32</v>
      </c>
      <c r="J19" s="668" t="s">
        <v>36</v>
      </c>
      <c r="K19" s="665" t="s">
        <v>37</v>
      </c>
      <c r="L19" s="665" t="s">
        <v>38</v>
      </c>
      <c r="M19" s="664" t="s">
        <v>63</v>
      </c>
      <c r="N19" s="664" t="s">
        <v>40</v>
      </c>
      <c r="O19" s="669" t="s">
        <v>316</v>
      </c>
      <c r="P19" s="669" t="s">
        <v>41</v>
      </c>
      <c r="Q19" s="670" t="s">
        <v>43</v>
      </c>
      <c r="R19" s="670" t="s">
        <v>64</v>
      </c>
      <c r="S19" s="671" t="s">
        <v>35</v>
      </c>
      <c r="T19" s="672" t="s">
        <v>44</v>
      </c>
      <c r="U19" s="673" t="s">
        <v>45</v>
      </c>
      <c r="V19" s="674" t="s">
        <v>65</v>
      </c>
      <c r="W19" s="675"/>
      <c r="X19" s="676" t="s">
        <v>66</v>
      </c>
      <c r="Y19" s="677"/>
      <c r="Z19" s="678" t="s">
        <v>48</v>
      </c>
      <c r="AA19" s="679" t="s">
        <v>49</v>
      </c>
      <c r="AB19" s="680" t="s">
        <v>50</v>
      </c>
      <c r="AC19" s="681" t="s">
        <v>389</v>
      </c>
      <c r="AD19" s="667" t="s">
        <v>51</v>
      </c>
      <c r="AE19" s="618"/>
    </row>
    <row r="20" spans="1:31" s="600" customFormat="1" ht="16.5" customHeight="1" thickTop="1">
      <c r="A20" s="599"/>
      <c r="B20" s="615"/>
      <c r="C20" s="682"/>
      <c r="D20" s="682"/>
      <c r="E20" s="682"/>
      <c r="F20" s="683"/>
      <c r="G20" s="683"/>
      <c r="H20" s="683"/>
      <c r="I20" s="684"/>
      <c r="J20" s="685"/>
      <c r="K20" s="683"/>
      <c r="L20" s="683"/>
      <c r="M20" s="683"/>
      <c r="N20" s="683"/>
      <c r="O20" s="683"/>
      <c r="P20" s="686"/>
      <c r="Q20" s="687"/>
      <c r="R20" s="683"/>
      <c r="S20" s="688"/>
      <c r="T20" s="689"/>
      <c r="U20" s="690"/>
      <c r="V20" s="691"/>
      <c r="W20" s="692"/>
      <c r="X20" s="693"/>
      <c r="Y20" s="694"/>
      <c r="Z20" s="695"/>
      <c r="AA20" s="696"/>
      <c r="AB20" s="687"/>
      <c r="AC20" s="697"/>
      <c r="AD20" s="698"/>
      <c r="AE20" s="618"/>
    </row>
    <row r="21" spans="1:31" s="600" customFormat="1" ht="16.5" customHeight="1">
      <c r="A21" s="599"/>
      <c r="B21" s="615"/>
      <c r="C21" s="699"/>
      <c r="D21" s="699"/>
      <c r="E21" s="699"/>
      <c r="F21" s="699"/>
      <c r="G21" s="699"/>
      <c r="H21" s="699"/>
      <c r="I21" s="700"/>
      <c r="J21" s="701"/>
      <c r="K21" s="699"/>
      <c r="L21" s="699"/>
      <c r="M21" s="699"/>
      <c r="N21" s="699"/>
      <c r="O21" s="699"/>
      <c r="P21" s="702"/>
      <c r="Q21" s="703"/>
      <c r="R21" s="699"/>
      <c r="S21" s="704"/>
      <c r="T21" s="705"/>
      <c r="U21" s="706"/>
      <c r="V21" s="707"/>
      <c r="W21" s="708"/>
      <c r="X21" s="709"/>
      <c r="Y21" s="710"/>
      <c r="Z21" s="711"/>
      <c r="AA21" s="712"/>
      <c r="AB21" s="703"/>
      <c r="AC21" s="713"/>
      <c r="AD21" s="714"/>
      <c r="AE21" s="618"/>
    </row>
    <row r="22" spans="1:31" s="600" customFormat="1" ht="16.5" customHeight="1">
      <c r="A22" s="599"/>
      <c r="B22" s="615"/>
      <c r="C22" s="699">
        <v>21</v>
      </c>
      <c r="D22" s="699">
        <v>275626</v>
      </c>
      <c r="E22" s="715">
        <v>3754</v>
      </c>
      <c r="F22" s="716" t="s">
        <v>390</v>
      </c>
      <c r="G22" s="717" t="s">
        <v>344</v>
      </c>
      <c r="H22" s="718">
        <v>150</v>
      </c>
      <c r="I22" s="719" t="s">
        <v>144</v>
      </c>
      <c r="J22" s="720">
        <f>H22*$H$15</f>
        <v>161.54999999999998</v>
      </c>
      <c r="K22" s="721">
        <v>41796.49375</v>
      </c>
      <c r="L22" s="721">
        <v>41796.540972222225</v>
      </c>
      <c r="M22" s="722">
        <f aca="true" t="shared" si="0" ref="M22:M41">IF(F22="","",(L22-K22)*24)</f>
        <v>1.133333333360497</v>
      </c>
      <c r="N22" s="723">
        <f aca="true" t="shared" si="1" ref="N22:N41">IF(F22="","",ROUND((L22-K22)*24*60,0))</f>
        <v>68</v>
      </c>
      <c r="O22" s="724" t="s">
        <v>332</v>
      </c>
      <c r="P22" s="725" t="str">
        <f aca="true" t="shared" si="2" ref="P22:P41">IF(F22="","","--")</f>
        <v>--</v>
      </c>
      <c r="Q22" s="726" t="str">
        <f aca="true" t="shared" si="3" ref="Q22:Q41">IF(F22="","",IF(OR(O22="P",O22="RP"),"--","NO"))</f>
        <v>--</v>
      </c>
      <c r="R22" s="727" t="s">
        <v>391</v>
      </c>
      <c r="S22" s="704">
        <f aca="true" t="shared" si="4" ref="S22:S41">$H$16*IF(OR(O22="P",O22="RP"),0.1,1)*IF(R22="SI",1,0.1)</f>
        <v>2</v>
      </c>
      <c r="T22" s="728">
        <f aca="true" t="shared" si="5" ref="T22:T41">IF(O22="P",J22*S22*ROUND(N22/60,2),"--")</f>
        <v>365.10299999999995</v>
      </c>
      <c r="U22" s="729" t="str">
        <f aca="true" t="shared" si="6" ref="U22:U41">IF(O22="RP",J22*S22*P22/100*ROUND(N22/60,2),"--")</f>
        <v>--</v>
      </c>
      <c r="V22" s="730" t="str">
        <f aca="true" t="shared" si="7" ref="V22:V41">IF(AND(O22="F",Q22="NO"),J22*S22,"--")</f>
        <v>--</v>
      </c>
      <c r="W22" s="731" t="str">
        <f aca="true" t="shared" si="8" ref="W22:W41">IF(O22="F",J22*S22*ROUND(N22/60,2),"--")</f>
        <v>--</v>
      </c>
      <c r="X22" s="732" t="str">
        <f aca="true" t="shared" si="9" ref="X22:X41">IF(AND(O22="R",Q22="NO"),J22*S22*P22/100,"--")</f>
        <v>--</v>
      </c>
      <c r="Y22" s="733" t="str">
        <f aca="true" t="shared" si="10" ref="Y22:Y41">IF(O22="R",J22*S22*P22/100*ROUND(N22/60,2),"--")</f>
        <v>--</v>
      </c>
      <c r="Z22" s="734" t="str">
        <f aca="true" t="shared" si="11" ref="Z22:Z41">IF(O22="RF",J22*S22*ROUND(N22/60,2),"--")</f>
        <v>--</v>
      </c>
      <c r="AA22" s="735" t="str">
        <f aca="true" t="shared" si="12" ref="AA22:AA41">IF(O22="RR",J22*S22*P22/100*ROUND(N22/60,2),"--")</f>
        <v>--</v>
      </c>
      <c r="AB22" s="736" t="str">
        <f aca="true" t="shared" si="13" ref="AB22:AB41">IF(F22="","","SI")</f>
        <v>SI</v>
      </c>
      <c r="AC22" s="737">
        <f aca="true" t="shared" si="14" ref="AC22:AC41">SUM(T22:AA22)*IF(AB22="SI",1,2)</f>
        <v>365.10299999999995</v>
      </c>
      <c r="AD22" s="738">
        <f>IF(F22="","",AC22*IF(AND(P22&lt;&gt;"--",O22="RF"),P22/100,1))</f>
        <v>365.10299999999995</v>
      </c>
      <c r="AE22" s="618"/>
    </row>
    <row r="23" spans="1:31" s="600" customFormat="1" ht="16.5" customHeight="1">
      <c r="A23" s="599"/>
      <c r="B23" s="615"/>
      <c r="C23" s="699">
        <v>22</v>
      </c>
      <c r="D23" s="699">
        <v>276063</v>
      </c>
      <c r="E23" s="715">
        <v>3754</v>
      </c>
      <c r="F23" s="716" t="s">
        <v>390</v>
      </c>
      <c r="G23" s="717" t="s">
        <v>344</v>
      </c>
      <c r="H23" s="718">
        <v>150</v>
      </c>
      <c r="I23" s="719" t="s">
        <v>144</v>
      </c>
      <c r="J23" s="720">
        <f>H23*$H$15</f>
        <v>161.54999999999998</v>
      </c>
      <c r="K23" s="739">
        <v>41810.44513888889</v>
      </c>
      <c r="L23" s="739">
        <v>41810.501388888886</v>
      </c>
      <c r="M23" s="722">
        <f>IF(F23="","",(L23-K23)*24)</f>
        <v>1.3499999998603016</v>
      </c>
      <c r="N23" s="723">
        <f>IF(F23="","",ROUND((L23-K23)*24*60,0))</f>
        <v>81</v>
      </c>
      <c r="O23" s="740" t="s">
        <v>332</v>
      </c>
      <c r="P23" s="725" t="str">
        <f>IF(F23="","","--")</f>
        <v>--</v>
      </c>
      <c r="Q23" s="726" t="str">
        <f>IF(F23="","",IF(OR(O23="P",O23="RP"),"--","NO"))</f>
        <v>--</v>
      </c>
      <c r="R23" s="727" t="s">
        <v>391</v>
      </c>
      <c r="S23" s="704">
        <f>$H$16*IF(OR(O23="P",O23="RP"),0.1,1)*IF(R23="SI",1,0.1)</f>
        <v>2</v>
      </c>
      <c r="T23" s="728">
        <f>IF(O23="P",J23*S23*ROUND(N23/60,2),"--")</f>
        <v>436.185</v>
      </c>
      <c r="U23" s="729" t="str">
        <f>IF(O23="RP",J23*S23*P23/100*ROUND(N23/60,2),"--")</f>
        <v>--</v>
      </c>
      <c r="V23" s="730" t="str">
        <f>IF(AND(O23="F",Q23="NO"),J23*S23,"--")</f>
        <v>--</v>
      </c>
      <c r="W23" s="731" t="str">
        <f>IF(O23="F",J23*S23*ROUND(N23/60,2),"--")</f>
        <v>--</v>
      </c>
      <c r="X23" s="732" t="str">
        <f>IF(AND(O23="R",Q23="NO"),J23*S23*P23/100,"--")</f>
        <v>--</v>
      </c>
      <c r="Y23" s="733" t="str">
        <f>IF(O23="R",J23*S23*P23/100*ROUND(N23/60,2),"--")</f>
        <v>--</v>
      </c>
      <c r="Z23" s="734" t="str">
        <f>IF(O23="RF",J23*S23*ROUND(N23/60,2),"--")</f>
        <v>--</v>
      </c>
      <c r="AA23" s="735" t="str">
        <f>IF(O23="RR",J23*S23*P23/100*ROUND(N23/60,2),"--")</f>
        <v>--</v>
      </c>
      <c r="AB23" s="736" t="str">
        <f>IF(F23="","","SI")</f>
        <v>SI</v>
      </c>
      <c r="AC23" s="737">
        <f>SUM(T23:AA23)*IF(AB23="SI",1,2)</f>
        <v>436.185</v>
      </c>
      <c r="AD23" s="738">
        <f>IF(F23="","",AC23*IF(AND(P23&lt;&gt;"--",O23="RF"),P23/100,1))</f>
        <v>436.185</v>
      </c>
      <c r="AE23" s="618"/>
    </row>
    <row r="24" spans="1:31" s="600" customFormat="1" ht="16.5" customHeight="1">
      <c r="A24" s="599"/>
      <c r="B24" s="615"/>
      <c r="C24" s="699"/>
      <c r="D24" s="699"/>
      <c r="E24" s="715"/>
      <c r="F24" s="716"/>
      <c r="G24" s="717"/>
      <c r="H24" s="718"/>
      <c r="I24" s="719"/>
      <c r="J24" s="720">
        <f aca="true" t="shared" si="15" ref="J24:J41">IF(F24="RINCÓN",H24*$H$15,H24*$H$14)</f>
        <v>0</v>
      </c>
      <c r="K24" s="739"/>
      <c r="L24" s="739"/>
      <c r="M24" s="722"/>
      <c r="N24" s="723"/>
      <c r="O24" s="740"/>
      <c r="P24" s="725"/>
      <c r="Q24" s="726"/>
      <c r="R24" s="727"/>
      <c r="S24" s="704">
        <f>$H$16*IF(OR(O24="P",O24="RP"),0.1,1)*IF(R24="SI",1,0.1)</f>
        <v>20</v>
      </c>
      <c r="T24" s="728" t="str">
        <f>IF(O24="P",J24*S24*ROUND(N24/60,2),"--")</f>
        <v>--</v>
      </c>
      <c r="U24" s="729" t="str">
        <f>IF(O24="RP",J24*S24*P24/100*ROUND(N24/60,2),"--")</f>
        <v>--</v>
      </c>
      <c r="V24" s="730" t="str">
        <f>IF(AND(O24="F",Q24="NO"),J24*S24,"--")</f>
        <v>--</v>
      </c>
      <c r="W24" s="731" t="str">
        <f>IF(O24="F",J24*S24*ROUND(N24/60,2),"--")</f>
        <v>--</v>
      </c>
      <c r="X24" s="732" t="str">
        <f>IF(AND(O24="R",Q24="NO"),J24*S24*P24/100,"--")</f>
        <v>--</v>
      </c>
      <c r="Y24" s="733" t="str">
        <f>IF(O24="R",J24*S24*P24/100*ROUND(N24/60,2),"--")</f>
        <v>--</v>
      </c>
      <c r="Z24" s="734" t="str">
        <f>IF(O24="RF",J24*S24*ROUND(N24/60,2),"--")</f>
        <v>--</v>
      </c>
      <c r="AA24" s="735" t="str">
        <f>IF(O24="RR",J24*S24*P24/100*ROUND(N24/60,2),"--")</f>
        <v>--</v>
      </c>
      <c r="AB24" s="736">
        <f>IF(F24="","","SI")</f>
      </c>
      <c r="AC24" s="737">
        <f>SUM(T24:AA24)*IF(AB24="SI",1,2)</f>
        <v>0</v>
      </c>
      <c r="AD24" s="738">
        <f>IF(F24="","",AC24*$L$16*IF(AND(P24&lt;&gt;"--",O24="RF"),P24/100,1))</f>
      </c>
      <c r="AE24" s="618"/>
    </row>
    <row r="25" spans="1:31" s="600" customFormat="1" ht="16.5" customHeight="1">
      <c r="A25" s="599"/>
      <c r="B25" s="615"/>
      <c r="C25" s="699"/>
      <c r="D25" s="699"/>
      <c r="E25" s="699"/>
      <c r="F25" s="716"/>
      <c r="G25" s="717"/>
      <c r="H25" s="718"/>
      <c r="I25" s="741"/>
      <c r="J25" s="720">
        <f t="shared" si="15"/>
        <v>0</v>
      </c>
      <c r="K25" s="739"/>
      <c r="L25" s="739"/>
      <c r="M25" s="722">
        <f t="shared" si="0"/>
      </c>
      <c r="N25" s="723">
        <f t="shared" si="1"/>
      </c>
      <c r="O25" s="740"/>
      <c r="P25" s="725">
        <f t="shared" si="2"/>
      </c>
      <c r="Q25" s="726">
        <f t="shared" si="3"/>
      </c>
      <c r="R25" s="727">
        <f aca="true" t="shared" si="16" ref="R25:R41">IF(F25="","","NO")</f>
      </c>
      <c r="S25" s="704">
        <f t="shared" si="4"/>
        <v>20</v>
      </c>
      <c r="T25" s="728" t="str">
        <f t="shared" si="5"/>
        <v>--</v>
      </c>
      <c r="U25" s="729" t="str">
        <f t="shared" si="6"/>
        <v>--</v>
      </c>
      <c r="V25" s="730" t="str">
        <f t="shared" si="7"/>
        <v>--</v>
      </c>
      <c r="W25" s="731" t="str">
        <f t="shared" si="8"/>
        <v>--</v>
      </c>
      <c r="X25" s="732" t="str">
        <f t="shared" si="9"/>
        <v>--</v>
      </c>
      <c r="Y25" s="733" t="str">
        <f t="shared" si="10"/>
        <v>--</v>
      </c>
      <c r="Z25" s="734" t="str">
        <f t="shared" si="11"/>
        <v>--</v>
      </c>
      <c r="AA25" s="735" t="str">
        <f t="shared" si="12"/>
        <v>--</v>
      </c>
      <c r="AB25" s="736">
        <f t="shared" si="13"/>
      </c>
      <c r="AC25" s="737">
        <f t="shared" si="14"/>
        <v>0</v>
      </c>
      <c r="AD25" s="738">
        <f aca="true" t="shared" si="17" ref="AD25:AD41">IF(F25="","",AC25*$L$16*IF(AND(P25&lt;&gt;"--",O25="RF"),P25/100,1))</f>
      </c>
      <c r="AE25" s="618"/>
    </row>
    <row r="26" spans="1:31" s="600" customFormat="1" ht="16.5" customHeight="1">
      <c r="A26" s="599"/>
      <c r="B26" s="615"/>
      <c r="C26" s="699"/>
      <c r="D26" s="699"/>
      <c r="E26" s="715"/>
      <c r="F26" s="716"/>
      <c r="G26" s="717"/>
      <c r="H26" s="718"/>
      <c r="I26" s="741"/>
      <c r="J26" s="720">
        <f t="shared" si="15"/>
        <v>0</v>
      </c>
      <c r="K26" s="739"/>
      <c r="L26" s="739"/>
      <c r="M26" s="722">
        <f t="shared" si="0"/>
      </c>
      <c r="N26" s="723">
        <f t="shared" si="1"/>
      </c>
      <c r="O26" s="740"/>
      <c r="P26" s="725">
        <f t="shared" si="2"/>
      </c>
      <c r="Q26" s="726">
        <f t="shared" si="3"/>
      </c>
      <c r="R26" s="727">
        <f t="shared" si="16"/>
      </c>
      <c r="S26" s="704">
        <f t="shared" si="4"/>
        <v>20</v>
      </c>
      <c r="T26" s="728" t="str">
        <f t="shared" si="5"/>
        <v>--</v>
      </c>
      <c r="U26" s="729" t="str">
        <f t="shared" si="6"/>
        <v>--</v>
      </c>
      <c r="V26" s="730" t="str">
        <f t="shared" si="7"/>
        <v>--</v>
      </c>
      <c r="W26" s="731" t="str">
        <f t="shared" si="8"/>
        <v>--</v>
      </c>
      <c r="X26" s="732" t="str">
        <f t="shared" si="9"/>
        <v>--</v>
      </c>
      <c r="Y26" s="733" t="str">
        <f t="shared" si="10"/>
        <v>--</v>
      </c>
      <c r="Z26" s="734" t="str">
        <f t="shared" si="11"/>
        <v>--</v>
      </c>
      <c r="AA26" s="735" t="str">
        <f t="shared" si="12"/>
        <v>--</v>
      </c>
      <c r="AB26" s="736">
        <f t="shared" si="13"/>
      </c>
      <c r="AC26" s="737">
        <f t="shared" si="14"/>
        <v>0</v>
      </c>
      <c r="AD26" s="738">
        <f t="shared" si="17"/>
      </c>
      <c r="AE26" s="618"/>
    </row>
    <row r="27" spans="1:31" s="600" customFormat="1" ht="16.5" customHeight="1">
      <c r="A27" s="599"/>
      <c r="B27" s="615"/>
      <c r="C27" s="699"/>
      <c r="D27" s="699"/>
      <c r="E27" s="699"/>
      <c r="F27" s="716"/>
      <c r="G27" s="717"/>
      <c r="H27" s="718"/>
      <c r="I27" s="741"/>
      <c r="J27" s="720">
        <f t="shared" si="15"/>
        <v>0</v>
      </c>
      <c r="K27" s="739"/>
      <c r="L27" s="739"/>
      <c r="M27" s="722">
        <f t="shared" si="0"/>
      </c>
      <c r="N27" s="723">
        <f t="shared" si="1"/>
      </c>
      <c r="O27" s="740"/>
      <c r="P27" s="725">
        <f t="shared" si="2"/>
      </c>
      <c r="Q27" s="726">
        <f t="shared" si="3"/>
      </c>
      <c r="R27" s="727">
        <f t="shared" si="16"/>
      </c>
      <c r="S27" s="704">
        <f t="shared" si="4"/>
        <v>20</v>
      </c>
      <c r="T27" s="728" t="str">
        <f t="shared" si="5"/>
        <v>--</v>
      </c>
      <c r="U27" s="729" t="str">
        <f t="shared" si="6"/>
        <v>--</v>
      </c>
      <c r="V27" s="730" t="str">
        <f t="shared" si="7"/>
        <v>--</v>
      </c>
      <c r="W27" s="731" t="str">
        <f t="shared" si="8"/>
        <v>--</v>
      </c>
      <c r="X27" s="732" t="str">
        <f t="shared" si="9"/>
        <v>--</v>
      </c>
      <c r="Y27" s="733" t="str">
        <f t="shared" si="10"/>
        <v>--</v>
      </c>
      <c r="Z27" s="734" t="str">
        <f t="shared" si="11"/>
        <v>--</v>
      </c>
      <c r="AA27" s="735" t="str">
        <f t="shared" si="12"/>
        <v>--</v>
      </c>
      <c r="AB27" s="736">
        <f t="shared" si="13"/>
      </c>
      <c r="AC27" s="737">
        <f t="shared" si="14"/>
        <v>0</v>
      </c>
      <c r="AD27" s="738">
        <f t="shared" si="17"/>
      </c>
      <c r="AE27" s="618"/>
    </row>
    <row r="28" spans="1:32" s="600" customFormat="1" ht="16.5" customHeight="1">
      <c r="A28" s="599"/>
      <c r="B28" s="615"/>
      <c r="C28" s="699"/>
      <c r="D28" s="699"/>
      <c r="E28" s="715"/>
      <c r="F28" s="716"/>
      <c r="G28" s="717"/>
      <c r="H28" s="718"/>
      <c r="I28" s="741"/>
      <c r="J28" s="720">
        <f t="shared" si="15"/>
        <v>0</v>
      </c>
      <c r="K28" s="739"/>
      <c r="L28" s="739"/>
      <c r="M28" s="722">
        <f t="shared" si="0"/>
      </c>
      <c r="N28" s="723">
        <f t="shared" si="1"/>
      </c>
      <c r="O28" s="740"/>
      <c r="P28" s="725">
        <f t="shared" si="2"/>
      </c>
      <c r="Q28" s="726">
        <f t="shared" si="3"/>
      </c>
      <c r="R28" s="727">
        <f t="shared" si="16"/>
      </c>
      <c r="S28" s="704">
        <f t="shared" si="4"/>
        <v>20</v>
      </c>
      <c r="T28" s="728" t="str">
        <f t="shared" si="5"/>
        <v>--</v>
      </c>
      <c r="U28" s="729" t="str">
        <f t="shared" si="6"/>
        <v>--</v>
      </c>
      <c r="V28" s="730" t="str">
        <f t="shared" si="7"/>
        <v>--</v>
      </c>
      <c r="W28" s="731" t="str">
        <f t="shared" si="8"/>
        <v>--</v>
      </c>
      <c r="X28" s="732" t="str">
        <f t="shared" si="9"/>
        <v>--</v>
      </c>
      <c r="Y28" s="733" t="str">
        <f t="shared" si="10"/>
        <v>--</v>
      </c>
      <c r="Z28" s="734" t="str">
        <f t="shared" si="11"/>
        <v>--</v>
      </c>
      <c r="AA28" s="735" t="str">
        <f t="shared" si="12"/>
        <v>--</v>
      </c>
      <c r="AB28" s="736">
        <f t="shared" si="13"/>
      </c>
      <c r="AC28" s="737">
        <f t="shared" si="14"/>
        <v>0</v>
      </c>
      <c r="AD28" s="738">
        <f t="shared" si="17"/>
      </c>
      <c r="AE28" s="618"/>
      <c r="AF28" s="616"/>
    </row>
    <row r="29" spans="1:31" s="600" customFormat="1" ht="16.5" customHeight="1">
      <c r="A29" s="599"/>
      <c r="B29" s="615"/>
      <c r="C29" s="699"/>
      <c r="D29" s="699"/>
      <c r="E29" s="699"/>
      <c r="F29" s="716"/>
      <c r="G29" s="717"/>
      <c r="H29" s="718"/>
      <c r="I29" s="741"/>
      <c r="J29" s="720">
        <f t="shared" si="15"/>
        <v>0</v>
      </c>
      <c r="K29" s="739"/>
      <c r="L29" s="739"/>
      <c r="M29" s="722">
        <f t="shared" si="0"/>
      </c>
      <c r="N29" s="723">
        <f t="shared" si="1"/>
      </c>
      <c r="O29" s="740"/>
      <c r="P29" s="725">
        <f t="shared" si="2"/>
      </c>
      <c r="Q29" s="726">
        <f t="shared" si="3"/>
      </c>
      <c r="R29" s="727">
        <f t="shared" si="16"/>
      </c>
      <c r="S29" s="704">
        <f t="shared" si="4"/>
        <v>20</v>
      </c>
      <c r="T29" s="728" t="str">
        <f t="shared" si="5"/>
        <v>--</v>
      </c>
      <c r="U29" s="729" t="str">
        <f t="shared" si="6"/>
        <v>--</v>
      </c>
      <c r="V29" s="730" t="str">
        <f t="shared" si="7"/>
        <v>--</v>
      </c>
      <c r="W29" s="731" t="str">
        <f t="shared" si="8"/>
        <v>--</v>
      </c>
      <c r="X29" s="732" t="str">
        <f t="shared" si="9"/>
        <v>--</v>
      </c>
      <c r="Y29" s="733" t="str">
        <f t="shared" si="10"/>
        <v>--</v>
      </c>
      <c r="Z29" s="734" t="str">
        <f t="shared" si="11"/>
        <v>--</v>
      </c>
      <c r="AA29" s="735" t="str">
        <f t="shared" si="12"/>
        <v>--</v>
      </c>
      <c r="AB29" s="736">
        <f t="shared" si="13"/>
      </c>
      <c r="AC29" s="737">
        <f t="shared" si="14"/>
        <v>0</v>
      </c>
      <c r="AD29" s="738">
        <f t="shared" si="17"/>
      </c>
      <c r="AE29" s="618"/>
    </row>
    <row r="30" spans="1:31" s="600" customFormat="1" ht="16.5" customHeight="1">
      <c r="A30" s="599"/>
      <c r="B30" s="615"/>
      <c r="C30" s="699"/>
      <c r="D30" s="699"/>
      <c r="E30" s="715"/>
      <c r="F30" s="716"/>
      <c r="G30" s="717"/>
      <c r="H30" s="718"/>
      <c r="I30" s="741"/>
      <c r="J30" s="720">
        <f t="shared" si="15"/>
        <v>0</v>
      </c>
      <c r="K30" s="739"/>
      <c r="L30" s="739"/>
      <c r="M30" s="722">
        <f t="shared" si="0"/>
      </c>
      <c r="N30" s="723">
        <f t="shared" si="1"/>
      </c>
      <c r="O30" s="740"/>
      <c r="P30" s="725">
        <f t="shared" si="2"/>
      </c>
      <c r="Q30" s="726">
        <f t="shared" si="3"/>
      </c>
      <c r="R30" s="727">
        <f t="shared" si="16"/>
      </c>
      <c r="S30" s="704">
        <f t="shared" si="4"/>
        <v>20</v>
      </c>
      <c r="T30" s="728" t="str">
        <f t="shared" si="5"/>
        <v>--</v>
      </c>
      <c r="U30" s="729" t="str">
        <f t="shared" si="6"/>
        <v>--</v>
      </c>
      <c r="V30" s="730" t="str">
        <f t="shared" si="7"/>
        <v>--</v>
      </c>
      <c r="W30" s="731" t="str">
        <f t="shared" si="8"/>
        <v>--</v>
      </c>
      <c r="X30" s="732" t="str">
        <f t="shared" si="9"/>
        <v>--</v>
      </c>
      <c r="Y30" s="733" t="str">
        <f t="shared" si="10"/>
        <v>--</v>
      </c>
      <c r="Z30" s="734" t="str">
        <f t="shared" si="11"/>
        <v>--</v>
      </c>
      <c r="AA30" s="735" t="str">
        <f t="shared" si="12"/>
        <v>--</v>
      </c>
      <c r="AB30" s="736">
        <f t="shared" si="13"/>
      </c>
      <c r="AC30" s="737">
        <f t="shared" si="14"/>
        <v>0</v>
      </c>
      <c r="AD30" s="738">
        <f t="shared" si="17"/>
      </c>
      <c r="AE30" s="618"/>
    </row>
    <row r="31" spans="1:31" s="600" customFormat="1" ht="16.5" customHeight="1">
      <c r="A31" s="599"/>
      <c r="B31" s="615"/>
      <c r="C31" s="699"/>
      <c r="D31" s="699"/>
      <c r="E31" s="699"/>
      <c r="F31" s="716"/>
      <c r="G31" s="717"/>
      <c r="H31" s="718"/>
      <c r="I31" s="741"/>
      <c r="J31" s="720">
        <f t="shared" si="15"/>
        <v>0</v>
      </c>
      <c r="K31" s="739"/>
      <c r="L31" s="739"/>
      <c r="M31" s="722">
        <f t="shared" si="0"/>
      </c>
      <c r="N31" s="723">
        <f t="shared" si="1"/>
      </c>
      <c r="O31" s="740"/>
      <c r="P31" s="725">
        <f t="shared" si="2"/>
      </c>
      <c r="Q31" s="726">
        <f t="shared" si="3"/>
      </c>
      <c r="R31" s="727">
        <f t="shared" si="16"/>
      </c>
      <c r="S31" s="704">
        <f t="shared" si="4"/>
        <v>20</v>
      </c>
      <c r="T31" s="728" t="str">
        <f t="shared" si="5"/>
        <v>--</v>
      </c>
      <c r="U31" s="729" t="str">
        <f t="shared" si="6"/>
        <v>--</v>
      </c>
      <c r="V31" s="730" t="str">
        <f t="shared" si="7"/>
        <v>--</v>
      </c>
      <c r="W31" s="731" t="str">
        <f t="shared" si="8"/>
        <v>--</v>
      </c>
      <c r="X31" s="732" t="str">
        <f t="shared" si="9"/>
        <v>--</v>
      </c>
      <c r="Y31" s="733" t="str">
        <f t="shared" si="10"/>
        <v>--</v>
      </c>
      <c r="Z31" s="734" t="str">
        <f t="shared" si="11"/>
        <v>--</v>
      </c>
      <c r="AA31" s="735" t="str">
        <f t="shared" si="12"/>
        <v>--</v>
      </c>
      <c r="AB31" s="736">
        <f t="shared" si="13"/>
      </c>
      <c r="AC31" s="737">
        <f t="shared" si="14"/>
        <v>0</v>
      </c>
      <c r="AD31" s="738">
        <f t="shared" si="17"/>
      </c>
      <c r="AE31" s="618"/>
    </row>
    <row r="32" spans="1:31" s="600" customFormat="1" ht="16.5" customHeight="1">
      <c r="A32" s="599"/>
      <c r="B32" s="615"/>
      <c r="C32" s="699"/>
      <c r="D32" s="699"/>
      <c r="E32" s="715"/>
      <c r="F32" s="716"/>
      <c r="G32" s="742"/>
      <c r="H32" s="718"/>
      <c r="I32" s="741"/>
      <c r="J32" s="720">
        <f t="shared" si="15"/>
        <v>0</v>
      </c>
      <c r="K32" s="739"/>
      <c r="L32" s="739"/>
      <c r="M32" s="722">
        <f t="shared" si="0"/>
      </c>
      <c r="N32" s="723">
        <f t="shared" si="1"/>
      </c>
      <c r="O32" s="740"/>
      <c r="P32" s="725">
        <f t="shared" si="2"/>
      </c>
      <c r="Q32" s="726">
        <f t="shared" si="3"/>
      </c>
      <c r="R32" s="727">
        <f t="shared" si="16"/>
      </c>
      <c r="S32" s="704">
        <f t="shared" si="4"/>
        <v>20</v>
      </c>
      <c r="T32" s="728" t="str">
        <f t="shared" si="5"/>
        <v>--</v>
      </c>
      <c r="U32" s="729" t="str">
        <f t="shared" si="6"/>
        <v>--</v>
      </c>
      <c r="V32" s="730" t="str">
        <f t="shared" si="7"/>
        <v>--</v>
      </c>
      <c r="W32" s="731" t="str">
        <f t="shared" si="8"/>
        <v>--</v>
      </c>
      <c r="X32" s="732" t="str">
        <f t="shared" si="9"/>
        <v>--</v>
      </c>
      <c r="Y32" s="733" t="str">
        <f t="shared" si="10"/>
        <v>--</v>
      </c>
      <c r="Z32" s="734" t="str">
        <f t="shared" si="11"/>
        <v>--</v>
      </c>
      <c r="AA32" s="735" t="str">
        <f t="shared" si="12"/>
        <v>--</v>
      </c>
      <c r="AB32" s="736">
        <f t="shared" si="13"/>
      </c>
      <c r="AC32" s="737">
        <f t="shared" si="14"/>
        <v>0</v>
      </c>
      <c r="AD32" s="738">
        <f t="shared" si="17"/>
      </c>
      <c r="AE32" s="618"/>
    </row>
    <row r="33" spans="1:31" s="600" customFormat="1" ht="16.5" customHeight="1">
      <c r="A33" s="599"/>
      <c r="B33" s="615"/>
      <c r="C33" s="699"/>
      <c r="D33" s="699"/>
      <c r="E33" s="699"/>
      <c r="F33" s="716"/>
      <c r="G33" s="742"/>
      <c r="H33" s="718"/>
      <c r="I33" s="741"/>
      <c r="J33" s="720">
        <f t="shared" si="15"/>
        <v>0</v>
      </c>
      <c r="K33" s="739"/>
      <c r="L33" s="739"/>
      <c r="M33" s="722">
        <f t="shared" si="0"/>
      </c>
      <c r="N33" s="723">
        <f t="shared" si="1"/>
      </c>
      <c r="O33" s="740"/>
      <c r="P33" s="725">
        <f t="shared" si="2"/>
      </c>
      <c r="Q33" s="726">
        <f t="shared" si="3"/>
      </c>
      <c r="R33" s="727">
        <f t="shared" si="16"/>
      </c>
      <c r="S33" s="704">
        <f t="shared" si="4"/>
        <v>20</v>
      </c>
      <c r="T33" s="728" t="str">
        <f t="shared" si="5"/>
        <v>--</v>
      </c>
      <c r="U33" s="729" t="str">
        <f t="shared" si="6"/>
        <v>--</v>
      </c>
      <c r="V33" s="730" t="str">
        <f t="shared" si="7"/>
        <v>--</v>
      </c>
      <c r="W33" s="731" t="str">
        <f t="shared" si="8"/>
        <v>--</v>
      </c>
      <c r="X33" s="732" t="str">
        <f t="shared" si="9"/>
        <v>--</v>
      </c>
      <c r="Y33" s="733" t="str">
        <f t="shared" si="10"/>
        <v>--</v>
      </c>
      <c r="Z33" s="734" t="str">
        <f t="shared" si="11"/>
        <v>--</v>
      </c>
      <c r="AA33" s="735" t="str">
        <f t="shared" si="12"/>
        <v>--</v>
      </c>
      <c r="AB33" s="736">
        <f t="shared" si="13"/>
      </c>
      <c r="AC33" s="737">
        <f t="shared" si="14"/>
        <v>0</v>
      </c>
      <c r="AD33" s="738">
        <f t="shared" si="17"/>
      </c>
      <c r="AE33" s="618"/>
    </row>
    <row r="34" spans="1:31" s="600" customFormat="1" ht="16.5" customHeight="1">
      <c r="A34" s="599"/>
      <c r="B34" s="615"/>
      <c r="C34" s="699"/>
      <c r="D34" s="699"/>
      <c r="E34" s="715"/>
      <c r="F34" s="716"/>
      <c r="G34" s="742"/>
      <c r="H34" s="718"/>
      <c r="I34" s="741"/>
      <c r="J34" s="720">
        <f t="shared" si="15"/>
        <v>0</v>
      </c>
      <c r="K34" s="739"/>
      <c r="L34" s="739"/>
      <c r="M34" s="722">
        <f t="shared" si="0"/>
      </c>
      <c r="N34" s="723">
        <f t="shared" si="1"/>
      </c>
      <c r="O34" s="740"/>
      <c r="P34" s="725">
        <f t="shared" si="2"/>
      </c>
      <c r="Q34" s="726">
        <f t="shared" si="3"/>
      </c>
      <c r="R34" s="727">
        <f t="shared" si="16"/>
      </c>
      <c r="S34" s="704">
        <f t="shared" si="4"/>
        <v>20</v>
      </c>
      <c r="T34" s="728" t="str">
        <f t="shared" si="5"/>
        <v>--</v>
      </c>
      <c r="U34" s="729" t="str">
        <f t="shared" si="6"/>
        <v>--</v>
      </c>
      <c r="V34" s="730" t="str">
        <f t="shared" si="7"/>
        <v>--</v>
      </c>
      <c r="W34" s="731" t="str">
        <f t="shared" si="8"/>
        <v>--</v>
      </c>
      <c r="X34" s="732" t="str">
        <f t="shared" si="9"/>
        <v>--</v>
      </c>
      <c r="Y34" s="733" t="str">
        <f t="shared" si="10"/>
        <v>--</v>
      </c>
      <c r="Z34" s="734" t="str">
        <f t="shared" si="11"/>
        <v>--</v>
      </c>
      <c r="AA34" s="735" t="str">
        <f t="shared" si="12"/>
        <v>--</v>
      </c>
      <c r="AB34" s="736">
        <f t="shared" si="13"/>
      </c>
      <c r="AC34" s="737">
        <f t="shared" si="14"/>
        <v>0</v>
      </c>
      <c r="AD34" s="738">
        <f t="shared" si="17"/>
      </c>
      <c r="AE34" s="618"/>
    </row>
    <row r="35" spans="1:31" s="600" customFormat="1" ht="16.5" customHeight="1">
      <c r="A35" s="599"/>
      <c r="B35" s="615"/>
      <c r="C35" s="699"/>
      <c r="D35" s="699"/>
      <c r="E35" s="699"/>
      <c r="F35" s="716"/>
      <c r="G35" s="742"/>
      <c r="H35" s="718"/>
      <c r="I35" s="741"/>
      <c r="J35" s="720">
        <f t="shared" si="15"/>
        <v>0</v>
      </c>
      <c r="K35" s="739"/>
      <c r="L35" s="739"/>
      <c r="M35" s="722">
        <f t="shared" si="0"/>
      </c>
      <c r="N35" s="723">
        <f t="shared" si="1"/>
      </c>
      <c r="O35" s="740"/>
      <c r="P35" s="725">
        <f t="shared" si="2"/>
      </c>
      <c r="Q35" s="726">
        <f t="shared" si="3"/>
      </c>
      <c r="R35" s="727">
        <f t="shared" si="16"/>
      </c>
      <c r="S35" s="704">
        <f t="shared" si="4"/>
        <v>20</v>
      </c>
      <c r="T35" s="728" t="str">
        <f t="shared" si="5"/>
        <v>--</v>
      </c>
      <c r="U35" s="729" t="str">
        <f t="shared" si="6"/>
        <v>--</v>
      </c>
      <c r="V35" s="730" t="str">
        <f t="shared" si="7"/>
        <v>--</v>
      </c>
      <c r="W35" s="731" t="str">
        <f t="shared" si="8"/>
        <v>--</v>
      </c>
      <c r="X35" s="732" t="str">
        <f t="shared" si="9"/>
        <v>--</v>
      </c>
      <c r="Y35" s="733" t="str">
        <f t="shared" si="10"/>
        <v>--</v>
      </c>
      <c r="Z35" s="734" t="str">
        <f t="shared" si="11"/>
        <v>--</v>
      </c>
      <c r="AA35" s="735" t="str">
        <f t="shared" si="12"/>
        <v>--</v>
      </c>
      <c r="AB35" s="736">
        <f t="shared" si="13"/>
      </c>
      <c r="AC35" s="737">
        <f t="shared" si="14"/>
        <v>0</v>
      </c>
      <c r="AD35" s="738">
        <f t="shared" si="17"/>
      </c>
      <c r="AE35" s="618"/>
    </row>
    <row r="36" spans="1:31" s="600" customFormat="1" ht="16.5" customHeight="1">
      <c r="A36" s="599"/>
      <c r="B36" s="615"/>
      <c r="C36" s="699"/>
      <c r="D36" s="699"/>
      <c r="E36" s="715"/>
      <c r="F36" s="716"/>
      <c r="G36" s="742"/>
      <c r="H36" s="718"/>
      <c r="I36" s="741"/>
      <c r="J36" s="720">
        <f t="shared" si="15"/>
        <v>0</v>
      </c>
      <c r="K36" s="739"/>
      <c r="L36" s="739"/>
      <c r="M36" s="722">
        <f t="shared" si="0"/>
      </c>
      <c r="N36" s="723">
        <f t="shared" si="1"/>
      </c>
      <c r="O36" s="740"/>
      <c r="P36" s="725">
        <f t="shared" si="2"/>
      </c>
      <c r="Q36" s="726">
        <f t="shared" si="3"/>
      </c>
      <c r="R36" s="727">
        <f t="shared" si="16"/>
      </c>
      <c r="S36" s="704">
        <f t="shared" si="4"/>
        <v>20</v>
      </c>
      <c r="T36" s="728" t="str">
        <f t="shared" si="5"/>
        <v>--</v>
      </c>
      <c r="U36" s="729" t="str">
        <f t="shared" si="6"/>
        <v>--</v>
      </c>
      <c r="V36" s="730" t="str">
        <f t="shared" si="7"/>
        <v>--</v>
      </c>
      <c r="W36" s="731" t="str">
        <f t="shared" si="8"/>
        <v>--</v>
      </c>
      <c r="X36" s="732" t="str">
        <f t="shared" si="9"/>
        <v>--</v>
      </c>
      <c r="Y36" s="733" t="str">
        <f t="shared" si="10"/>
        <v>--</v>
      </c>
      <c r="Z36" s="734" t="str">
        <f t="shared" si="11"/>
        <v>--</v>
      </c>
      <c r="AA36" s="735" t="str">
        <f t="shared" si="12"/>
        <v>--</v>
      </c>
      <c r="AB36" s="736">
        <f t="shared" si="13"/>
      </c>
      <c r="AC36" s="737">
        <f t="shared" si="14"/>
        <v>0</v>
      </c>
      <c r="AD36" s="738">
        <f t="shared" si="17"/>
      </c>
      <c r="AE36" s="618"/>
    </row>
    <row r="37" spans="1:31" s="600" customFormat="1" ht="16.5" customHeight="1">
      <c r="A37" s="599"/>
      <c r="B37" s="615"/>
      <c r="C37" s="699"/>
      <c r="D37" s="699"/>
      <c r="E37" s="699"/>
      <c r="F37" s="716"/>
      <c r="G37" s="742"/>
      <c r="H37" s="718"/>
      <c r="I37" s="741"/>
      <c r="J37" s="720">
        <f t="shared" si="15"/>
        <v>0</v>
      </c>
      <c r="K37" s="739"/>
      <c r="L37" s="739"/>
      <c r="M37" s="722">
        <f t="shared" si="0"/>
      </c>
      <c r="N37" s="723">
        <f t="shared" si="1"/>
      </c>
      <c r="O37" s="740"/>
      <c r="P37" s="725">
        <f t="shared" si="2"/>
      </c>
      <c r="Q37" s="726">
        <f t="shared" si="3"/>
      </c>
      <c r="R37" s="727">
        <f t="shared" si="16"/>
      </c>
      <c r="S37" s="704">
        <f t="shared" si="4"/>
        <v>20</v>
      </c>
      <c r="T37" s="728" t="str">
        <f t="shared" si="5"/>
        <v>--</v>
      </c>
      <c r="U37" s="729" t="str">
        <f t="shared" si="6"/>
        <v>--</v>
      </c>
      <c r="V37" s="730" t="str">
        <f t="shared" si="7"/>
        <v>--</v>
      </c>
      <c r="W37" s="731" t="str">
        <f t="shared" si="8"/>
        <v>--</v>
      </c>
      <c r="X37" s="732" t="str">
        <f t="shared" si="9"/>
        <v>--</v>
      </c>
      <c r="Y37" s="733" t="str">
        <f t="shared" si="10"/>
        <v>--</v>
      </c>
      <c r="Z37" s="734" t="str">
        <f t="shared" si="11"/>
        <v>--</v>
      </c>
      <c r="AA37" s="735" t="str">
        <f t="shared" si="12"/>
        <v>--</v>
      </c>
      <c r="AB37" s="736">
        <f t="shared" si="13"/>
      </c>
      <c r="AC37" s="737">
        <f t="shared" si="14"/>
        <v>0</v>
      </c>
      <c r="AD37" s="738">
        <f t="shared" si="17"/>
      </c>
      <c r="AE37" s="618"/>
    </row>
    <row r="38" spans="1:31" s="600" customFormat="1" ht="16.5" customHeight="1">
      <c r="A38" s="599"/>
      <c r="B38" s="615"/>
      <c r="C38" s="699"/>
      <c r="D38" s="699"/>
      <c r="E38" s="715"/>
      <c r="F38" s="716"/>
      <c r="G38" s="742"/>
      <c r="H38" s="718"/>
      <c r="I38" s="741"/>
      <c r="J38" s="720">
        <f t="shared" si="15"/>
        <v>0</v>
      </c>
      <c r="K38" s="739"/>
      <c r="L38" s="739"/>
      <c r="M38" s="722">
        <f t="shared" si="0"/>
      </c>
      <c r="N38" s="723">
        <f t="shared" si="1"/>
      </c>
      <c r="O38" s="740"/>
      <c r="P38" s="725">
        <f t="shared" si="2"/>
      </c>
      <c r="Q38" s="726">
        <f t="shared" si="3"/>
      </c>
      <c r="R38" s="727">
        <f t="shared" si="16"/>
      </c>
      <c r="S38" s="704">
        <f t="shared" si="4"/>
        <v>20</v>
      </c>
      <c r="T38" s="728" t="str">
        <f t="shared" si="5"/>
        <v>--</v>
      </c>
      <c r="U38" s="729" t="str">
        <f t="shared" si="6"/>
        <v>--</v>
      </c>
      <c r="V38" s="730" t="str">
        <f t="shared" si="7"/>
        <v>--</v>
      </c>
      <c r="W38" s="731" t="str">
        <f t="shared" si="8"/>
        <v>--</v>
      </c>
      <c r="X38" s="732" t="str">
        <f t="shared" si="9"/>
        <v>--</v>
      </c>
      <c r="Y38" s="733" t="str">
        <f t="shared" si="10"/>
        <v>--</v>
      </c>
      <c r="Z38" s="734" t="str">
        <f t="shared" si="11"/>
        <v>--</v>
      </c>
      <c r="AA38" s="735" t="str">
        <f t="shared" si="12"/>
        <v>--</v>
      </c>
      <c r="AB38" s="736">
        <f t="shared" si="13"/>
      </c>
      <c r="AC38" s="737">
        <f t="shared" si="14"/>
        <v>0</v>
      </c>
      <c r="AD38" s="738">
        <f t="shared" si="17"/>
      </c>
      <c r="AE38" s="618"/>
    </row>
    <row r="39" spans="1:31" s="600" customFormat="1" ht="16.5" customHeight="1">
      <c r="A39" s="599"/>
      <c r="B39" s="615"/>
      <c r="C39" s="699"/>
      <c r="D39" s="699"/>
      <c r="E39" s="699"/>
      <c r="F39" s="716"/>
      <c r="G39" s="742"/>
      <c r="H39" s="718"/>
      <c r="I39" s="741"/>
      <c r="J39" s="720">
        <f t="shared" si="15"/>
        <v>0</v>
      </c>
      <c r="K39" s="739"/>
      <c r="L39" s="739"/>
      <c r="M39" s="722">
        <f t="shared" si="0"/>
      </c>
      <c r="N39" s="723">
        <f t="shared" si="1"/>
      </c>
      <c r="O39" s="740"/>
      <c r="P39" s="725">
        <f t="shared" si="2"/>
      </c>
      <c r="Q39" s="726">
        <f t="shared" si="3"/>
      </c>
      <c r="R39" s="727">
        <f t="shared" si="16"/>
      </c>
      <c r="S39" s="704">
        <f t="shared" si="4"/>
        <v>20</v>
      </c>
      <c r="T39" s="728" t="str">
        <f t="shared" si="5"/>
        <v>--</v>
      </c>
      <c r="U39" s="729" t="str">
        <f t="shared" si="6"/>
        <v>--</v>
      </c>
      <c r="V39" s="730" t="str">
        <f t="shared" si="7"/>
        <v>--</v>
      </c>
      <c r="W39" s="731" t="str">
        <f t="shared" si="8"/>
        <v>--</v>
      </c>
      <c r="X39" s="732" t="str">
        <f t="shared" si="9"/>
        <v>--</v>
      </c>
      <c r="Y39" s="733" t="str">
        <f t="shared" si="10"/>
        <v>--</v>
      </c>
      <c r="Z39" s="734" t="str">
        <f t="shared" si="11"/>
        <v>--</v>
      </c>
      <c r="AA39" s="735" t="str">
        <f t="shared" si="12"/>
        <v>--</v>
      </c>
      <c r="AB39" s="736">
        <f t="shared" si="13"/>
      </c>
      <c r="AC39" s="737">
        <f t="shared" si="14"/>
        <v>0</v>
      </c>
      <c r="AD39" s="738">
        <f t="shared" si="17"/>
      </c>
      <c r="AE39" s="618"/>
    </row>
    <row r="40" spans="1:31" s="600" customFormat="1" ht="16.5" customHeight="1">
      <c r="A40" s="599"/>
      <c r="B40" s="615"/>
      <c r="C40" s="699"/>
      <c r="D40" s="699"/>
      <c r="E40" s="715"/>
      <c r="F40" s="716"/>
      <c r="G40" s="742"/>
      <c r="H40" s="718"/>
      <c r="I40" s="741"/>
      <c r="J40" s="720">
        <f t="shared" si="15"/>
        <v>0</v>
      </c>
      <c r="K40" s="739"/>
      <c r="L40" s="739"/>
      <c r="M40" s="722">
        <f t="shared" si="0"/>
      </c>
      <c r="N40" s="723">
        <f t="shared" si="1"/>
      </c>
      <c r="O40" s="740"/>
      <c r="P40" s="725">
        <f t="shared" si="2"/>
      </c>
      <c r="Q40" s="726">
        <f t="shared" si="3"/>
      </c>
      <c r="R40" s="727">
        <f t="shared" si="16"/>
      </c>
      <c r="S40" s="704">
        <f t="shared" si="4"/>
        <v>20</v>
      </c>
      <c r="T40" s="728" t="str">
        <f t="shared" si="5"/>
        <v>--</v>
      </c>
      <c r="U40" s="729" t="str">
        <f t="shared" si="6"/>
        <v>--</v>
      </c>
      <c r="V40" s="730" t="str">
        <f t="shared" si="7"/>
        <v>--</v>
      </c>
      <c r="W40" s="731" t="str">
        <f t="shared" si="8"/>
        <v>--</v>
      </c>
      <c r="X40" s="732" t="str">
        <f t="shared" si="9"/>
        <v>--</v>
      </c>
      <c r="Y40" s="733" t="str">
        <f t="shared" si="10"/>
        <v>--</v>
      </c>
      <c r="Z40" s="734" t="str">
        <f t="shared" si="11"/>
        <v>--</v>
      </c>
      <c r="AA40" s="735" t="str">
        <f t="shared" si="12"/>
        <v>--</v>
      </c>
      <c r="AB40" s="736">
        <f t="shared" si="13"/>
      </c>
      <c r="AC40" s="737">
        <f t="shared" si="14"/>
        <v>0</v>
      </c>
      <c r="AD40" s="738">
        <f t="shared" si="17"/>
      </c>
      <c r="AE40" s="618"/>
    </row>
    <row r="41" spans="1:31" s="600" customFormat="1" ht="16.5" customHeight="1">
      <c r="A41" s="599"/>
      <c r="B41" s="615"/>
      <c r="C41" s="699"/>
      <c r="D41" s="699"/>
      <c r="E41" s="699"/>
      <c r="F41" s="716"/>
      <c r="G41" s="742"/>
      <c r="H41" s="718"/>
      <c r="I41" s="741"/>
      <c r="J41" s="720">
        <f t="shared" si="15"/>
        <v>0</v>
      </c>
      <c r="K41" s="739"/>
      <c r="L41" s="739"/>
      <c r="M41" s="722">
        <f t="shared" si="0"/>
      </c>
      <c r="N41" s="723">
        <f t="shared" si="1"/>
      </c>
      <c r="O41" s="740"/>
      <c r="P41" s="725">
        <f t="shared" si="2"/>
      </c>
      <c r="Q41" s="726">
        <f t="shared" si="3"/>
      </c>
      <c r="R41" s="727">
        <f t="shared" si="16"/>
      </c>
      <c r="S41" s="704">
        <f t="shared" si="4"/>
        <v>20</v>
      </c>
      <c r="T41" s="728" t="str">
        <f t="shared" si="5"/>
        <v>--</v>
      </c>
      <c r="U41" s="729" t="str">
        <f t="shared" si="6"/>
        <v>--</v>
      </c>
      <c r="V41" s="730" t="str">
        <f t="shared" si="7"/>
        <v>--</v>
      </c>
      <c r="W41" s="731" t="str">
        <f t="shared" si="8"/>
        <v>--</v>
      </c>
      <c r="X41" s="732" t="str">
        <f t="shared" si="9"/>
        <v>--</v>
      </c>
      <c r="Y41" s="733" t="str">
        <f t="shared" si="10"/>
        <v>--</v>
      </c>
      <c r="Z41" s="734" t="str">
        <f t="shared" si="11"/>
        <v>--</v>
      </c>
      <c r="AA41" s="735" t="str">
        <f t="shared" si="12"/>
        <v>--</v>
      </c>
      <c r="AB41" s="736">
        <f t="shared" si="13"/>
      </c>
      <c r="AC41" s="737">
        <f t="shared" si="14"/>
        <v>0</v>
      </c>
      <c r="AD41" s="738">
        <f t="shared" si="17"/>
      </c>
      <c r="AE41" s="618"/>
    </row>
    <row r="42" spans="1:31" s="600" customFormat="1" ht="16.5" customHeight="1" thickBot="1">
      <c r="A42" s="599"/>
      <c r="B42" s="615"/>
      <c r="C42" s="743"/>
      <c r="D42" s="743"/>
      <c r="E42" s="743"/>
      <c r="F42" s="743"/>
      <c r="G42" s="743"/>
      <c r="H42" s="743"/>
      <c r="I42" s="744"/>
      <c r="J42" s="745"/>
      <c r="K42" s="746"/>
      <c r="L42" s="747"/>
      <c r="M42" s="748"/>
      <c r="N42" s="749"/>
      <c r="O42" s="750"/>
      <c r="P42" s="751"/>
      <c r="Q42" s="752"/>
      <c r="R42" s="752"/>
      <c r="S42" s="753"/>
      <c r="T42" s="754"/>
      <c r="U42" s="755"/>
      <c r="V42" s="756"/>
      <c r="W42" s="757"/>
      <c r="X42" s="758"/>
      <c r="Y42" s="759"/>
      <c r="Z42" s="760"/>
      <c r="AA42" s="761"/>
      <c r="AB42" s="762"/>
      <c r="AC42" s="763"/>
      <c r="AD42" s="764"/>
      <c r="AE42" s="618"/>
    </row>
    <row r="43" spans="1:31" s="600" customFormat="1" ht="16.5" customHeight="1" thickBot="1" thickTop="1">
      <c r="A43" s="599"/>
      <c r="B43" s="615"/>
      <c r="C43" s="765" t="s">
        <v>392</v>
      </c>
      <c r="D43" s="766" t="s">
        <v>393</v>
      </c>
      <c r="E43" s="767"/>
      <c r="F43" s="768"/>
      <c r="G43" s="616"/>
      <c r="H43" s="616"/>
      <c r="I43" s="616"/>
      <c r="J43" s="616"/>
      <c r="K43" s="616"/>
      <c r="L43" s="657"/>
      <c r="M43" s="616"/>
      <c r="N43" s="616"/>
      <c r="O43" s="616"/>
      <c r="P43" s="616"/>
      <c r="Q43" s="616"/>
      <c r="R43" s="616"/>
      <c r="S43" s="769"/>
      <c r="T43" s="770">
        <f aca="true" t="shared" si="18" ref="T43:AA43">SUM(T20:T42)</f>
        <v>801.288</v>
      </c>
      <c r="U43" s="771">
        <f t="shared" si="18"/>
        <v>0</v>
      </c>
      <c r="V43" s="772">
        <f t="shared" si="18"/>
        <v>0</v>
      </c>
      <c r="W43" s="773">
        <f t="shared" si="18"/>
        <v>0</v>
      </c>
      <c r="X43" s="774">
        <f t="shared" si="18"/>
        <v>0</v>
      </c>
      <c r="Y43" s="775">
        <f t="shared" si="18"/>
        <v>0</v>
      </c>
      <c r="Z43" s="776">
        <f t="shared" si="18"/>
        <v>0</v>
      </c>
      <c r="AA43" s="777">
        <f t="shared" si="18"/>
        <v>0</v>
      </c>
      <c r="AB43" s="599"/>
      <c r="AC43" s="778">
        <f>ROUND(SUM(AC20:AC42),2)</f>
        <v>801.29</v>
      </c>
      <c r="AD43" s="779">
        <f>ROUND(SUM(AD20:AD42),2)</f>
        <v>801.29</v>
      </c>
      <c r="AE43" s="618"/>
    </row>
    <row r="44" spans="1:31" s="600" customFormat="1" ht="16.5" customHeight="1" thickBot="1" thickTop="1">
      <c r="A44" s="599"/>
      <c r="B44" s="780"/>
      <c r="C44" s="781"/>
      <c r="D44" s="781"/>
      <c r="E44" s="781"/>
      <c r="F44" s="781"/>
      <c r="G44" s="781"/>
      <c r="H44" s="781"/>
      <c r="I44" s="781"/>
      <c r="J44" s="781"/>
      <c r="K44" s="781"/>
      <c r="L44" s="781"/>
      <c r="M44" s="781"/>
      <c r="N44" s="781"/>
      <c r="O44" s="781"/>
      <c r="P44" s="781"/>
      <c r="Q44" s="781"/>
      <c r="R44" s="781"/>
      <c r="S44" s="781"/>
      <c r="T44" s="781"/>
      <c r="U44" s="781"/>
      <c r="V44" s="781"/>
      <c r="W44" s="781"/>
      <c r="X44" s="781"/>
      <c r="Y44" s="781"/>
      <c r="Z44" s="781"/>
      <c r="AA44" s="781"/>
      <c r="AB44" s="781"/>
      <c r="AC44" s="781"/>
      <c r="AD44" s="781"/>
      <c r="AE44" s="782"/>
    </row>
    <row r="45" spans="1:32" ht="16.5" customHeight="1" thickTop="1">
      <c r="A45" s="783"/>
      <c r="F45" s="784"/>
      <c r="G45" s="784"/>
      <c r="H45" s="784"/>
      <c r="I45" s="784"/>
      <c r="J45" s="784"/>
      <c r="K45" s="784"/>
      <c r="L45" s="784"/>
      <c r="M45" s="784"/>
      <c r="N45" s="784"/>
      <c r="O45" s="784"/>
      <c r="P45" s="784"/>
      <c r="Q45" s="784"/>
      <c r="R45" s="784"/>
      <c r="S45" s="784"/>
      <c r="T45" s="784"/>
      <c r="U45" s="784"/>
      <c r="V45" s="784"/>
      <c r="W45" s="784"/>
      <c r="X45" s="784"/>
      <c r="Y45" s="784"/>
      <c r="Z45" s="784"/>
      <c r="AA45" s="784"/>
      <c r="AB45" s="784"/>
      <c r="AC45" s="784"/>
      <c r="AD45" s="784"/>
      <c r="AE45" s="784"/>
      <c r="AF45" s="784"/>
    </row>
    <row r="46" spans="1:32" ht="16.5" customHeight="1">
      <c r="A46" s="783"/>
      <c r="F46" s="784"/>
      <c r="G46" s="784"/>
      <c r="H46" s="784"/>
      <c r="I46" s="784"/>
      <c r="J46" s="784"/>
      <c r="K46" s="784"/>
      <c r="L46" s="784"/>
      <c r="M46" s="784"/>
      <c r="N46" s="784"/>
      <c r="O46" s="784"/>
      <c r="P46" s="784"/>
      <c r="Q46" s="784"/>
      <c r="R46" s="784"/>
      <c r="S46" s="784"/>
      <c r="T46" s="784"/>
      <c r="U46" s="784"/>
      <c r="V46" s="784"/>
      <c r="W46" s="784"/>
      <c r="X46" s="784"/>
      <c r="Y46" s="784"/>
      <c r="Z46" s="784"/>
      <c r="AA46" s="784"/>
      <c r="AB46" s="784"/>
      <c r="AC46" s="784"/>
      <c r="AD46" s="784"/>
      <c r="AE46" s="784"/>
      <c r="AF46" s="784"/>
    </row>
    <row r="47" spans="1:32" ht="16.5" customHeight="1">
      <c r="A47" s="783"/>
      <c r="F47" s="784"/>
      <c r="G47" s="784"/>
      <c r="H47" s="784"/>
      <c r="I47" s="784"/>
      <c r="J47" s="784"/>
      <c r="K47" s="784"/>
      <c r="L47" s="784"/>
      <c r="M47" s="784"/>
      <c r="N47" s="784"/>
      <c r="O47" s="784"/>
      <c r="P47" s="784"/>
      <c r="Q47" s="784"/>
      <c r="R47" s="784"/>
      <c r="S47" s="784"/>
      <c r="T47" s="784"/>
      <c r="U47" s="784"/>
      <c r="V47" s="784"/>
      <c r="W47" s="784"/>
      <c r="X47" s="784"/>
      <c r="Y47" s="784"/>
      <c r="Z47" s="784"/>
      <c r="AA47" s="784"/>
      <c r="AB47" s="784"/>
      <c r="AC47" s="784"/>
      <c r="AD47" s="784"/>
      <c r="AE47" s="784"/>
      <c r="AF47" s="784"/>
    </row>
    <row r="48" spans="1:32" ht="16.5" customHeight="1">
      <c r="A48" s="783"/>
      <c r="F48" s="784"/>
      <c r="G48" s="784"/>
      <c r="H48" s="784"/>
      <c r="I48" s="784"/>
      <c r="J48" s="784"/>
      <c r="K48" s="784"/>
      <c r="L48" s="784"/>
      <c r="M48" s="784"/>
      <c r="N48" s="784"/>
      <c r="O48" s="784"/>
      <c r="P48" s="784"/>
      <c r="Q48" s="784"/>
      <c r="R48" s="784"/>
      <c r="S48" s="784"/>
      <c r="T48" s="784"/>
      <c r="U48" s="784"/>
      <c r="V48" s="784"/>
      <c r="W48" s="784"/>
      <c r="X48" s="784"/>
      <c r="Y48" s="784"/>
      <c r="Z48" s="784"/>
      <c r="AA48" s="784"/>
      <c r="AB48" s="784"/>
      <c r="AC48" s="784"/>
      <c r="AD48" s="784"/>
      <c r="AE48" s="784"/>
      <c r="AF48" s="784"/>
    </row>
    <row r="49" spans="6:32" ht="16.5" customHeight="1">
      <c r="F49" s="784"/>
      <c r="G49" s="784"/>
      <c r="H49" s="784"/>
      <c r="I49" s="784"/>
      <c r="J49" s="784"/>
      <c r="K49" s="784"/>
      <c r="L49" s="784"/>
      <c r="M49" s="784"/>
      <c r="N49" s="784"/>
      <c r="O49" s="784"/>
      <c r="P49" s="784"/>
      <c r="Q49" s="784"/>
      <c r="R49" s="784"/>
      <c r="S49" s="784"/>
      <c r="T49" s="784"/>
      <c r="U49" s="784"/>
      <c r="V49" s="784"/>
      <c r="W49" s="784"/>
      <c r="X49" s="784"/>
      <c r="Y49" s="784"/>
      <c r="Z49" s="784"/>
      <c r="AA49" s="784"/>
      <c r="AB49" s="784"/>
      <c r="AC49" s="784"/>
      <c r="AD49" s="784"/>
      <c r="AE49" s="784"/>
      <c r="AF49" s="784"/>
    </row>
    <row r="50" spans="6:32" ht="16.5" customHeight="1">
      <c r="F50" s="784"/>
      <c r="G50" s="784"/>
      <c r="H50" s="784"/>
      <c r="I50" s="784"/>
      <c r="J50" s="784"/>
      <c r="K50" s="784"/>
      <c r="L50" s="784"/>
      <c r="M50" s="784"/>
      <c r="N50" s="784"/>
      <c r="O50" s="784"/>
      <c r="P50" s="784"/>
      <c r="Q50" s="784"/>
      <c r="R50" s="784"/>
      <c r="S50" s="784"/>
      <c r="T50" s="784"/>
      <c r="U50" s="784"/>
      <c r="V50" s="784"/>
      <c r="W50" s="784"/>
      <c r="X50" s="784"/>
      <c r="Y50" s="784"/>
      <c r="Z50" s="784"/>
      <c r="AA50" s="784"/>
      <c r="AB50" s="784"/>
      <c r="AC50" s="784"/>
      <c r="AD50" s="784"/>
      <c r="AE50" s="784"/>
      <c r="AF50" s="784"/>
    </row>
    <row r="51" spans="6:32" ht="16.5" customHeight="1">
      <c r="F51" s="784"/>
      <c r="G51" s="784"/>
      <c r="H51" s="784"/>
      <c r="I51" s="784"/>
      <c r="J51" s="784"/>
      <c r="K51" s="784"/>
      <c r="L51" s="784"/>
      <c r="M51" s="784"/>
      <c r="N51" s="784"/>
      <c r="O51" s="784"/>
      <c r="P51" s="784"/>
      <c r="Q51" s="784"/>
      <c r="R51" s="784"/>
      <c r="S51" s="784"/>
      <c r="T51" s="784"/>
      <c r="U51" s="784"/>
      <c r="V51" s="784"/>
      <c r="W51" s="784"/>
      <c r="X51" s="784"/>
      <c r="Y51" s="784"/>
      <c r="Z51" s="784"/>
      <c r="AA51" s="784"/>
      <c r="AB51" s="784"/>
      <c r="AC51" s="784"/>
      <c r="AD51" s="784"/>
      <c r="AE51" s="784"/>
      <c r="AF51" s="784"/>
    </row>
    <row r="52" spans="6:32" ht="16.5" customHeight="1">
      <c r="F52" s="784"/>
      <c r="G52" s="784"/>
      <c r="H52" s="784"/>
      <c r="I52" s="784"/>
      <c r="J52" s="784"/>
      <c r="K52" s="784"/>
      <c r="L52" s="784"/>
      <c r="M52" s="784"/>
      <c r="N52" s="784"/>
      <c r="O52" s="784"/>
      <c r="P52" s="784"/>
      <c r="Q52" s="784"/>
      <c r="R52" s="784"/>
      <c r="S52" s="784"/>
      <c r="T52" s="784"/>
      <c r="U52" s="784"/>
      <c r="V52" s="784"/>
      <c r="W52" s="784"/>
      <c r="X52" s="784"/>
      <c r="Y52" s="784"/>
      <c r="Z52" s="784"/>
      <c r="AA52" s="784"/>
      <c r="AB52" s="784"/>
      <c r="AC52" s="784"/>
      <c r="AD52" s="784"/>
      <c r="AE52" s="784"/>
      <c r="AF52" s="784"/>
    </row>
    <row r="53" spans="6:32" ht="16.5" customHeight="1">
      <c r="F53" s="784"/>
      <c r="G53" s="784"/>
      <c r="H53" s="784"/>
      <c r="I53" s="784"/>
      <c r="J53" s="784"/>
      <c r="K53" s="784"/>
      <c r="L53" s="784"/>
      <c r="M53" s="784"/>
      <c r="N53" s="784"/>
      <c r="O53" s="784"/>
      <c r="P53" s="784"/>
      <c r="Q53" s="784"/>
      <c r="R53" s="784"/>
      <c r="S53" s="784"/>
      <c r="T53" s="784"/>
      <c r="U53" s="784"/>
      <c r="V53" s="784"/>
      <c r="W53" s="784"/>
      <c r="X53" s="784"/>
      <c r="Y53" s="784"/>
      <c r="Z53" s="784"/>
      <c r="AA53" s="784"/>
      <c r="AB53" s="784"/>
      <c r="AC53" s="784"/>
      <c r="AD53" s="784"/>
      <c r="AE53" s="784"/>
      <c r="AF53" s="784"/>
    </row>
    <row r="54" spans="6:32" ht="16.5" customHeight="1">
      <c r="F54" s="784"/>
      <c r="G54" s="784"/>
      <c r="H54" s="784"/>
      <c r="I54" s="784"/>
      <c r="J54" s="784"/>
      <c r="K54" s="784"/>
      <c r="L54" s="784"/>
      <c r="M54" s="784"/>
      <c r="N54" s="784"/>
      <c r="O54" s="784"/>
      <c r="P54" s="784"/>
      <c r="Q54" s="784"/>
      <c r="R54" s="784"/>
      <c r="S54" s="784"/>
      <c r="T54" s="784"/>
      <c r="U54" s="784"/>
      <c r="V54" s="784"/>
      <c r="W54" s="784"/>
      <c r="X54" s="784"/>
      <c r="Y54" s="784"/>
      <c r="Z54" s="784"/>
      <c r="AA54" s="784"/>
      <c r="AB54" s="784"/>
      <c r="AC54" s="784"/>
      <c r="AD54" s="784"/>
      <c r="AE54" s="784"/>
      <c r="AF54" s="784"/>
    </row>
    <row r="55" spans="6:32" ht="16.5" customHeight="1">
      <c r="F55" s="784"/>
      <c r="G55" s="784"/>
      <c r="H55" s="784"/>
      <c r="I55" s="784"/>
      <c r="J55" s="784"/>
      <c r="K55" s="784"/>
      <c r="L55" s="784"/>
      <c r="M55" s="784"/>
      <c r="N55" s="784"/>
      <c r="O55" s="784"/>
      <c r="P55" s="784"/>
      <c r="Q55" s="784"/>
      <c r="R55" s="784"/>
      <c r="S55" s="784"/>
      <c r="T55" s="784"/>
      <c r="U55" s="784"/>
      <c r="V55" s="784"/>
      <c r="W55" s="784"/>
      <c r="X55" s="784"/>
      <c r="Y55" s="784"/>
      <c r="Z55" s="784"/>
      <c r="AA55" s="784"/>
      <c r="AB55" s="784"/>
      <c r="AC55" s="784"/>
      <c r="AD55" s="784"/>
      <c r="AE55" s="784"/>
      <c r="AF55" s="784"/>
    </row>
    <row r="56" spans="6:32" ht="16.5" customHeight="1">
      <c r="F56" s="784"/>
      <c r="G56" s="784"/>
      <c r="H56" s="784"/>
      <c r="I56" s="784"/>
      <c r="J56" s="784"/>
      <c r="K56" s="784"/>
      <c r="L56" s="784"/>
      <c r="M56" s="784"/>
      <c r="N56" s="784"/>
      <c r="O56" s="784"/>
      <c r="P56" s="784"/>
      <c r="Q56" s="784"/>
      <c r="R56" s="784"/>
      <c r="S56" s="784"/>
      <c r="T56" s="784"/>
      <c r="U56" s="784"/>
      <c r="V56" s="784"/>
      <c r="W56" s="784"/>
      <c r="X56" s="784"/>
      <c r="Y56" s="784"/>
      <c r="Z56" s="784"/>
      <c r="AA56" s="784"/>
      <c r="AB56" s="784"/>
      <c r="AC56" s="784"/>
      <c r="AD56" s="784"/>
      <c r="AE56" s="784"/>
      <c r="AF56" s="784"/>
    </row>
    <row r="57" spans="6:32" ht="16.5" customHeight="1">
      <c r="F57" s="784"/>
      <c r="G57" s="784"/>
      <c r="H57" s="784"/>
      <c r="I57" s="784"/>
      <c r="J57" s="784"/>
      <c r="K57" s="784"/>
      <c r="L57" s="784"/>
      <c r="M57" s="784"/>
      <c r="N57" s="784"/>
      <c r="O57" s="784"/>
      <c r="P57" s="784"/>
      <c r="Q57" s="784"/>
      <c r="R57" s="784"/>
      <c r="S57" s="784"/>
      <c r="T57" s="784"/>
      <c r="U57" s="784"/>
      <c r="V57" s="784"/>
      <c r="W57" s="784"/>
      <c r="X57" s="784"/>
      <c r="Y57" s="784"/>
      <c r="Z57" s="784"/>
      <c r="AA57" s="784"/>
      <c r="AB57" s="784"/>
      <c r="AC57" s="784"/>
      <c r="AD57" s="784"/>
      <c r="AE57" s="784"/>
      <c r="AF57" s="784"/>
    </row>
    <row r="58" spans="6:32" ht="16.5" customHeight="1">
      <c r="F58" s="784"/>
      <c r="G58" s="784"/>
      <c r="H58" s="784"/>
      <c r="I58" s="784"/>
      <c r="J58" s="784"/>
      <c r="K58" s="784"/>
      <c r="L58" s="784"/>
      <c r="M58" s="784"/>
      <c r="N58" s="784"/>
      <c r="O58" s="784"/>
      <c r="P58" s="784"/>
      <c r="Q58" s="784"/>
      <c r="R58" s="784"/>
      <c r="S58" s="784"/>
      <c r="T58" s="784"/>
      <c r="U58" s="784"/>
      <c r="V58" s="784"/>
      <c r="W58" s="784"/>
      <c r="X58" s="784"/>
      <c r="Y58" s="784"/>
      <c r="Z58" s="784"/>
      <c r="AA58" s="784"/>
      <c r="AB58" s="784"/>
      <c r="AC58" s="784"/>
      <c r="AD58" s="784"/>
      <c r="AE58" s="784"/>
      <c r="AF58" s="784"/>
    </row>
    <row r="59" spans="6:32" ht="16.5" customHeight="1">
      <c r="F59" s="784"/>
      <c r="G59" s="784"/>
      <c r="H59" s="784"/>
      <c r="I59" s="784"/>
      <c r="J59" s="784"/>
      <c r="K59" s="784"/>
      <c r="L59" s="784"/>
      <c r="M59" s="784"/>
      <c r="N59" s="784"/>
      <c r="O59" s="784"/>
      <c r="P59" s="784"/>
      <c r="Q59" s="784"/>
      <c r="R59" s="784"/>
      <c r="S59" s="784"/>
      <c r="T59" s="784"/>
      <c r="U59" s="784"/>
      <c r="V59" s="784"/>
      <c r="W59" s="784"/>
      <c r="X59" s="784"/>
      <c r="Y59" s="784"/>
      <c r="Z59" s="784"/>
      <c r="AA59" s="784"/>
      <c r="AB59" s="784"/>
      <c r="AC59" s="784"/>
      <c r="AD59" s="784"/>
      <c r="AE59" s="784"/>
      <c r="AF59" s="784"/>
    </row>
    <row r="60" spans="6:32" ht="16.5" customHeight="1">
      <c r="F60" s="784"/>
      <c r="G60" s="784"/>
      <c r="H60" s="784"/>
      <c r="I60" s="784"/>
      <c r="J60" s="784"/>
      <c r="K60" s="784"/>
      <c r="L60" s="784"/>
      <c r="M60" s="784"/>
      <c r="N60" s="784"/>
      <c r="O60" s="784"/>
      <c r="P60" s="784"/>
      <c r="Q60" s="784"/>
      <c r="R60" s="784"/>
      <c r="S60" s="784"/>
      <c r="T60" s="784"/>
      <c r="U60" s="784"/>
      <c r="V60" s="784"/>
      <c r="W60" s="784"/>
      <c r="X60" s="784"/>
      <c r="Y60" s="784"/>
      <c r="Z60" s="784"/>
      <c r="AA60" s="784"/>
      <c r="AB60" s="784"/>
      <c r="AC60" s="784"/>
      <c r="AD60" s="784"/>
      <c r="AE60" s="784"/>
      <c r="AF60" s="784"/>
    </row>
    <row r="61" spans="6:32" ht="16.5" customHeight="1">
      <c r="F61" s="784"/>
      <c r="G61" s="784"/>
      <c r="H61" s="784"/>
      <c r="I61" s="784"/>
      <c r="J61" s="784"/>
      <c r="K61" s="784"/>
      <c r="L61" s="784"/>
      <c r="M61" s="784"/>
      <c r="N61" s="784"/>
      <c r="O61" s="784"/>
      <c r="P61" s="784"/>
      <c r="Q61" s="784"/>
      <c r="R61" s="784"/>
      <c r="S61" s="784"/>
      <c r="T61" s="784"/>
      <c r="U61" s="784"/>
      <c r="V61" s="784"/>
      <c r="W61" s="784"/>
      <c r="X61" s="784"/>
      <c r="Y61" s="784"/>
      <c r="Z61" s="784"/>
      <c r="AA61" s="784"/>
      <c r="AB61" s="784"/>
      <c r="AC61" s="784"/>
      <c r="AD61" s="784"/>
      <c r="AE61" s="784"/>
      <c r="AF61" s="784"/>
    </row>
    <row r="62" spans="6:32" ht="16.5" customHeight="1">
      <c r="F62" s="784"/>
      <c r="G62" s="784"/>
      <c r="H62" s="784"/>
      <c r="I62" s="784"/>
      <c r="J62" s="784"/>
      <c r="K62" s="784"/>
      <c r="L62" s="784"/>
      <c r="M62" s="784"/>
      <c r="N62" s="784"/>
      <c r="O62" s="784"/>
      <c r="P62" s="784"/>
      <c r="Q62" s="784"/>
      <c r="R62" s="784"/>
      <c r="S62" s="784"/>
      <c r="T62" s="784"/>
      <c r="U62" s="784"/>
      <c r="V62" s="784"/>
      <c r="W62" s="784"/>
      <c r="X62" s="784"/>
      <c r="Y62" s="784"/>
      <c r="Z62" s="784"/>
      <c r="AA62" s="784"/>
      <c r="AB62" s="784"/>
      <c r="AC62" s="784"/>
      <c r="AD62" s="784"/>
      <c r="AE62" s="784"/>
      <c r="AF62" s="784"/>
    </row>
    <row r="63" spans="6:32" ht="16.5" customHeight="1">
      <c r="F63" s="784"/>
      <c r="G63" s="784"/>
      <c r="H63" s="784"/>
      <c r="I63" s="784"/>
      <c r="J63" s="784"/>
      <c r="K63" s="784"/>
      <c r="L63" s="784"/>
      <c r="M63" s="784"/>
      <c r="N63" s="784"/>
      <c r="O63" s="784"/>
      <c r="P63" s="784"/>
      <c r="Q63" s="784"/>
      <c r="R63" s="784"/>
      <c r="S63" s="784"/>
      <c r="T63" s="784"/>
      <c r="U63" s="784"/>
      <c r="V63" s="784"/>
      <c r="W63" s="784"/>
      <c r="X63" s="784"/>
      <c r="Y63" s="784"/>
      <c r="Z63" s="784"/>
      <c r="AA63" s="784"/>
      <c r="AB63" s="784"/>
      <c r="AC63" s="784"/>
      <c r="AD63" s="784"/>
      <c r="AE63" s="784"/>
      <c r="AF63" s="784"/>
    </row>
    <row r="64" spans="6:32" ht="16.5" customHeight="1">
      <c r="F64" s="784"/>
      <c r="G64" s="784"/>
      <c r="H64" s="784"/>
      <c r="I64" s="784"/>
      <c r="J64" s="784"/>
      <c r="K64" s="784"/>
      <c r="L64" s="784"/>
      <c r="M64" s="784"/>
      <c r="N64" s="784"/>
      <c r="O64" s="784"/>
      <c r="P64" s="784"/>
      <c r="Q64" s="784"/>
      <c r="R64" s="784"/>
      <c r="S64" s="784"/>
      <c r="T64" s="784"/>
      <c r="U64" s="784"/>
      <c r="V64" s="784"/>
      <c r="W64" s="784"/>
      <c r="X64" s="784"/>
      <c r="Y64" s="784"/>
      <c r="Z64" s="784"/>
      <c r="AA64" s="784"/>
      <c r="AB64" s="784"/>
      <c r="AC64" s="784"/>
      <c r="AD64" s="784"/>
      <c r="AE64" s="784"/>
      <c r="AF64" s="784"/>
    </row>
    <row r="65" spans="6:32" ht="16.5" customHeight="1">
      <c r="F65" s="784"/>
      <c r="G65" s="784"/>
      <c r="H65" s="784"/>
      <c r="I65" s="784"/>
      <c r="J65" s="784"/>
      <c r="K65" s="784"/>
      <c r="L65" s="784"/>
      <c r="M65" s="784"/>
      <c r="N65" s="784"/>
      <c r="O65" s="784"/>
      <c r="P65" s="784"/>
      <c r="Q65" s="784"/>
      <c r="R65" s="784"/>
      <c r="S65" s="784"/>
      <c r="T65" s="784"/>
      <c r="U65" s="784"/>
      <c r="V65" s="784"/>
      <c r="W65" s="784"/>
      <c r="X65" s="784"/>
      <c r="Y65" s="784"/>
      <c r="Z65" s="784"/>
      <c r="AA65" s="784"/>
      <c r="AB65" s="784"/>
      <c r="AC65" s="784"/>
      <c r="AD65" s="784"/>
      <c r="AE65" s="784"/>
      <c r="AF65" s="784"/>
    </row>
    <row r="66" spans="6:32" ht="16.5" customHeight="1">
      <c r="F66" s="784"/>
      <c r="G66" s="784"/>
      <c r="H66" s="784"/>
      <c r="I66" s="784"/>
      <c r="J66" s="784"/>
      <c r="K66" s="784"/>
      <c r="L66" s="784"/>
      <c r="M66" s="784"/>
      <c r="N66" s="784"/>
      <c r="O66" s="784"/>
      <c r="P66" s="784"/>
      <c r="Q66" s="784"/>
      <c r="R66" s="784"/>
      <c r="S66" s="784"/>
      <c r="T66" s="784"/>
      <c r="U66" s="784"/>
      <c r="V66" s="784"/>
      <c r="W66" s="784"/>
      <c r="X66" s="784"/>
      <c r="Y66" s="784"/>
      <c r="Z66" s="784"/>
      <c r="AA66" s="784"/>
      <c r="AB66" s="784"/>
      <c r="AC66" s="784"/>
      <c r="AD66" s="784"/>
      <c r="AE66" s="784"/>
      <c r="AF66" s="784"/>
    </row>
    <row r="67" spans="6:32" ht="16.5" customHeight="1">
      <c r="F67" s="784"/>
      <c r="G67" s="784"/>
      <c r="H67" s="784"/>
      <c r="I67" s="784"/>
      <c r="J67" s="784"/>
      <c r="K67" s="784"/>
      <c r="L67" s="784"/>
      <c r="M67" s="784"/>
      <c r="N67" s="784"/>
      <c r="O67" s="784"/>
      <c r="P67" s="784"/>
      <c r="Q67" s="784"/>
      <c r="R67" s="784"/>
      <c r="S67" s="784"/>
      <c r="T67" s="784"/>
      <c r="U67" s="784"/>
      <c r="V67" s="784"/>
      <c r="W67" s="784"/>
      <c r="X67" s="784"/>
      <c r="Y67" s="784"/>
      <c r="Z67" s="784"/>
      <c r="AA67" s="784"/>
      <c r="AB67" s="784"/>
      <c r="AC67" s="784"/>
      <c r="AD67" s="784"/>
      <c r="AE67" s="784"/>
      <c r="AF67" s="784"/>
    </row>
    <row r="68" spans="6:32" ht="16.5" customHeight="1">
      <c r="F68" s="784"/>
      <c r="G68" s="784"/>
      <c r="H68" s="784"/>
      <c r="I68" s="784"/>
      <c r="J68" s="784"/>
      <c r="K68" s="784"/>
      <c r="L68" s="784"/>
      <c r="M68" s="784"/>
      <c r="N68" s="784"/>
      <c r="O68" s="784"/>
      <c r="P68" s="784"/>
      <c r="Q68" s="784"/>
      <c r="R68" s="784"/>
      <c r="S68" s="784"/>
      <c r="T68" s="784"/>
      <c r="U68" s="784"/>
      <c r="V68" s="784"/>
      <c r="W68" s="784"/>
      <c r="X68" s="784"/>
      <c r="Y68" s="784"/>
      <c r="Z68" s="784"/>
      <c r="AA68" s="784"/>
      <c r="AB68" s="784"/>
      <c r="AC68" s="784"/>
      <c r="AD68" s="784"/>
      <c r="AE68" s="784"/>
      <c r="AF68" s="784"/>
    </row>
    <row r="69" spans="6:32" ht="16.5" customHeight="1">
      <c r="F69" s="784"/>
      <c r="G69" s="784"/>
      <c r="H69" s="784"/>
      <c r="I69" s="784"/>
      <c r="J69" s="784"/>
      <c r="K69" s="784"/>
      <c r="L69" s="784"/>
      <c r="M69" s="784"/>
      <c r="N69" s="784"/>
      <c r="O69" s="784"/>
      <c r="P69" s="784"/>
      <c r="Q69" s="784"/>
      <c r="R69" s="784"/>
      <c r="S69" s="784"/>
      <c r="T69" s="784"/>
      <c r="U69" s="784"/>
      <c r="V69" s="784"/>
      <c r="W69" s="784"/>
      <c r="X69" s="784"/>
      <c r="Y69" s="784"/>
      <c r="Z69" s="784"/>
      <c r="AA69" s="784"/>
      <c r="AB69" s="784"/>
      <c r="AC69" s="784"/>
      <c r="AD69" s="784"/>
      <c r="AE69" s="784"/>
      <c r="AF69" s="784"/>
    </row>
    <row r="70" spans="6:32" ht="16.5" customHeight="1">
      <c r="F70" s="784"/>
      <c r="G70" s="784"/>
      <c r="H70" s="784"/>
      <c r="I70" s="784"/>
      <c r="J70" s="784"/>
      <c r="K70" s="784"/>
      <c r="L70" s="784"/>
      <c r="M70" s="784"/>
      <c r="N70" s="784"/>
      <c r="O70" s="784"/>
      <c r="P70" s="784"/>
      <c r="Q70" s="784"/>
      <c r="R70" s="784"/>
      <c r="S70" s="784"/>
      <c r="T70" s="784"/>
      <c r="U70" s="784"/>
      <c r="V70" s="784"/>
      <c r="W70" s="784"/>
      <c r="X70" s="784"/>
      <c r="Y70" s="784"/>
      <c r="Z70" s="784"/>
      <c r="AA70" s="784"/>
      <c r="AB70" s="784"/>
      <c r="AC70" s="784"/>
      <c r="AD70" s="784"/>
      <c r="AE70" s="784"/>
      <c r="AF70" s="784"/>
    </row>
    <row r="71" spans="6:32" ht="16.5" customHeight="1">
      <c r="F71" s="784"/>
      <c r="G71" s="784"/>
      <c r="H71" s="784"/>
      <c r="I71" s="784"/>
      <c r="J71" s="784"/>
      <c r="K71" s="784"/>
      <c r="L71" s="784"/>
      <c r="M71" s="784"/>
      <c r="N71" s="784"/>
      <c r="O71" s="784"/>
      <c r="P71" s="784"/>
      <c r="Q71" s="784"/>
      <c r="R71" s="784"/>
      <c r="S71" s="784"/>
      <c r="T71" s="784"/>
      <c r="U71" s="784"/>
      <c r="V71" s="784"/>
      <c r="W71" s="784"/>
      <c r="X71" s="784"/>
      <c r="Y71" s="784"/>
      <c r="Z71" s="784"/>
      <c r="AA71" s="784"/>
      <c r="AB71" s="784"/>
      <c r="AC71" s="784"/>
      <c r="AD71" s="784"/>
      <c r="AE71" s="784"/>
      <c r="AF71" s="784"/>
    </row>
    <row r="72" spans="6:32" ht="16.5" customHeight="1">
      <c r="F72" s="784"/>
      <c r="G72" s="784"/>
      <c r="H72" s="784"/>
      <c r="I72" s="784"/>
      <c r="J72" s="784"/>
      <c r="K72" s="784"/>
      <c r="L72" s="784"/>
      <c r="M72" s="784"/>
      <c r="N72" s="784"/>
      <c r="O72" s="784"/>
      <c r="P72" s="784"/>
      <c r="Q72" s="784"/>
      <c r="R72" s="784"/>
      <c r="S72" s="784"/>
      <c r="T72" s="784"/>
      <c r="U72" s="784"/>
      <c r="V72" s="784"/>
      <c r="W72" s="784"/>
      <c r="X72" s="784"/>
      <c r="Y72" s="784"/>
      <c r="Z72" s="784"/>
      <c r="AA72" s="784"/>
      <c r="AB72" s="784"/>
      <c r="AC72" s="784"/>
      <c r="AD72" s="784"/>
      <c r="AE72" s="784"/>
      <c r="AF72" s="784"/>
    </row>
    <row r="73" spans="6:32" ht="16.5" customHeight="1">
      <c r="F73" s="784"/>
      <c r="G73" s="784"/>
      <c r="H73" s="784"/>
      <c r="I73" s="784"/>
      <c r="J73" s="784"/>
      <c r="K73" s="784"/>
      <c r="L73" s="784"/>
      <c r="M73" s="784"/>
      <c r="N73" s="784"/>
      <c r="O73" s="784"/>
      <c r="P73" s="784"/>
      <c r="Q73" s="784"/>
      <c r="R73" s="784"/>
      <c r="S73" s="784"/>
      <c r="T73" s="784"/>
      <c r="U73" s="784"/>
      <c r="V73" s="784"/>
      <c r="W73" s="784"/>
      <c r="X73" s="784"/>
      <c r="Y73" s="784"/>
      <c r="Z73" s="784"/>
      <c r="AA73" s="784"/>
      <c r="AB73" s="784"/>
      <c r="AC73" s="784"/>
      <c r="AD73" s="784"/>
      <c r="AE73" s="784"/>
      <c r="AF73" s="784"/>
    </row>
    <row r="74" spans="6:32" ht="16.5" customHeight="1">
      <c r="F74" s="784"/>
      <c r="G74" s="784"/>
      <c r="H74" s="784"/>
      <c r="I74" s="784"/>
      <c r="J74" s="784"/>
      <c r="K74" s="784"/>
      <c r="L74" s="784"/>
      <c r="M74" s="784"/>
      <c r="N74" s="784"/>
      <c r="O74" s="784"/>
      <c r="P74" s="784"/>
      <c r="Q74" s="784"/>
      <c r="R74" s="784"/>
      <c r="S74" s="784"/>
      <c r="T74" s="784"/>
      <c r="U74" s="784"/>
      <c r="V74" s="784"/>
      <c r="W74" s="784"/>
      <c r="X74" s="784"/>
      <c r="Y74" s="784"/>
      <c r="Z74" s="784"/>
      <c r="AA74" s="784"/>
      <c r="AB74" s="784"/>
      <c r="AC74" s="784"/>
      <c r="AD74" s="784"/>
      <c r="AE74" s="784"/>
      <c r="AF74" s="784"/>
    </row>
    <row r="75" spans="6:32" ht="16.5" customHeight="1">
      <c r="F75" s="784"/>
      <c r="G75" s="784"/>
      <c r="H75" s="784"/>
      <c r="I75" s="784"/>
      <c r="J75" s="784"/>
      <c r="K75" s="784"/>
      <c r="L75" s="784"/>
      <c r="M75" s="784"/>
      <c r="N75" s="784"/>
      <c r="O75" s="784"/>
      <c r="P75" s="784"/>
      <c r="Q75" s="784"/>
      <c r="R75" s="784"/>
      <c r="S75" s="784"/>
      <c r="T75" s="784"/>
      <c r="U75" s="784"/>
      <c r="V75" s="784"/>
      <c r="W75" s="784"/>
      <c r="X75" s="784"/>
      <c r="Y75" s="784"/>
      <c r="Z75" s="784"/>
      <c r="AA75" s="784"/>
      <c r="AB75" s="784"/>
      <c r="AC75" s="784"/>
      <c r="AD75" s="784"/>
      <c r="AE75" s="784"/>
      <c r="AF75" s="784"/>
    </row>
    <row r="76" spans="6:32" ht="16.5" customHeight="1">
      <c r="F76" s="784"/>
      <c r="G76" s="784"/>
      <c r="H76" s="784"/>
      <c r="I76" s="784"/>
      <c r="J76" s="784"/>
      <c r="K76" s="784"/>
      <c r="L76" s="784"/>
      <c r="M76" s="784"/>
      <c r="N76" s="784"/>
      <c r="O76" s="784"/>
      <c r="P76" s="784"/>
      <c r="Q76" s="784"/>
      <c r="R76" s="784"/>
      <c r="S76" s="784"/>
      <c r="T76" s="784"/>
      <c r="U76" s="784"/>
      <c r="V76" s="784"/>
      <c r="W76" s="784"/>
      <c r="X76" s="784"/>
      <c r="Y76" s="784"/>
      <c r="Z76" s="784"/>
      <c r="AA76" s="784"/>
      <c r="AB76" s="784"/>
      <c r="AC76" s="784"/>
      <c r="AD76" s="784"/>
      <c r="AE76" s="784"/>
      <c r="AF76" s="784"/>
    </row>
    <row r="77" spans="6:32" ht="16.5" customHeight="1">
      <c r="F77" s="784"/>
      <c r="G77" s="784"/>
      <c r="H77" s="784"/>
      <c r="I77" s="784"/>
      <c r="J77" s="784"/>
      <c r="K77" s="784"/>
      <c r="L77" s="784"/>
      <c r="M77" s="784"/>
      <c r="N77" s="784"/>
      <c r="O77" s="784"/>
      <c r="P77" s="784"/>
      <c r="Q77" s="784"/>
      <c r="R77" s="784"/>
      <c r="S77" s="784"/>
      <c r="T77" s="784"/>
      <c r="U77" s="784"/>
      <c r="V77" s="784"/>
      <c r="W77" s="784"/>
      <c r="X77" s="784"/>
      <c r="Y77" s="784"/>
      <c r="Z77" s="784"/>
      <c r="AA77" s="784"/>
      <c r="AB77" s="784"/>
      <c r="AC77" s="784"/>
      <c r="AD77" s="784"/>
      <c r="AE77" s="784"/>
      <c r="AF77" s="784"/>
    </row>
    <row r="78" spans="6:32" ht="16.5" customHeight="1">
      <c r="F78" s="784"/>
      <c r="G78" s="784"/>
      <c r="H78" s="784"/>
      <c r="I78" s="784"/>
      <c r="J78" s="784"/>
      <c r="K78" s="784"/>
      <c r="L78" s="784"/>
      <c r="M78" s="784"/>
      <c r="N78" s="784"/>
      <c r="O78" s="784"/>
      <c r="P78" s="784"/>
      <c r="Q78" s="784"/>
      <c r="R78" s="784"/>
      <c r="S78" s="784"/>
      <c r="T78" s="784"/>
      <c r="U78" s="784"/>
      <c r="V78" s="784"/>
      <c r="W78" s="784"/>
      <c r="X78" s="784"/>
      <c r="Y78" s="784"/>
      <c r="Z78" s="784"/>
      <c r="AA78" s="784"/>
      <c r="AB78" s="784"/>
      <c r="AC78" s="784"/>
      <c r="AD78" s="784"/>
      <c r="AE78" s="784"/>
      <c r="AF78" s="784"/>
    </row>
    <row r="79" spans="6:32" ht="16.5" customHeight="1">
      <c r="F79" s="784"/>
      <c r="G79" s="784"/>
      <c r="H79" s="784"/>
      <c r="I79" s="784"/>
      <c r="J79" s="784"/>
      <c r="K79" s="784"/>
      <c r="L79" s="784"/>
      <c r="M79" s="784"/>
      <c r="N79" s="784"/>
      <c r="O79" s="784"/>
      <c r="P79" s="784"/>
      <c r="Q79" s="784"/>
      <c r="R79" s="784"/>
      <c r="S79" s="784"/>
      <c r="T79" s="784"/>
      <c r="U79" s="784"/>
      <c r="V79" s="784"/>
      <c r="W79" s="784"/>
      <c r="X79" s="784"/>
      <c r="Y79" s="784"/>
      <c r="Z79" s="784"/>
      <c r="AA79" s="784"/>
      <c r="AB79" s="784"/>
      <c r="AC79" s="784"/>
      <c r="AD79" s="784"/>
      <c r="AE79" s="784"/>
      <c r="AF79" s="784"/>
    </row>
    <row r="80" spans="6:32" ht="16.5" customHeight="1">
      <c r="F80" s="784"/>
      <c r="G80" s="784"/>
      <c r="H80" s="784"/>
      <c r="I80" s="784"/>
      <c r="J80" s="784"/>
      <c r="K80" s="784"/>
      <c r="L80" s="784"/>
      <c r="M80" s="784"/>
      <c r="N80" s="784"/>
      <c r="O80" s="784"/>
      <c r="P80" s="784"/>
      <c r="Q80" s="784"/>
      <c r="R80" s="784"/>
      <c r="S80" s="784"/>
      <c r="T80" s="784"/>
      <c r="U80" s="784"/>
      <c r="V80" s="784"/>
      <c r="W80" s="784"/>
      <c r="X80" s="784"/>
      <c r="Y80" s="784"/>
      <c r="Z80" s="784"/>
      <c r="AA80" s="784"/>
      <c r="AB80" s="784"/>
      <c r="AC80" s="784"/>
      <c r="AD80" s="784"/>
      <c r="AE80" s="784"/>
      <c r="AF80" s="784"/>
    </row>
    <row r="81" spans="6:32" ht="16.5" customHeight="1">
      <c r="F81" s="784"/>
      <c r="G81" s="784"/>
      <c r="H81" s="784"/>
      <c r="I81" s="784"/>
      <c r="J81" s="784"/>
      <c r="K81" s="784"/>
      <c r="L81" s="784"/>
      <c r="M81" s="784"/>
      <c r="N81" s="784"/>
      <c r="O81" s="784"/>
      <c r="P81" s="784"/>
      <c r="Q81" s="784"/>
      <c r="R81" s="784"/>
      <c r="S81" s="784"/>
      <c r="T81" s="784"/>
      <c r="U81" s="784"/>
      <c r="V81" s="784"/>
      <c r="W81" s="784"/>
      <c r="X81" s="784"/>
      <c r="Y81" s="784"/>
      <c r="Z81" s="784"/>
      <c r="AA81" s="784"/>
      <c r="AB81" s="784"/>
      <c r="AC81" s="784"/>
      <c r="AD81" s="784"/>
      <c r="AE81" s="784"/>
      <c r="AF81" s="784"/>
    </row>
    <row r="82" spans="6:32" ht="16.5" customHeight="1">
      <c r="F82" s="784"/>
      <c r="G82" s="784"/>
      <c r="H82" s="784"/>
      <c r="I82" s="784"/>
      <c r="J82" s="784"/>
      <c r="K82" s="784"/>
      <c r="L82" s="784"/>
      <c r="M82" s="784"/>
      <c r="N82" s="784"/>
      <c r="O82" s="784"/>
      <c r="P82" s="784"/>
      <c r="Q82" s="784"/>
      <c r="R82" s="784"/>
      <c r="S82" s="784"/>
      <c r="T82" s="784"/>
      <c r="U82" s="784"/>
      <c r="V82" s="784"/>
      <c r="W82" s="784"/>
      <c r="X82" s="784"/>
      <c r="Y82" s="784"/>
      <c r="Z82" s="784"/>
      <c r="AA82" s="784"/>
      <c r="AB82" s="784"/>
      <c r="AC82" s="784"/>
      <c r="AD82" s="784"/>
      <c r="AE82" s="784"/>
      <c r="AF82" s="784"/>
    </row>
    <row r="83" spans="6:32" ht="16.5" customHeight="1">
      <c r="F83" s="784"/>
      <c r="G83" s="784"/>
      <c r="H83" s="784"/>
      <c r="I83" s="784"/>
      <c r="J83" s="784"/>
      <c r="K83" s="784"/>
      <c r="L83" s="784"/>
      <c r="M83" s="784"/>
      <c r="N83" s="784"/>
      <c r="O83" s="784"/>
      <c r="P83" s="784"/>
      <c r="Q83" s="784"/>
      <c r="R83" s="784"/>
      <c r="S83" s="784"/>
      <c r="T83" s="784"/>
      <c r="U83" s="784"/>
      <c r="V83" s="784"/>
      <c r="W83" s="784"/>
      <c r="X83" s="784"/>
      <c r="Y83" s="784"/>
      <c r="Z83" s="784"/>
      <c r="AA83" s="784"/>
      <c r="AB83" s="784"/>
      <c r="AC83" s="784"/>
      <c r="AD83" s="784"/>
      <c r="AE83" s="784"/>
      <c r="AF83" s="784"/>
    </row>
    <row r="84" spans="6:32" ht="16.5" customHeight="1">
      <c r="F84" s="784"/>
      <c r="G84" s="784"/>
      <c r="H84" s="784"/>
      <c r="I84" s="784"/>
      <c r="J84" s="784"/>
      <c r="K84" s="784"/>
      <c r="L84" s="784"/>
      <c r="M84" s="784"/>
      <c r="N84" s="784"/>
      <c r="O84" s="784"/>
      <c r="P84" s="784"/>
      <c r="Q84" s="784"/>
      <c r="R84" s="784"/>
      <c r="S84" s="784"/>
      <c r="T84" s="784"/>
      <c r="U84" s="784"/>
      <c r="V84" s="784"/>
      <c r="W84" s="784"/>
      <c r="X84" s="784"/>
      <c r="Y84" s="784"/>
      <c r="Z84" s="784"/>
      <c r="AA84" s="784"/>
      <c r="AB84" s="784"/>
      <c r="AC84" s="784"/>
      <c r="AD84" s="784"/>
      <c r="AE84" s="784"/>
      <c r="AF84" s="784"/>
    </row>
    <row r="85" spans="6:32" ht="16.5" customHeight="1">
      <c r="F85" s="784"/>
      <c r="G85" s="784"/>
      <c r="H85" s="784"/>
      <c r="I85" s="784"/>
      <c r="J85" s="784"/>
      <c r="K85" s="784"/>
      <c r="L85" s="784"/>
      <c r="M85" s="784"/>
      <c r="N85" s="784"/>
      <c r="O85" s="784"/>
      <c r="P85" s="784"/>
      <c r="Q85" s="784"/>
      <c r="R85" s="784"/>
      <c r="S85" s="784"/>
      <c r="T85" s="784"/>
      <c r="U85" s="784"/>
      <c r="V85" s="784"/>
      <c r="W85" s="784"/>
      <c r="X85" s="784"/>
      <c r="Y85" s="784"/>
      <c r="Z85" s="784"/>
      <c r="AA85" s="784"/>
      <c r="AB85" s="784"/>
      <c r="AC85" s="784"/>
      <c r="AD85" s="784"/>
      <c r="AE85" s="784"/>
      <c r="AF85" s="784"/>
    </row>
    <row r="86" spans="6:32" ht="16.5" customHeight="1">
      <c r="F86" s="784"/>
      <c r="G86" s="784"/>
      <c r="H86" s="784"/>
      <c r="I86" s="784"/>
      <c r="J86" s="784"/>
      <c r="K86" s="784"/>
      <c r="L86" s="784"/>
      <c r="M86" s="784"/>
      <c r="N86" s="784"/>
      <c r="O86" s="784"/>
      <c r="P86" s="784"/>
      <c r="Q86" s="784"/>
      <c r="R86" s="784"/>
      <c r="S86" s="784"/>
      <c r="T86" s="784"/>
      <c r="U86" s="784"/>
      <c r="V86" s="784"/>
      <c r="W86" s="784"/>
      <c r="X86" s="784"/>
      <c r="Y86" s="784"/>
      <c r="Z86" s="784"/>
      <c r="AA86" s="784"/>
      <c r="AB86" s="784"/>
      <c r="AC86" s="784"/>
      <c r="AD86" s="784"/>
      <c r="AE86" s="784"/>
      <c r="AF86" s="784"/>
    </row>
    <row r="87" spans="6:32" ht="16.5" customHeight="1">
      <c r="F87" s="784"/>
      <c r="G87" s="784"/>
      <c r="H87" s="784"/>
      <c r="I87" s="784"/>
      <c r="J87" s="784"/>
      <c r="K87" s="784"/>
      <c r="L87" s="784"/>
      <c r="M87" s="784"/>
      <c r="N87" s="784"/>
      <c r="O87" s="784"/>
      <c r="P87" s="784"/>
      <c r="Q87" s="784"/>
      <c r="R87" s="784"/>
      <c r="S87" s="784"/>
      <c r="T87" s="784"/>
      <c r="U87" s="784"/>
      <c r="V87" s="784"/>
      <c r="W87" s="784"/>
      <c r="X87" s="784"/>
      <c r="Y87" s="784"/>
      <c r="Z87" s="784"/>
      <c r="AA87" s="784"/>
      <c r="AB87" s="784"/>
      <c r="AC87" s="784"/>
      <c r="AD87" s="784"/>
      <c r="AE87" s="784"/>
      <c r="AF87" s="784"/>
    </row>
    <row r="88" spans="6:32" ht="16.5" customHeight="1">
      <c r="F88" s="784"/>
      <c r="G88" s="784"/>
      <c r="H88" s="784"/>
      <c r="I88" s="784"/>
      <c r="J88" s="784"/>
      <c r="K88" s="784"/>
      <c r="L88" s="784"/>
      <c r="M88" s="784"/>
      <c r="N88" s="784"/>
      <c r="O88" s="784"/>
      <c r="P88" s="784"/>
      <c r="Q88" s="784"/>
      <c r="R88" s="784"/>
      <c r="S88" s="784"/>
      <c r="T88" s="784"/>
      <c r="U88" s="784"/>
      <c r="V88" s="784"/>
      <c r="W88" s="784"/>
      <c r="X88" s="784"/>
      <c r="Y88" s="784"/>
      <c r="Z88" s="784"/>
      <c r="AA88" s="784"/>
      <c r="AB88" s="784"/>
      <c r="AC88" s="784"/>
      <c r="AD88" s="784"/>
      <c r="AE88" s="784"/>
      <c r="AF88" s="784"/>
    </row>
    <row r="89" spans="6:32" ht="16.5" customHeight="1">
      <c r="F89" s="784"/>
      <c r="G89" s="784"/>
      <c r="H89" s="784"/>
      <c r="I89" s="784"/>
      <c r="J89" s="784"/>
      <c r="K89" s="784"/>
      <c r="L89" s="784"/>
      <c r="M89" s="784"/>
      <c r="N89" s="784"/>
      <c r="O89" s="784"/>
      <c r="P89" s="784"/>
      <c r="Q89" s="784"/>
      <c r="R89" s="784"/>
      <c r="S89" s="784"/>
      <c r="T89" s="784"/>
      <c r="U89" s="784"/>
      <c r="V89" s="784"/>
      <c r="W89" s="784"/>
      <c r="X89" s="784"/>
      <c r="Y89" s="784"/>
      <c r="Z89" s="784"/>
      <c r="AA89" s="784"/>
      <c r="AB89" s="784"/>
      <c r="AC89" s="784"/>
      <c r="AD89" s="784"/>
      <c r="AE89" s="784"/>
      <c r="AF89" s="784"/>
    </row>
    <row r="90" spans="6:32" ht="16.5" customHeight="1">
      <c r="F90" s="784"/>
      <c r="G90" s="784"/>
      <c r="H90" s="784"/>
      <c r="I90" s="784"/>
      <c r="J90" s="784"/>
      <c r="K90" s="784"/>
      <c r="L90" s="784"/>
      <c r="M90" s="784"/>
      <c r="N90" s="784"/>
      <c r="O90" s="784"/>
      <c r="P90" s="784"/>
      <c r="Q90" s="784"/>
      <c r="R90" s="784"/>
      <c r="S90" s="784"/>
      <c r="T90" s="784"/>
      <c r="U90" s="784"/>
      <c r="V90" s="784"/>
      <c r="W90" s="784"/>
      <c r="X90" s="784"/>
      <c r="Y90" s="784"/>
      <c r="Z90" s="784"/>
      <c r="AA90" s="784"/>
      <c r="AB90" s="784"/>
      <c r="AC90" s="784"/>
      <c r="AD90" s="784"/>
      <c r="AE90" s="784"/>
      <c r="AF90" s="784"/>
    </row>
    <row r="91" spans="6:32" ht="16.5" customHeight="1">
      <c r="F91" s="784"/>
      <c r="G91" s="784"/>
      <c r="H91" s="784"/>
      <c r="I91" s="784"/>
      <c r="J91" s="784"/>
      <c r="K91" s="784"/>
      <c r="L91" s="784"/>
      <c r="M91" s="784"/>
      <c r="N91" s="784"/>
      <c r="O91" s="784"/>
      <c r="P91" s="784"/>
      <c r="Q91" s="784"/>
      <c r="R91" s="784"/>
      <c r="S91" s="784"/>
      <c r="T91" s="784"/>
      <c r="U91" s="784"/>
      <c r="V91" s="784"/>
      <c r="W91" s="784"/>
      <c r="X91" s="784"/>
      <c r="Y91" s="784"/>
      <c r="Z91" s="784"/>
      <c r="AA91" s="784"/>
      <c r="AB91" s="784"/>
      <c r="AC91" s="784"/>
      <c r="AD91" s="784"/>
      <c r="AE91" s="784"/>
      <c r="AF91" s="784"/>
    </row>
    <row r="92" spans="6:32" ht="16.5" customHeight="1">
      <c r="F92" s="784"/>
      <c r="G92" s="784"/>
      <c r="H92" s="784"/>
      <c r="I92" s="784"/>
      <c r="J92" s="784"/>
      <c r="K92" s="784"/>
      <c r="L92" s="784"/>
      <c r="M92" s="784"/>
      <c r="N92" s="784"/>
      <c r="O92" s="784"/>
      <c r="P92" s="784"/>
      <c r="Q92" s="784"/>
      <c r="R92" s="784"/>
      <c r="S92" s="784"/>
      <c r="T92" s="784"/>
      <c r="U92" s="784"/>
      <c r="V92" s="784"/>
      <c r="W92" s="784"/>
      <c r="X92" s="784"/>
      <c r="Y92" s="784"/>
      <c r="Z92" s="784"/>
      <c r="AA92" s="784"/>
      <c r="AB92" s="784"/>
      <c r="AC92" s="784"/>
      <c r="AD92" s="784"/>
      <c r="AE92" s="784"/>
      <c r="AF92" s="784"/>
    </row>
    <row r="93" spans="6:32" ht="16.5" customHeight="1">
      <c r="F93" s="784"/>
      <c r="G93" s="784"/>
      <c r="H93" s="784"/>
      <c r="I93" s="784"/>
      <c r="J93" s="784"/>
      <c r="K93" s="784"/>
      <c r="L93" s="784"/>
      <c r="M93" s="784"/>
      <c r="N93" s="784"/>
      <c r="O93" s="784"/>
      <c r="P93" s="784"/>
      <c r="Q93" s="784"/>
      <c r="R93" s="784"/>
      <c r="S93" s="784"/>
      <c r="T93" s="784"/>
      <c r="U93" s="784"/>
      <c r="V93" s="784"/>
      <c r="W93" s="784"/>
      <c r="X93" s="784"/>
      <c r="Y93" s="784"/>
      <c r="Z93" s="784"/>
      <c r="AA93" s="784"/>
      <c r="AB93" s="784"/>
      <c r="AC93" s="784"/>
      <c r="AD93" s="784"/>
      <c r="AE93" s="784"/>
      <c r="AF93" s="784"/>
    </row>
    <row r="94" spans="6:32" ht="16.5" customHeight="1">
      <c r="F94" s="784"/>
      <c r="G94" s="784"/>
      <c r="H94" s="784"/>
      <c r="I94" s="784"/>
      <c r="J94" s="784"/>
      <c r="K94" s="784"/>
      <c r="L94" s="784"/>
      <c r="M94" s="784"/>
      <c r="N94" s="784"/>
      <c r="O94" s="784"/>
      <c r="P94" s="784"/>
      <c r="Q94" s="784"/>
      <c r="R94" s="784"/>
      <c r="S94" s="784"/>
      <c r="T94" s="784"/>
      <c r="U94" s="784"/>
      <c r="V94" s="784"/>
      <c r="W94" s="784"/>
      <c r="X94" s="784"/>
      <c r="Y94" s="784"/>
      <c r="Z94" s="784"/>
      <c r="AA94" s="784"/>
      <c r="AB94" s="784"/>
      <c r="AC94" s="784"/>
      <c r="AD94" s="784"/>
      <c r="AE94" s="784"/>
      <c r="AF94" s="784"/>
    </row>
    <row r="95" spans="6:32" ht="16.5" customHeight="1">
      <c r="F95" s="784"/>
      <c r="G95" s="784"/>
      <c r="H95" s="784"/>
      <c r="I95" s="784"/>
      <c r="J95" s="784"/>
      <c r="K95" s="784"/>
      <c r="L95" s="784"/>
      <c r="M95" s="784"/>
      <c r="N95" s="784"/>
      <c r="O95" s="784"/>
      <c r="P95" s="784"/>
      <c r="Q95" s="784"/>
      <c r="R95" s="784"/>
      <c r="S95" s="784"/>
      <c r="T95" s="784"/>
      <c r="U95" s="784"/>
      <c r="V95" s="784"/>
      <c r="W95" s="784"/>
      <c r="X95" s="784"/>
      <c r="Y95" s="784"/>
      <c r="Z95" s="784"/>
      <c r="AA95" s="784"/>
      <c r="AB95" s="784"/>
      <c r="AC95" s="784"/>
      <c r="AD95" s="784"/>
      <c r="AE95" s="784"/>
      <c r="AF95" s="784"/>
    </row>
    <row r="96" spans="6:32" ht="16.5" customHeight="1">
      <c r="F96" s="784"/>
      <c r="G96" s="784"/>
      <c r="H96" s="784"/>
      <c r="I96" s="784"/>
      <c r="J96" s="784"/>
      <c r="K96" s="784"/>
      <c r="L96" s="784"/>
      <c r="M96" s="784"/>
      <c r="N96" s="784"/>
      <c r="O96" s="784"/>
      <c r="P96" s="784"/>
      <c r="Q96" s="784"/>
      <c r="R96" s="784"/>
      <c r="S96" s="784"/>
      <c r="T96" s="784"/>
      <c r="U96" s="784"/>
      <c r="V96" s="784"/>
      <c r="W96" s="784"/>
      <c r="X96" s="784"/>
      <c r="Y96" s="784"/>
      <c r="Z96" s="784"/>
      <c r="AA96" s="784"/>
      <c r="AB96" s="784"/>
      <c r="AC96" s="784"/>
      <c r="AD96" s="784"/>
      <c r="AE96" s="784"/>
      <c r="AF96" s="784"/>
    </row>
    <row r="97" spans="6:32" ht="16.5" customHeight="1">
      <c r="F97" s="784"/>
      <c r="G97" s="784"/>
      <c r="H97" s="784"/>
      <c r="I97" s="784"/>
      <c r="J97" s="784"/>
      <c r="K97" s="784"/>
      <c r="L97" s="784"/>
      <c r="M97" s="784"/>
      <c r="N97" s="784"/>
      <c r="O97" s="784"/>
      <c r="P97" s="784"/>
      <c r="Q97" s="784"/>
      <c r="R97" s="784"/>
      <c r="S97" s="784"/>
      <c r="T97" s="784"/>
      <c r="U97" s="784"/>
      <c r="V97" s="784"/>
      <c r="W97" s="784"/>
      <c r="X97" s="784"/>
      <c r="Y97" s="784"/>
      <c r="Z97" s="784"/>
      <c r="AA97" s="784"/>
      <c r="AB97" s="784"/>
      <c r="AC97" s="784"/>
      <c r="AD97" s="784"/>
      <c r="AE97" s="784"/>
      <c r="AF97" s="784"/>
    </row>
    <row r="98" spans="6:32" ht="16.5" customHeight="1">
      <c r="F98" s="784"/>
      <c r="G98" s="784"/>
      <c r="H98" s="784"/>
      <c r="I98" s="784"/>
      <c r="J98" s="784"/>
      <c r="K98" s="784"/>
      <c r="L98" s="784"/>
      <c r="M98" s="784"/>
      <c r="N98" s="784"/>
      <c r="O98" s="784"/>
      <c r="P98" s="784"/>
      <c r="Q98" s="784"/>
      <c r="R98" s="784"/>
      <c r="S98" s="784"/>
      <c r="T98" s="784"/>
      <c r="U98" s="784"/>
      <c r="V98" s="784"/>
      <c r="W98" s="784"/>
      <c r="X98" s="784"/>
      <c r="Y98" s="784"/>
      <c r="Z98" s="784"/>
      <c r="AA98" s="784"/>
      <c r="AB98" s="784"/>
      <c r="AC98" s="784"/>
      <c r="AD98" s="784"/>
      <c r="AE98" s="784"/>
      <c r="AF98" s="784"/>
    </row>
    <row r="99" spans="6:32" ht="16.5" customHeight="1">
      <c r="F99" s="784"/>
      <c r="G99" s="784"/>
      <c r="H99" s="784"/>
      <c r="I99" s="784"/>
      <c r="J99" s="784"/>
      <c r="K99" s="784"/>
      <c r="L99" s="784"/>
      <c r="M99" s="784"/>
      <c r="N99" s="784"/>
      <c r="O99" s="784"/>
      <c r="P99" s="784"/>
      <c r="Q99" s="784"/>
      <c r="R99" s="784"/>
      <c r="S99" s="784"/>
      <c r="T99" s="784"/>
      <c r="U99" s="784"/>
      <c r="V99" s="784"/>
      <c r="W99" s="784"/>
      <c r="X99" s="784"/>
      <c r="Y99" s="784"/>
      <c r="Z99" s="784"/>
      <c r="AA99" s="784"/>
      <c r="AB99" s="784"/>
      <c r="AC99" s="784"/>
      <c r="AD99" s="784"/>
      <c r="AE99" s="784"/>
      <c r="AF99" s="784"/>
    </row>
    <row r="100" spans="6:32" ht="16.5" customHeight="1">
      <c r="F100" s="784"/>
      <c r="G100" s="784"/>
      <c r="H100" s="784"/>
      <c r="I100" s="784"/>
      <c r="J100" s="784"/>
      <c r="K100" s="784"/>
      <c r="L100" s="784"/>
      <c r="M100" s="784"/>
      <c r="N100" s="784"/>
      <c r="O100" s="784"/>
      <c r="P100" s="784"/>
      <c r="Q100" s="784"/>
      <c r="R100" s="784"/>
      <c r="S100" s="784"/>
      <c r="T100" s="784"/>
      <c r="U100" s="784"/>
      <c r="V100" s="784"/>
      <c r="W100" s="784"/>
      <c r="X100" s="784"/>
      <c r="Y100" s="784"/>
      <c r="Z100" s="784"/>
      <c r="AA100" s="784"/>
      <c r="AB100" s="784"/>
      <c r="AC100" s="784"/>
      <c r="AD100" s="784"/>
      <c r="AE100" s="784"/>
      <c r="AF100" s="784"/>
    </row>
    <row r="101" spans="6:32" ht="16.5" customHeight="1">
      <c r="F101" s="784"/>
      <c r="G101" s="784"/>
      <c r="H101" s="784"/>
      <c r="I101" s="784"/>
      <c r="J101" s="784"/>
      <c r="K101" s="784"/>
      <c r="L101" s="784"/>
      <c r="M101" s="784"/>
      <c r="N101" s="784"/>
      <c r="O101" s="784"/>
      <c r="P101" s="784"/>
      <c r="Q101" s="784"/>
      <c r="R101" s="784"/>
      <c r="S101" s="784"/>
      <c r="T101" s="784"/>
      <c r="U101" s="784"/>
      <c r="V101" s="784"/>
      <c r="W101" s="784"/>
      <c r="X101" s="784"/>
      <c r="Y101" s="784"/>
      <c r="Z101" s="784"/>
      <c r="AA101" s="784"/>
      <c r="AB101" s="784"/>
      <c r="AC101" s="784"/>
      <c r="AD101" s="784"/>
      <c r="AE101" s="784"/>
      <c r="AF101" s="784"/>
    </row>
    <row r="102" spans="6:32" ht="16.5" customHeight="1">
      <c r="F102" s="784"/>
      <c r="G102" s="784"/>
      <c r="H102" s="784"/>
      <c r="I102" s="784"/>
      <c r="J102" s="784"/>
      <c r="K102" s="784"/>
      <c r="L102" s="784"/>
      <c r="M102" s="784"/>
      <c r="N102" s="784"/>
      <c r="O102" s="784"/>
      <c r="P102" s="784"/>
      <c r="Q102" s="784"/>
      <c r="R102" s="784"/>
      <c r="S102" s="784"/>
      <c r="T102" s="784"/>
      <c r="U102" s="784"/>
      <c r="V102" s="784"/>
      <c r="W102" s="784"/>
      <c r="X102" s="784"/>
      <c r="Y102" s="784"/>
      <c r="Z102" s="784"/>
      <c r="AA102" s="784"/>
      <c r="AB102" s="784"/>
      <c r="AC102" s="784"/>
      <c r="AD102" s="784"/>
      <c r="AE102" s="784"/>
      <c r="AF102" s="784"/>
    </row>
    <row r="103" spans="6:32" ht="16.5" customHeight="1">
      <c r="F103" s="784"/>
      <c r="G103" s="784"/>
      <c r="H103" s="784"/>
      <c r="I103" s="784"/>
      <c r="J103" s="784"/>
      <c r="K103" s="784"/>
      <c r="L103" s="784"/>
      <c r="M103" s="784"/>
      <c r="N103" s="784"/>
      <c r="O103" s="784"/>
      <c r="P103" s="784"/>
      <c r="Q103" s="784"/>
      <c r="R103" s="784"/>
      <c r="S103" s="784"/>
      <c r="T103" s="784"/>
      <c r="U103" s="784"/>
      <c r="V103" s="784"/>
      <c r="W103" s="784"/>
      <c r="X103" s="784"/>
      <c r="Y103" s="784"/>
      <c r="Z103" s="784"/>
      <c r="AA103" s="784"/>
      <c r="AB103" s="784"/>
      <c r="AC103" s="784"/>
      <c r="AD103" s="784"/>
      <c r="AE103" s="784"/>
      <c r="AF103" s="784"/>
    </row>
    <row r="104" spans="6:32" ht="16.5" customHeight="1">
      <c r="F104" s="784"/>
      <c r="G104" s="784"/>
      <c r="H104" s="784"/>
      <c r="I104" s="784"/>
      <c r="J104" s="784"/>
      <c r="K104" s="784"/>
      <c r="L104" s="784"/>
      <c r="M104" s="784"/>
      <c r="N104" s="784"/>
      <c r="O104" s="784"/>
      <c r="P104" s="784"/>
      <c r="Q104" s="784"/>
      <c r="R104" s="784"/>
      <c r="S104" s="784"/>
      <c r="T104" s="784"/>
      <c r="U104" s="784"/>
      <c r="V104" s="784"/>
      <c r="W104" s="784"/>
      <c r="X104" s="784"/>
      <c r="Y104" s="784"/>
      <c r="Z104" s="784"/>
      <c r="AA104" s="784"/>
      <c r="AB104" s="784"/>
      <c r="AC104" s="784"/>
      <c r="AD104" s="784"/>
      <c r="AE104" s="784"/>
      <c r="AF104" s="784"/>
    </row>
    <row r="105" spans="6:32" ht="16.5" customHeight="1">
      <c r="F105" s="784"/>
      <c r="G105" s="784"/>
      <c r="H105" s="784"/>
      <c r="I105" s="784"/>
      <c r="J105" s="784"/>
      <c r="K105" s="784"/>
      <c r="L105" s="784"/>
      <c r="M105" s="784"/>
      <c r="N105" s="784"/>
      <c r="O105" s="784"/>
      <c r="P105" s="784"/>
      <c r="Q105" s="784"/>
      <c r="R105" s="784"/>
      <c r="S105" s="784"/>
      <c r="T105" s="784"/>
      <c r="U105" s="784"/>
      <c r="V105" s="784"/>
      <c r="W105" s="784"/>
      <c r="X105" s="784"/>
      <c r="Y105" s="784"/>
      <c r="Z105" s="784"/>
      <c r="AA105" s="784"/>
      <c r="AB105" s="784"/>
      <c r="AC105" s="784"/>
      <c r="AD105" s="784"/>
      <c r="AE105" s="784"/>
      <c r="AF105" s="784"/>
    </row>
    <row r="106" spans="6:32" ht="16.5" customHeight="1">
      <c r="F106" s="784"/>
      <c r="G106" s="784"/>
      <c r="H106" s="784"/>
      <c r="I106" s="784"/>
      <c r="J106" s="784"/>
      <c r="K106" s="784"/>
      <c r="L106" s="784"/>
      <c r="M106" s="784"/>
      <c r="N106" s="784"/>
      <c r="O106" s="784"/>
      <c r="P106" s="784"/>
      <c r="Q106" s="784"/>
      <c r="R106" s="784"/>
      <c r="S106" s="784"/>
      <c r="T106" s="784"/>
      <c r="U106" s="784"/>
      <c r="V106" s="784"/>
      <c r="W106" s="784"/>
      <c r="X106" s="784"/>
      <c r="Y106" s="784"/>
      <c r="Z106" s="784"/>
      <c r="AA106" s="784"/>
      <c r="AB106" s="784"/>
      <c r="AC106" s="784"/>
      <c r="AD106" s="784"/>
      <c r="AE106" s="784"/>
      <c r="AF106" s="784"/>
    </row>
    <row r="107" spans="6:32" ht="16.5" customHeight="1">
      <c r="F107" s="784"/>
      <c r="G107" s="784"/>
      <c r="H107" s="784"/>
      <c r="I107" s="784"/>
      <c r="J107" s="784"/>
      <c r="K107" s="784"/>
      <c r="L107" s="784"/>
      <c r="M107" s="784"/>
      <c r="N107" s="784"/>
      <c r="O107" s="784"/>
      <c r="P107" s="784"/>
      <c r="Q107" s="784"/>
      <c r="R107" s="784"/>
      <c r="S107" s="784"/>
      <c r="T107" s="784"/>
      <c r="U107" s="784"/>
      <c r="V107" s="784"/>
      <c r="W107" s="784"/>
      <c r="X107" s="784"/>
      <c r="Y107" s="784"/>
      <c r="Z107" s="784"/>
      <c r="AA107" s="784"/>
      <c r="AB107" s="784"/>
      <c r="AC107" s="784"/>
      <c r="AD107" s="784"/>
      <c r="AE107" s="784"/>
      <c r="AF107" s="784"/>
    </row>
    <row r="108" spans="6:32" ht="16.5" customHeight="1">
      <c r="F108" s="784"/>
      <c r="G108" s="784"/>
      <c r="H108" s="784"/>
      <c r="I108" s="784"/>
      <c r="J108" s="784"/>
      <c r="K108" s="784"/>
      <c r="L108" s="784"/>
      <c r="M108" s="784"/>
      <c r="N108" s="784"/>
      <c r="O108" s="784"/>
      <c r="P108" s="784"/>
      <c r="Q108" s="784"/>
      <c r="R108" s="784"/>
      <c r="S108" s="784"/>
      <c r="T108" s="784"/>
      <c r="U108" s="784"/>
      <c r="V108" s="784"/>
      <c r="W108" s="784"/>
      <c r="X108" s="784"/>
      <c r="Y108" s="784"/>
      <c r="Z108" s="784"/>
      <c r="AA108" s="784"/>
      <c r="AB108" s="784"/>
      <c r="AC108" s="784"/>
      <c r="AD108" s="784"/>
      <c r="AE108" s="784"/>
      <c r="AF108" s="784"/>
    </row>
    <row r="109" spans="6:32" ht="16.5" customHeight="1">
      <c r="F109" s="784"/>
      <c r="G109" s="784"/>
      <c r="H109" s="784"/>
      <c r="I109" s="784"/>
      <c r="J109" s="784"/>
      <c r="K109" s="784"/>
      <c r="L109" s="784"/>
      <c r="M109" s="784"/>
      <c r="N109" s="784"/>
      <c r="O109" s="784"/>
      <c r="P109" s="784"/>
      <c r="Q109" s="784"/>
      <c r="R109" s="784"/>
      <c r="S109" s="784"/>
      <c r="T109" s="784"/>
      <c r="U109" s="784"/>
      <c r="V109" s="784"/>
      <c r="W109" s="784"/>
      <c r="X109" s="784"/>
      <c r="Y109" s="784"/>
      <c r="Z109" s="784"/>
      <c r="AA109" s="784"/>
      <c r="AB109" s="784"/>
      <c r="AC109" s="784"/>
      <c r="AD109" s="784"/>
      <c r="AE109" s="784"/>
      <c r="AF109" s="784"/>
    </row>
    <row r="110" spans="6:32" ht="16.5" customHeight="1">
      <c r="F110" s="784"/>
      <c r="G110" s="784"/>
      <c r="H110" s="784"/>
      <c r="I110" s="784"/>
      <c r="J110" s="784"/>
      <c r="K110" s="784"/>
      <c r="L110" s="784"/>
      <c r="M110" s="784"/>
      <c r="N110" s="784"/>
      <c r="O110" s="784"/>
      <c r="P110" s="784"/>
      <c r="Q110" s="784"/>
      <c r="R110" s="784"/>
      <c r="S110" s="784"/>
      <c r="T110" s="784"/>
      <c r="U110" s="784"/>
      <c r="V110" s="784"/>
      <c r="W110" s="784"/>
      <c r="X110" s="784"/>
      <c r="Y110" s="784"/>
      <c r="Z110" s="784"/>
      <c r="AA110" s="784"/>
      <c r="AB110" s="784"/>
      <c r="AC110" s="784"/>
      <c r="AD110" s="784"/>
      <c r="AE110" s="784"/>
      <c r="AF110" s="784"/>
    </row>
    <row r="111" spans="6:32" ht="16.5" customHeight="1">
      <c r="F111" s="784"/>
      <c r="G111" s="784"/>
      <c r="H111" s="784"/>
      <c r="I111" s="784"/>
      <c r="J111" s="784"/>
      <c r="K111" s="784"/>
      <c r="L111" s="784"/>
      <c r="M111" s="784"/>
      <c r="N111" s="784"/>
      <c r="O111" s="784"/>
      <c r="P111" s="784"/>
      <c r="Q111" s="784"/>
      <c r="R111" s="784"/>
      <c r="S111" s="784"/>
      <c r="T111" s="784"/>
      <c r="U111" s="784"/>
      <c r="V111" s="784"/>
      <c r="W111" s="784"/>
      <c r="X111" s="784"/>
      <c r="Y111" s="784"/>
      <c r="Z111" s="784"/>
      <c r="AA111" s="784"/>
      <c r="AB111" s="784"/>
      <c r="AC111" s="784"/>
      <c r="AD111" s="784"/>
      <c r="AE111" s="784"/>
      <c r="AF111" s="784"/>
    </row>
    <row r="112" spans="6:32" ht="16.5" customHeight="1">
      <c r="F112" s="784"/>
      <c r="G112" s="784"/>
      <c r="H112" s="784"/>
      <c r="I112" s="784"/>
      <c r="J112" s="784"/>
      <c r="K112" s="784"/>
      <c r="L112" s="784"/>
      <c r="M112" s="784"/>
      <c r="N112" s="784"/>
      <c r="O112" s="784"/>
      <c r="P112" s="784"/>
      <c r="Q112" s="784"/>
      <c r="R112" s="784"/>
      <c r="S112" s="784"/>
      <c r="T112" s="784"/>
      <c r="U112" s="784"/>
      <c r="V112" s="784"/>
      <c r="W112" s="784"/>
      <c r="X112" s="784"/>
      <c r="Y112" s="784"/>
      <c r="Z112" s="784"/>
      <c r="AA112" s="784"/>
      <c r="AB112" s="784"/>
      <c r="AC112" s="784"/>
      <c r="AD112" s="784"/>
      <c r="AE112" s="784"/>
      <c r="AF112" s="784"/>
    </row>
    <row r="113" spans="6:32" ht="16.5" customHeight="1">
      <c r="F113" s="784"/>
      <c r="G113" s="784"/>
      <c r="H113" s="784"/>
      <c r="I113" s="784"/>
      <c r="J113" s="784"/>
      <c r="K113" s="784"/>
      <c r="L113" s="784"/>
      <c r="M113" s="784"/>
      <c r="N113" s="784"/>
      <c r="O113" s="784"/>
      <c r="P113" s="784"/>
      <c r="Q113" s="784"/>
      <c r="R113" s="784"/>
      <c r="S113" s="784"/>
      <c r="T113" s="784"/>
      <c r="U113" s="784"/>
      <c r="V113" s="784"/>
      <c r="W113" s="784"/>
      <c r="X113" s="784"/>
      <c r="Y113" s="784"/>
      <c r="Z113" s="784"/>
      <c r="AA113" s="784"/>
      <c r="AB113" s="784"/>
      <c r="AC113" s="784"/>
      <c r="AD113" s="784"/>
      <c r="AE113" s="784"/>
      <c r="AF113" s="784"/>
    </row>
    <row r="114" spans="6:32" ht="16.5" customHeight="1">
      <c r="F114" s="784"/>
      <c r="G114" s="784"/>
      <c r="H114" s="784"/>
      <c r="I114" s="784"/>
      <c r="J114" s="784"/>
      <c r="K114" s="784"/>
      <c r="L114" s="784"/>
      <c r="M114" s="784"/>
      <c r="N114" s="784"/>
      <c r="O114" s="784"/>
      <c r="P114" s="784"/>
      <c r="Q114" s="784"/>
      <c r="R114" s="784"/>
      <c r="S114" s="784"/>
      <c r="T114" s="784"/>
      <c r="U114" s="784"/>
      <c r="V114" s="784"/>
      <c r="W114" s="784"/>
      <c r="X114" s="784"/>
      <c r="Y114" s="784"/>
      <c r="Z114" s="784"/>
      <c r="AA114" s="784"/>
      <c r="AB114" s="784"/>
      <c r="AC114" s="784"/>
      <c r="AD114" s="784"/>
      <c r="AE114" s="784"/>
      <c r="AF114" s="784"/>
    </row>
    <row r="115" spans="6:32" ht="16.5" customHeight="1">
      <c r="F115" s="784"/>
      <c r="G115" s="784"/>
      <c r="H115" s="784"/>
      <c r="I115" s="784"/>
      <c r="J115" s="784"/>
      <c r="K115" s="784"/>
      <c r="L115" s="784"/>
      <c r="M115" s="784"/>
      <c r="N115" s="784"/>
      <c r="O115" s="784"/>
      <c r="P115" s="784"/>
      <c r="Q115" s="784"/>
      <c r="R115" s="784"/>
      <c r="S115" s="784"/>
      <c r="T115" s="784"/>
      <c r="U115" s="784"/>
      <c r="V115" s="784"/>
      <c r="W115" s="784"/>
      <c r="X115" s="784"/>
      <c r="Y115" s="784"/>
      <c r="Z115" s="784"/>
      <c r="AA115" s="784"/>
      <c r="AB115" s="784"/>
      <c r="AC115" s="784"/>
      <c r="AD115" s="784"/>
      <c r="AE115" s="784"/>
      <c r="AF115" s="784"/>
    </row>
    <row r="116" spans="6:32" ht="16.5" customHeight="1">
      <c r="F116" s="784"/>
      <c r="G116" s="784"/>
      <c r="H116" s="784"/>
      <c r="I116" s="784"/>
      <c r="J116" s="784"/>
      <c r="K116" s="784"/>
      <c r="L116" s="784"/>
      <c r="M116" s="784"/>
      <c r="N116" s="784"/>
      <c r="O116" s="784"/>
      <c r="P116" s="784"/>
      <c r="Q116" s="784"/>
      <c r="R116" s="784"/>
      <c r="S116" s="784"/>
      <c r="T116" s="784"/>
      <c r="U116" s="784"/>
      <c r="V116" s="784"/>
      <c r="W116" s="784"/>
      <c r="X116" s="784"/>
      <c r="Y116" s="784"/>
      <c r="Z116" s="784"/>
      <c r="AA116" s="784"/>
      <c r="AB116" s="784"/>
      <c r="AC116" s="784"/>
      <c r="AD116" s="784"/>
      <c r="AE116" s="784"/>
      <c r="AF116" s="784"/>
    </row>
    <row r="117" spans="6:32" ht="16.5" customHeight="1">
      <c r="F117" s="784"/>
      <c r="G117" s="784"/>
      <c r="H117" s="784"/>
      <c r="I117" s="784"/>
      <c r="J117" s="784"/>
      <c r="K117" s="784"/>
      <c r="L117" s="784"/>
      <c r="M117" s="784"/>
      <c r="N117" s="784"/>
      <c r="O117" s="784"/>
      <c r="P117" s="784"/>
      <c r="Q117" s="784"/>
      <c r="R117" s="784"/>
      <c r="S117" s="784"/>
      <c r="T117" s="784"/>
      <c r="U117" s="784"/>
      <c r="V117" s="784"/>
      <c r="W117" s="784"/>
      <c r="X117" s="784"/>
      <c r="Y117" s="784"/>
      <c r="Z117" s="784"/>
      <c r="AA117" s="784"/>
      <c r="AB117" s="784"/>
      <c r="AC117" s="784"/>
      <c r="AD117" s="784"/>
      <c r="AE117" s="784"/>
      <c r="AF117" s="784"/>
    </row>
    <row r="118" spans="6:32" ht="16.5" customHeight="1">
      <c r="F118" s="784"/>
      <c r="G118" s="784"/>
      <c r="H118" s="784"/>
      <c r="I118" s="784"/>
      <c r="J118" s="784"/>
      <c r="K118" s="784"/>
      <c r="L118" s="784"/>
      <c r="M118" s="784"/>
      <c r="N118" s="784"/>
      <c r="O118" s="784"/>
      <c r="P118" s="784"/>
      <c r="Q118" s="784"/>
      <c r="R118" s="784"/>
      <c r="S118" s="784"/>
      <c r="T118" s="784"/>
      <c r="U118" s="784"/>
      <c r="V118" s="784"/>
      <c r="W118" s="784"/>
      <c r="X118" s="784"/>
      <c r="Y118" s="784"/>
      <c r="Z118" s="784"/>
      <c r="AA118" s="784"/>
      <c r="AB118" s="784"/>
      <c r="AC118" s="784"/>
      <c r="AD118" s="784"/>
      <c r="AE118" s="784"/>
      <c r="AF118" s="784"/>
    </row>
    <row r="119" spans="6:32" ht="16.5" customHeight="1">
      <c r="F119" s="784"/>
      <c r="G119" s="784"/>
      <c r="H119" s="784"/>
      <c r="I119" s="784"/>
      <c r="J119" s="784"/>
      <c r="K119" s="784"/>
      <c r="L119" s="784"/>
      <c r="M119" s="784"/>
      <c r="N119" s="784"/>
      <c r="O119" s="784"/>
      <c r="P119" s="784"/>
      <c r="Q119" s="784"/>
      <c r="R119" s="784"/>
      <c r="S119" s="784"/>
      <c r="T119" s="784"/>
      <c r="U119" s="784"/>
      <c r="V119" s="784"/>
      <c r="W119" s="784"/>
      <c r="X119" s="784"/>
      <c r="Y119" s="784"/>
      <c r="Z119" s="784"/>
      <c r="AA119" s="784"/>
      <c r="AB119" s="784"/>
      <c r="AC119" s="784"/>
      <c r="AD119" s="784"/>
      <c r="AE119" s="784"/>
      <c r="AF119" s="784"/>
    </row>
    <row r="120" spans="6:32" ht="16.5" customHeight="1">
      <c r="F120" s="784"/>
      <c r="G120" s="784"/>
      <c r="H120" s="784"/>
      <c r="I120" s="784"/>
      <c r="J120" s="784"/>
      <c r="K120" s="784"/>
      <c r="L120" s="784"/>
      <c r="M120" s="784"/>
      <c r="N120" s="784"/>
      <c r="O120" s="784"/>
      <c r="P120" s="784"/>
      <c r="Q120" s="784"/>
      <c r="R120" s="784"/>
      <c r="S120" s="784"/>
      <c r="T120" s="784"/>
      <c r="U120" s="784"/>
      <c r="V120" s="784"/>
      <c r="W120" s="784"/>
      <c r="X120" s="784"/>
      <c r="Y120" s="784"/>
      <c r="Z120" s="784"/>
      <c r="AA120" s="784"/>
      <c r="AB120" s="784"/>
      <c r="AC120" s="784"/>
      <c r="AD120" s="784"/>
      <c r="AE120" s="784"/>
      <c r="AF120" s="784"/>
    </row>
    <row r="121" spans="6:32" ht="16.5" customHeight="1">
      <c r="F121" s="784"/>
      <c r="G121" s="784"/>
      <c r="H121" s="784"/>
      <c r="I121" s="784"/>
      <c r="J121" s="784"/>
      <c r="K121" s="784"/>
      <c r="L121" s="784"/>
      <c r="M121" s="784"/>
      <c r="N121" s="784"/>
      <c r="O121" s="784"/>
      <c r="P121" s="784"/>
      <c r="Q121" s="784"/>
      <c r="R121" s="784"/>
      <c r="S121" s="784"/>
      <c r="T121" s="784"/>
      <c r="U121" s="784"/>
      <c r="V121" s="784"/>
      <c r="W121" s="784"/>
      <c r="X121" s="784"/>
      <c r="Y121" s="784"/>
      <c r="Z121" s="784"/>
      <c r="AA121" s="784"/>
      <c r="AB121" s="784"/>
      <c r="AC121" s="784"/>
      <c r="AD121" s="784"/>
      <c r="AE121" s="784"/>
      <c r="AF121" s="784"/>
    </row>
    <row r="122" spans="6:32" ht="16.5" customHeight="1">
      <c r="F122" s="784"/>
      <c r="G122" s="784"/>
      <c r="H122" s="784"/>
      <c r="I122" s="784"/>
      <c r="J122" s="784"/>
      <c r="K122" s="784"/>
      <c r="L122" s="784"/>
      <c r="M122" s="784"/>
      <c r="N122" s="784"/>
      <c r="O122" s="784"/>
      <c r="P122" s="784"/>
      <c r="Q122" s="784"/>
      <c r="R122" s="784"/>
      <c r="S122" s="784"/>
      <c r="T122" s="784"/>
      <c r="U122" s="784"/>
      <c r="V122" s="784"/>
      <c r="W122" s="784"/>
      <c r="X122" s="784"/>
      <c r="Y122" s="784"/>
      <c r="Z122" s="784"/>
      <c r="AA122" s="784"/>
      <c r="AB122" s="784"/>
      <c r="AC122" s="784"/>
      <c r="AD122" s="784"/>
      <c r="AE122" s="784"/>
      <c r="AF122" s="784"/>
    </row>
    <row r="123" spans="6:32" ht="16.5" customHeight="1">
      <c r="F123" s="784"/>
      <c r="G123" s="784"/>
      <c r="H123" s="784"/>
      <c r="I123" s="784"/>
      <c r="J123" s="784"/>
      <c r="K123" s="784"/>
      <c r="L123" s="784"/>
      <c r="M123" s="784"/>
      <c r="N123" s="784"/>
      <c r="O123" s="784"/>
      <c r="P123" s="784"/>
      <c r="Q123" s="784"/>
      <c r="R123" s="784"/>
      <c r="S123" s="784"/>
      <c r="T123" s="784"/>
      <c r="U123" s="784"/>
      <c r="V123" s="784"/>
      <c r="W123" s="784"/>
      <c r="X123" s="784"/>
      <c r="Y123" s="784"/>
      <c r="Z123" s="784"/>
      <c r="AA123" s="784"/>
      <c r="AB123" s="784"/>
      <c r="AC123" s="784"/>
      <c r="AD123" s="784"/>
      <c r="AE123" s="784"/>
      <c r="AF123" s="784"/>
    </row>
    <row r="124" spans="6:32" ht="16.5" customHeight="1">
      <c r="F124" s="784"/>
      <c r="G124" s="784"/>
      <c r="H124" s="784"/>
      <c r="I124" s="784"/>
      <c r="J124" s="784"/>
      <c r="K124" s="784"/>
      <c r="L124" s="784"/>
      <c r="M124" s="784"/>
      <c r="N124" s="784"/>
      <c r="O124" s="784"/>
      <c r="P124" s="784"/>
      <c r="Q124" s="784"/>
      <c r="R124" s="784"/>
      <c r="S124" s="784"/>
      <c r="T124" s="784"/>
      <c r="U124" s="784"/>
      <c r="V124" s="784"/>
      <c r="W124" s="784"/>
      <c r="X124" s="784"/>
      <c r="Y124" s="784"/>
      <c r="Z124" s="784"/>
      <c r="AA124" s="784"/>
      <c r="AB124" s="784"/>
      <c r="AC124" s="784"/>
      <c r="AD124" s="784"/>
      <c r="AE124" s="784"/>
      <c r="AF124" s="784"/>
    </row>
    <row r="125" spans="6:32" ht="16.5" customHeight="1">
      <c r="F125" s="784"/>
      <c r="G125" s="784"/>
      <c r="H125" s="784"/>
      <c r="I125" s="784"/>
      <c r="J125" s="784"/>
      <c r="K125" s="784"/>
      <c r="L125" s="784"/>
      <c r="M125" s="784"/>
      <c r="N125" s="784"/>
      <c r="O125" s="784"/>
      <c r="P125" s="784"/>
      <c r="Q125" s="784"/>
      <c r="R125" s="784"/>
      <c r="S125" s="784"/>
      <c r="T125" s="784"/>
      <c r="U125" s="784"/>
      <c r="V125" s="784"/>
      <c r="W125" s="784"/>
      <c r="X125" s="784"/>
      <c r="Y125" s="784"/>
      <c r="Z125" s="784"/>
      <c r="AA125" s="784"/>
      <c r="AB125" s="784"/>
      <c r="AC125" s="784"/>
      <c r="AD125" s="784"/>
      <c r="AE125" s="784"/>
      <c r="AF125" s="784"/>
    </row>
    <row r="126" spans="6:32" ht="16.5" customHeight="1">
      <c r="F126" s="784"/>
      <c r="G126" s="784"/>
      <c r="H126" s="784"/>
      <c r="I126" s="784"/>
      <c r="J126" s="784"/>
      <c r="K126" s="784"/>
      <c r="L126" s="784"/>
      <c r="M126" s="784"/>
      <c r="N126" s="784"/>
      <c r="O126" s="784"/>
      <c r="P126" s="784"/>
      <c r="Q126" s="784"/>
      <c r="R126" s="784"/>
      <c r="S126" s="784"/>
      <c r="T126" s="784"/>
      <c r="U126" s="784"/>
      <c r="V126" s="784"/>
      <c r="W126" s="784"/>
      <c r="X126" s="784"/>
      <c r="Y126" s="784"/>
      <c r="Z126" s="784"/>
      <c r="AA126" s="784"/>
      <c r="AB126" s="784"/>
      <c r="AC126" s="784"/>
      <c r="AD126" s="784"/>
      <c r="AE126" s="784"/>
      <c r="AF126" s="784"/>
    </row>
    <row r="127" spans="6:32" ht="16.5" customHeight="1">
      <c r="F127" s="784"/>
      <c r="G127" s="784"/>
      <c r="H127" s="784"/>
      <c r="I127" s="784"/>
      <c r="J127" s="784"/>
      <c r="K127" s="784"/>
      <c r="L127" s="784"/>
      <c r="M127" s="784"/>
      <c r="N127" s="784"/>
      <c r="O127" s="784"/>
      <c r="P127" s="784"/>
      <c r="Q127" s="784"/>
      <c r="R127" s="784"/>
      <c r="S127" s="784"/>
      <c r="T127" s="784"/>
      <c r="U127" s="784"/>
      <c r="V127" s="784"/>
      <c r="W127" s="784"/>
      <c r="X127" s="784"/>
      <c r="Y127" s="784"/>
      <c r="Z127" s="784"/>
      <c r="AA127" s="784"/>
      <c r="AB127" s="784"/>
      <c r="AC127" s="784"/>
      <c r="AD127" s="784"/>
      <c r="AE127" s="784"/>
      <c r="AF127" s="784"/>
    </row>
    <row r="128" spans="6:32" ht="16.5" customHeight="1">
      <c r="F128" s="784"/>
      <c r="G128" s="784"/>
      <c r="H128" s="784"/>
      <c r="I128" s="784"/>
      <c r="J128" s="784"/>
      <c r="K128" s="784"/>
      <c r="L128" s="784"/>
      <c r="M128" s="784"/>
      <c r="N128" s="784"/>
      <c r="O128" s="784"/>
      <c r="P128" s="784"/>
      <c r="Q128" s="784"/>
      <c r="R128" s="784"/>
      <c r="S128" s="784"/>
      <c r="T128" s="784"/>
      <c r="U128" s="784"/>
      <c r="V128" s="784"/>
      <c r="W128" s="784"/>
      <c r="X128" s="784"/>
      <c r="Y128" s="784"/>
      <c r="Z128" s="784"/>
      <c r="AA128" s="784"/>
      <c r="AB128" s="784"/>
      <c r="AC128" s="784"/>
      <c r="AD128" s="784"/>
      <c r="AE128" s="784"/>
      <c r="AF128" s="784"/>
    </row>
    <row r="129" spans="6:32" ht="16.5" customHeight="1">
      <c r="F129" s="784"/>
      <c r="G129" s="784"/>
      <c r="H129" s="784"/>
      <c r="I129" s="784"/>
      <c r="J129" s="784"/>
      <c r="K129" s="784"/>
      <c r="L129" s="784"/>
      <c r="M129" s="784"/>
      <c r="N129" s="784"/>
      <c r="O129" s="784"/>
      <c r="P129" s="784"/>
      <c r="Q129" s="784"/>
      <c r="R129" s="784"/>
      <c r="S129" s="784"/>
      <c r="T129" s="784"/>
      <c r="U129" s="784"/>
      <c r="V129" s="784"/>
      <c r="W129" s="784"/>
      <c r="X129" s="784"/>
      <c r="Y129" s="784"/>
      <c r="Z129" s="784"/>
      <c r="AA129" s="784"/>
      <c r="AB129" s="784"/>
      <c r="AC129" s="784"/>
      <c r="AD129" s="784"/>
      <c r="AE129" s="784"/>
      <c r="AF129" s="784"/>
    </row>
    <row r="130" spans="6:32" ht="16.5" customHeight="1">
      <c r="F130" s="784"/>
      <c r="G130" s="784"/>
      <c r="H130" s="784"/>
      <c r="I130" s="784"/>
      <c r="J130" s="784"/>
      <c r="K130" s="784"/>
      <c r="L130" s="784"/>
      <c r="M130" s="784"/>
      <c r="N130" s="784"/>
      <c r="O130" s="784"/>
      <c r="P130" s="784"/>
      <c r="Q130" s="784"/>
      <c r="R130" s="784"/>
      <c r="S130" s="784"/>
      <c r="T130" s="784"/>
      <c r="U130" s="784"/>
      <c r="V130" s="784"/>
      <c r="W130" s="784"/>
      <c r="X130" s="784"/>
      <c r="Y130" s="784"/>
      <c r="Z130" s="784"/>
      <c r="AA130" s="784"/>
      <c r="AB130" s="784"/>
      <c r="AC130" s="784"/>
      <c r="AD130" s="784"/>
      <c r="AE130" s="784"/>
      <c r="AF130" s="784"/>
    </row>
    <row r="131" spans="6:32" ht="16.5" customHeight="1">
      <c r="F131" s="784"/>
      <c r="G131" s="784"/>
      <c r="H131" s="784"/>
      <c r="I131" s="784"/>
      <c r="J131" s="784"/>
      <c r="K131" s="784"/>
      <c r="L131" s="784"/>
      <c r="M131" s="784"/>
      <c r="N131" s="784"/>
      <c r="O131" s="784"/>
      <c r="P131" s="784"/>
      <c r="Q131" s="784"/>
      <c r="R131" s="784"/>
      <c r="S131" s="784"/>
      <c r="T131" s="784"/>
      <c r="U131" s="784"/>
      <c r="V131" s="784"/>
      <c r="W131" s="784"/>
      <c r="X131" s="784"/>
      <c r="Y131" s="784"/>
      <c r="Z131" s="784"/>
      <c r="AA131" s="784"/>
      <c r="AB131" s="784"/>
      <c r="AC131" s="784"/>
      <c r="AD131" s="784"/>
      <c r="AE131" s="784"/>
      <c r="AF131" s="784"/>
    </row>
    <row r="132" spans="6:32" ht="16.5" customHeight="1">
      <c r="F132" s="784"/>
      <c r="G132" s="784"/>
      <c r="H132" s="784"/>
      <c r="I132" s="784"/>
      <c r="J132" s="784"/>
      <c r="K132" s="784"/>
      <c r="L132" s="784"/>
      <c r="M132" s="784"/>
      <c r="N132" s="784"/>
      <c r="O132" s="784"/>
      <c r="P132" s="784"/>
      <c r="Q132" s="784"/>
      <c r="R132" s="784"/>
      <c r="S132" s="784"/>
      <c r="T132" s="784"/>
      <c r="U132" s="784"/>
      <c r="V132" s="784"/>
      <c r="W132" s="784"/>
      <c r="X132" s="784"/>
      <c r="Y132" s="784"/>
      <c r="Z132" s="784"/>
      <c r="AA132" s="784"/>
      <c r="AB132" s="784"/>
      <c r="AC132" s="784"/>
      <c r="AD132" s="784"/>
      <c r="AE132" s="784"/>
      <c r="AF132" s="784"/>
    </row>
    <row r="133" spans="6:32" ht="16.5" customHeight="1">
      <c r="F133" s="784"/>
      <c r="G133" s="784"/>
      <c r="H133" s="784"/>
      <c r="I133" s="784"/>
      <c r="J133" s="784"/>
      <c r="K133" s="784"/>
      <c r="L133" s="784"/>
      <c r="M133" s="784"/>
      <c r="N133" s="784"/>
      <c r="O133" s="784"/>
      <c r="P133" s="784"/>
      <c r="Q133" s="784"/>
      <c r="R133" s="784"/>
      <c r="S133" s="784"/>
      <c r="T133" s="784"/>
      <c r="U133" s="784"/>
      <c r="V133" s="784"/>
      <c r="W133" s="784"/>
      <c r="X133" s="784"/>
      <c r="Y133" s="784"/>
      <c r="Z133" s="784"/>
      <c r="AA133" s="784"/>
      <c r="AB133" s="784"/>
      <c r="AC133" s="784"/>
      <c r="AD133" s="784"/>
      <c r="AE133" s="784"/>
      <c r="AF133" s="784"/>
    </row>
    <row r="134" spans="6:32" ht="16.5" customHeight="1">
      <c r="F134" s="784"/>
      <c r="G134" s="784"/>
      <c r="H134" s="784"/>
      <c r="I134" s="784"/>
      <c r="J134" s="784"/>
      <c r="K134" s="784"/>
      <c r="L134" s="784"/>
      <c r="M134" s="784"/>
      <c r="N134" s="784"/>
      <c r="O134" s="784"/>
      <c r="P134" s="784"/>
      <c r="Q134" s="784"/>
      <c r="R134" s="784"/>
      <c r="S134" s="784"/>
      <c r="T134" s="784"/>
      <c r="U134" s="784"/>
      <c r="V134" s="784"/>
      <c r="W134" s="784"/>
      <c r="X134" s="784"/>
      <c r="Y134" s="784"/>
      <c r="Z134" s="784"/>
      <c r="AA134" s="784"/>
      <c r="AB134" s="784"/>
      <c r="AC134" s="784"/>
      <c r="AD134" s="784"/>
      <c r="AE134" s="784"/>
      <c r="AF134" s="784"/>
    </row>
    <row r="135" spans="6:32" ht="16.5" customHeight="1">
      <c r="F135" s="784"/>
      <c r="G135" s="784"/>
      <c r="H135" s="784"/>
      <c r="I135" s="784"/>
      <c r="J135" s="784"/>
      <c r="K135" s="784"/>
      <c r="L135" s="784"/>
      <c r="M135" s="784"/>
      <c r="N135" s="784"/>
      <c r="O135" s="784"/>
      <c r="P135" s="784"/>
      <c r="Q135" s="784"/>
      <c r="R135" s="784"/>
      <c r="S135" s="784"/>
      <c r="T135" s="784"/>
      <c r="U135" s="784"/>
      <c r="V135" s="784"/>
      <c r="W135" s="784"/>
      <c r="X135" s="784"/>
      <c r="Y135" s="784"/>
      <c r="Z135" s="784"/>
      <c r="AA135" s="784"/>
      <c r="AB135" s="784"/>
      <c r="AC135" s="784"/>
      <c r="AD135" s="784"/>
      <c r="AE135" s="784"/>
      <c r="AF135" s="784"/>
    </row>
    <row r="136" spans="6:32" ht="16.5" customHeight="1">
      <c r="F136" s="784"/>
      <c r="G136" s="784"/>
      <c r="H136" s="784"/>
      <c r="I136" s="784"/>
      <c r="J136" s="784"/>
      <c r="K136" s="784"/>
      <c r="L136" s="784"/>
      <c r="M136" s="784"/>
      <c r="N136" s="784"/>
      <c r="O136" s="784"/>
      <c r="P136" s="784"/>
      <c r="Q136" s="784"/>
      <c r="R136" s="784"/>
      <c r="S136" s="784"/>
      <c r="T136" s="784"/>
      <c r="U136" s="784"/>
      <c r="V136" s="784"/>
      <c r="W136" s="784"/>
      <c r="X136" s="784"/>
      <c r="Y136" s="784"/>
      <c r="Z136" s="784"/>
      <c r="AA136" s="784"/>
      <c r="AB136" s="784"/>
      <c r="AC136" s="784"/>
      <c r="AD136" s="784"/>
      <c r="AE136" s="784"/>
      <c r="AF136" s="784"/>
    </row>
    <row r="137" spans="6:32" ht="16.5" customHeight="1">
      <c r="F137" s="784"/>
      <c r="G137" s="784"/>
      <c r="H137" s="784"/>
      <c r="I137" s="784"/>
      <c r="J137" s="784"/>
      <c r="K137" s="784"/>
      <c r="L137" s="784"/>
      <c r="M137" s="784"/>
      <c r="N137" s="784"/>
      <c r="O137" s="784"/>
      <c r="P137" s="784"/>
      <c r="Q137" s="784"/>
      <c r="R137" s="784"/>
      <c r="S137" s="784"/>
      <c r="T137" s="784"/>
      <c r="U137" s="784"/>
      <c r="V137" s="784"/>
      <c r="W137" s="784"/>
      <c r="X137" s="784"/>
      <c r="Y137" s="784"/>
      <c r="Z137" s="784"/>
      <c r="AA137" s="784"/>
      <c r="AB137" s="784"/>
      <c r="AC137" s="784"/>
      <c r="AD137" s="784"/>
      <c r="AE137" s="784"/>
      <c r="AF137" s="784"/>
    </row>
    <row r="138" spans="6:32" ht="16.5" customHeight="1">
      <c r="F138" s="784"/>
      <c r="G138" s="784"/>
      <c r="H138" s="784"/>
      <c r="I138" s="784"/>
      <c r="J138" s="784"/>
      <c r="K138" s="784"/>
      <c r="L138" s="784"/>
      <c r="M138" s="784"/>
      <c r="N138" s="784"/>
      <c r="O138" s="784"/>
      <c r="P138" s="784"/>
      <c r="Q138" s="784"/>
      <c r="R138" s="784"/>
      <c r="S138" s="784"/>
      <c r="T138" s="784"/>
      <c r="U138" s="784"/>
      <c r="V138" s="784"/>
      <c r="W138" s="784"/>
      <c r="X138" s="784"/>
      <c r="Y138" s="784"/>
      <c r="Z138" s="784"/>
      <c r="AA138" s="784"/>
      <c r="AB138" s="784"/>
      <c r="AC138" s="784"/>
      <c r="AD138" s="784"/>
      <c r="AE138" s="784"/>
      <c r="AF138" s="784"/>
    </row>
    <row r="139" spans="6:32" ht="16.5" customHeight="1">
      <c r="F139" s="784"/>
      <c r="G139" s="784"/>
      <c r="H139" s="784"/>
      <c r="I139" s="784"/>
      <c r="J139" s="784"/>
      <c r="K139" s="784"/>
      <c r="L139" s="784"/>
      <c r="M139" s="784"/>
      <c r="N139" s="784"/>
      <c r="O139" s="784"/>
      <c r="P139" s="784"/>
      <c r="Q139" s="784"/>
      <c r="R139" s="784"/>
      <c r="S139" s="784"/>
      <c r="T139" s="784"/>
      <c r="U139" s="784"/>
      <c r="V139" s="784"/>
      <c r="W139" s="784"/>
      <c r="X139" s="784"/>
      <c r="Y139" s="784"/>
      <c r="Z139" s="784"/>
      <c r="AA139" s="784"/>
      <c r="AB139" s="784"/>
      <c r="AC139" s="784"/>
      <c r="AD139" s="784"/>
      <c r="AE139" s="784"/>
      <c r="AF139" s="784"/>
    </row>
    <row r="140" spans="6:32" ht="16.5" customHeight="1">
      <c r="F140" s="784"/>
      <c r="G140" s="784"/>
      <c r="H140" s="784"/>
      <c r="I140" s="784"/>
      <c r="J140" s="784"/>
      <c r="K140" s="784"/>
      <c r="L140" s="784"/>
      <c r="M140" s="784"/>
      <c r="N140" s="784"/>
      <c r="O140" s="784"/>
      <c r="P140" s="784"/>
      <c r="Q140" s="784"/>
      <c r="R140" s="784"/>
      <c r="S140" s="784"/>
      <c r="T140" s="784"/>
      <c r="U140" s="784"/>
      <c r="V140" s="784"/>
      <c r="W140" s="784"/>
      <c r="X140" s="784"/>
      <c r="Y140" s="784"/>
      <c r="Z140" s="784"/>
      <c r="AA140" s="784"/>
      <c r="AB140" s="784"/>
      <c r="AC140" s="784"/>
      <c r="AD140" s="784"/>
      <c r="AE140" s="784"/>
      <c r="AF140" s="784"/>
    </row>
    <row r="141" spans="6:32" ht="16.5" customHeight="1">
      <c r="F141" s="784"/>
      <c r="G141" s="784"/>
      <c r="H141" s="784"/>
      <c r="I141" s="784"/>
      <c r="J141" s="784"/>
      <c r="K141" s="784"/>
      <c r="L141" s="784"/>
      <c r="M141" s="784"/>
      <c r="N141" s="784"/>
      <c r="O141" s="784"/>
      <c r="P141" s="784"/>
      <c r="Q141" s="784"/>
      <c r="R141" s="784"/>
      <c r="S141" s="784"/>
      <c r="T141" s="784"/>
      <c r="U141" s="784"/>
      <c r="V141" s="784"/>
      <c r="W141" s="784"/>
      <c r="X141" s="784"/>
      <c r="Y141" s="784"/>
      <c r="Z141" s="784"/>
      <c r="AA141" s="784"/>
      <c r="AB141" s="784"/>
      <c r="AC141" s="784"/>
      <c r="AD141" s="784"/>
      <c r="AE141" s="784"/>
      <c r="AF141" s="784"/>
    </row>
    <row r="142" spans="6:32" ht="16.5" customHeight="1">
      <c r="F142" s="784"/>
      <c r="G142" s="784"/>
      <c r="H142" s="784"/>
      <c r="I142" s="784"/>
      <c r="J142" s="784"/>
      <c r="K142" s="784"/>
      <c r="L142" s="784"/>
      <c r="M142" s="784"/>
      <c r="N142" s="784"/>
      <c r="O142" s="784"/>
      <c r="P142" s="784"/>
      <c r="Q142" s="784"/>
      <c r="R142" s="784"/>
      <c r="S142" s="784"/>
      <c r="T142" s="784"/>
      <c r="U142" s="784"/>
      <c r="V142" s="784"/>
      <c r="W142" s="784"/>
      <c r="X142" s="784"/>
      <c r="Y142" s="784"/>
      <c r="Z142" s="784"/>
      <c r="AA142" s="784"/>
      <c r="AB142" s="784"/>
      <c r="AC142" s="784"/>
      <c r="AD142" s="784"/>
      <c r="AE142" s="784"/>
      <c r="AF142" s="784"/>
    </row>
    <row r="143" spans="6:32" ht="16.5" customHeight="1">
      <c r="F143" s="784"/>
      <c r="G143" s="784"/>
      <c r="H143" s="784"/>
      <c r="I143" s="784"/>
      <c r="J143" s="784"/>
      <c r="K143" s="784"/>
      <c r="L143" s="784"/>
      <c r="M143" s="784"/>
      <c r="N143" s="784"/>
      <c r="O143" s="784"/>
      <c r="P143" s="784"/>
      <c r="Q143" s="784"/>
      <c r="R143" s="784"/>
      <c r="S143" s="784"/>
      <c r="T143" s="784"/>
      <c r="U143" s="784"/>
      <c r="V143" s="784"/>
      <c r="W143" s="784"/>
      <c r="X143" s="784"/>
      <c r="Y143" s="784"/>
      <c r="Z143" s="784"/>
      <c r="AA143" s="784"/>
      <c r="AB143" s="784"/>
      <c r="AC143" s="784"/>
      <c r="AD143" s="784"/>
      <c r="AE143" s="784"/>
      <c r="AF143" s="784"/>
    </row>
    <row r="144" spans="6:32" ht="16.5" customHeight="1">
      <c r="F144" s="784"/>
      <c r="G144" s="784"/>
      <c r="H144" s="784"/>
      <c r="I144" s="784"/>
      <c r="J144" s="784"/>
      <c r="K144" s="784"/>
      <c r="L144" s="784"/>
      <c r="M144" s="784"/>
      <c r="N144" s="784"/>
      <c r="O144" s="784"/>
      <c r="P144" s="784"/>
      <c r="Q144" s="784"/>
      <c r="R144" s="784"/>
      <c r="S144" s="784"/>
      <c r="T144" s="784"/>
      <c r="U144" s="784"/>
      <c r="V144" s="784"/>
      <c r="W144" s="784"/>
      <c r="X144" s="784"/>
      <c r="Y144" s="784"/>
      <c r="Z144" s="784"/>
      <c r="AA144" s="784"/>
      <c r="AB144" s="784"/>
      <c r="AC144" s="784"/>
      <c r="AD144" s="784"/>
      <c r="AE144" s="784"/>
      <c r="AF144" s="784"/>
    </row>
    <row r="145" spans="6:32" ht="16.5" customHeight="1">
      <c r="F145" s="784"/>
      <c r="G145" s="784"/>
      <c r="H145" s="784"/>
      <c r="I145" s="784"/>
      <c r="J145" s="784"/>
      <c r="K145" s="784"/>
      <c r="L145" s="784"/>
      <c r="M145" s="784"/>
      <c r="N145" s="784"/>
      <c r="O145" s="784"/>
      <c r="P145" s="784"/>
      <c r="Q145" s="784"/>
      <c r="R145" s="784"/>
      <c r="S145" s="784"/>
      <c r="T145" s="784"/>
      <c r="U145" s="784"/>
      <c r="V145" s="784"/>
      <c r="W145" s="784"/>
      <c r="X145" s="784"/>
      <c r="Y145" s="784"/>
      <c r="Z145" s="784"/>
      <c r="AA145" s="784"/>
      <c r="AB145" s="784"/>
      <c r="AC145" s="784"/>
      <c r="AD145" s="784"/>
      <c r="AE145" s="784"/>
      <c r="AF145" s="784"/>
    </row>
    <row r="146" spans="6:32" ht="16.5" customHeight="1">
      <c r="F146" s="784"/>
      <c r="G146" s="784"/>
      <c r="H146" s="784"/>
      <c r="I146" s="784"/>
      <c r="J146" s="784"/>
      <c r="K146" s="784"/>
      <c r="L146" s="784"/>
      <c r="M146" s="784"/>
      <c r="N146" s="784"/>
      <c r="O146" s="784"/>
      <c r="P146" s="784"/>
      <c r="Q146" s="784"/>
      <c r="R146" s="784"/>
      <c r="S146" s="784"/>
      <c r="T146" s="784"/>
      <c r="U146" s="784"/>
      <c r="V146" s="784"/>
      <c r="W146" s="784"/>
      <c r="X146" s="784"/>
      <c r="Y146" s="784"/>
      <c r="Z146" s="784"/>
      <c r="AA146" s="784"/>
      <c r="AB146" s="784"/>
      <c r="AC146" s="784"/>
      <c r="AD146" s="784"/>
      <c r="AE146" s="784"/>
      <c r="AF146" s="784"/>
    </row>
    <row r="147" spans="6:32" ht="16.5" customHeight="1">
      <c r="F147" s="784"/>
      <c r="G147" s="784"/>
      <c r="H147" s="784"/>
      <c r="I147" s="784"/>
      <c r="J147" s="784"/>
      <c r="K147" s="784"/>
      <c r="L147" s="784"/>
      <c r="M147" s="784"/>
      <c r="N147" s="784"/>
      <c r="O147" s="784"/>
      <c r="P147" s="784"/>
      <c r="Q147" s="784"/>
      <c r="R147" s="784"/>
      <c r="S147" s="784"/>
      <c r="T147" s="784"/>
      <c r="U147" s="784"/>
      <c r="V147" s="784"/>
      <c r="W147" s="784"/>
      <c r="X147" s="784"/>
      <c r="Y147" s="784"/>
      <c r="Z147" s="784"/>
      <c r="AA147" s="784"/>
      <c r="AB147" s="784"/>
      <c r="AC147" s="784"/>
      <c r="AD147" s="784"/>
      <c r="AE147" s="784"/>
      <c r="AF147" s="784"/>
    </row>
    <row r="148" spans="6:32" ht="16.5" customHeight="1">
      <c r="F148" s="784"/>
      <c r="G148" s="784"/>
      <c r="H148" s="784"/>
      <c r="I148" s="784"/>
      <c r="J148" s="784"/>
      <c r="K148" s="784"/>
      <c r="L148" s="784"/>
      <c r="M148" s="784"/>
      <c r="N148" s="784"/>
      <c r="O148" s="784"/>
      <c r="P148" s="784"/>
      <c r="Q148" s="784"/>
      <c r="R148" s="784"/>
      <c r="S148" s="784"/>
      <c r="T148" s="784"/>
      <c r="U148" s="784"/>
      <c r="V148" s="784"/>
      <c r="W148" s="784"/>
      <c r="X148" s="784"/>
      <c r="Y148" s="784"/>
      <c r="Z148" s="784"/>
      <c r="AA148" s="784"/>
      <c r="AB148" s="784"/>
      <c r="AC148" s="784"/>
      <c r="AD148" s="784"/>
      <c r="AE148" s="784"/>
      <c r="AF148" s="784"/>
    </row>
    <row r="149" spans="6:32" ht="16.5" customHeight="1">
      <c r="F149" s="784"/>
      <c r="G149" s="784"/>
      <c r="H149" s="784"/>
      <c r="I149" s="784"/>
      <c r="J149" s="784"/>
      <c r="K149" s="784"/>
      <c r="L149" s="784"/>
      <c r="M149" s="784"/>
      <c r="N149" s="784"/>
      <c r="O149" s="784"/>
      <c r="P149" s="784"/>
      <c r="Q149" s="784"/>
      <c r="R149" s="784"/>
      <c r="S149" s="784"/>
      <c r="T149" s="784"/>
      <c r="U149" s="784"/>
      <c r="V149" s="784"/>
      <c r="W149" s="784"/>
      <c r="X149" s="784"/>
      <c r="Y149" s="784"/>
      <c r="Z149" s="784"/>
      <c r="AA149" s="784"/>
      <c r="AB149" s="784"/>
      <c r="AC149" s="784"/>
      <c r="AD149" s="784"/>
      <c r="AE149" s="784"/>
      <c r="AF149" s="784"/>
    </row>
    <row r="150" spans="6:32" ht="16.5" customHeight="1">
      <c r="F150" s="784"/>
      <c r="G150" s="784"/>
      <c r="H150" s="784"/>
      <c r="I150" s="784"/>
      <c r="J150" s="784"/>
      <c r="K150" s="784"/>
      <c r="L150" s="784"/>
      <c r="M150" s="784"/>
      <c r="N150" s="784"/>
      <c r="O150" s="784"/>
      <c r="P150" s="784"/>
      <c r="Q150" s="784"/>
      <c r="R150" s="784"/>
      <c r="S150" s="784"/>
      <c r="T150" s="784"/>
      <c r="U150" s="784"/>
      <c r="V150" s="784"/>
      <c r="W150" s="784"/>
      <c r="X150" s="784"/>
      <c r="Y150" s="784"/>
      <c r="Z150" s="784"/>
      <c r="AA150" s="784"/>
      <c r="AB150" s="784"/>
      <c r="AC150" s="784"/>
      <c r="AD150" s="784"/>
      <c r="AE150" s="784"/>
      <c r="AF150" s="784"/>
    </row>
    <row r="151" spans="6:32" ht="16.5" customHeight="1">
      <c r="F151" s="784"/>
      <c r="G151" s="784"/>
      <c r="H151" s="784"/>
      <c r="I151" s="784"/>
      <c r="J151" s="784"/>
      <c r="K151" s="784"/>
      <c r="L151" s="784"/>
      <c r="M151" s="784"/>
      <c r="N151" s="784"/>
      <c r="O151" s="784"/>
      <c r="P151" s="784"/>
      <c r="Q151" s="784"/>
      <c r="R151" s="784"/>
      <c r="S151" s="784"/>
      <c r="T151" s="784"/>
      <c r="U151" s="784"/>
      <c r="V151" s="784"/>
      <c r="W151" s="784"/>
      <c r="X151" s="784"/>
      <c r="Y151" s="784"/>
      <c r="Z151" s="784"/>
      <c r="AA151" s="784"/>
      <c r="AB151" s="784"/>
      <c r="AC151" s="784"/>
      <c r="AD151" s="784"/>
      <c r="AE151" s="784"/>
      <c r="AF151" s="784"/>
    </row>
    <row r="152" spans="6:32" ht="16.5" customHeight="1">
      <c r="F152" s="784"/>
      <c r="G152" s="784"/>
      <c r="H152" s="784"/>
      <c r="I152" s="784"/>
      <c r="J152" s="784"/>
      <c r="K152" s="784"/>
      <c r="L152" s="784"/>
      <c r="M152" s="784"/>
      <c r="N152" s="784"/>
      <c r="O152" s="784"/>
      <c r="P152" s="784"/>
      <c r="Q152" s="784"/>
      <c r="R152" s="784"/>
      <c r="S152" s="784"/>
      <c r="T152" s="784"/>
      <c r="U152" s="784"/>
      <c r="V152" s="784"/>
      <c r="W152" s="784"/>
      <c r="X152" s="784"/>
      <c r="Y152" s="784"/>
      <c r="Z152" s="784"/>
      <c r="AA152" s="784"/>
      <c r="AB152" s="784"/>
      <c r="AC152" s="784"/>
      <c r="AD152" s="784"/>
      <c r="AE152" s="784"/>
      <c r="AF152" s="784"/>
    </row>
    <row r="153" ht="16.5" customHeight="1">
      <c r="AF153" s="784"/>
    </row>
    <row r="154" ht="16.5" customHeight="1">
      <c r="AF154" s="784"/>
    </row>
    <row r="155" ht="16.5" customHeight="1">
      <c r="AF155" s="784"/>
    </row>
    <row r="156" ht="16.5" customHeight="1">
      <c r="AF156" s="784"/>
    </row>
    <row r="157" ht="16.5" customHeight="1"/>
    <row r="158" ht="16.5" customHeight="1"/>
    <row r="159" ht="16.5" customHeight="1"/>
  </sheetData>
  <sheetProtection/>
  <mergeCells count="1">
    <mergeCell ref="N14:R14"/>
  </mergeCells>
  <printOptions/>
  <pageMargins left="0.3937007874015748" right="0.1968503937007874" top="0.7874015748031497" bottom="0.7874015748031497" header="0.5118110236220472" footer="0.5118110236220472"/>
  <pageSetup fitToHeight="1" fitToWidth="1" horizontalDpi="600" verticalDpi="600" orientation="landscape" paperSize="9" scale="64" r:id="rId3"/>
  <headerFooter alignWithMargins="0">
    <oddFooter>&amp;L&amp;F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2">
    <pageSetUpPr fitToPage="1"/>
  </sheetPr>
  <dimension ref="A1:AE154"/>
  <sheetViews>
    <sheetView zoomScale="75" zoomScaleNormal="75" zoomScalePageLayoutView="0" workbookViewId="0" topLeftCell="A1">
      <selection activeCell="A6" sqref="A6"/>
    </sheetView>
  </sheetViews>
  <sheetFormatPr defaultColWidth="11.421875" defaultRowHeight="12.75"/>
  <cols>
    <col min="1" max="2" width="4.140625" style="1428" customWidth="1"/>
    <col min="3" max="3" width="5.421875" style="1428" customWidth="1"/>
    <col min="4" max="5" width="13.57421875" style="1428" customWidth="1"/>
    <col min="6" max="7" width="25.7109375" style="1428" customWidth="1"/>
    <col min="8" max="8" width="9.7109375" style="1428" customWidth="1"/>
    <col min="9" max="9" width="12.7109375" style="1428" customWidth="1"/>
    <col min="10" max="10" width="13.7109375" style="1428" hidden="1" customWidth="1"/>
    <col min="11" max="11" width="16.7109375" style="1428" customWidth="1"/>
    <col min="12" max="12" width="16.28125" style="1428" customWidth="1"/>
    <col min="13" max="16" width="9.7109375" style="1428" customWidth="1"/>
    <col min="17" max="17" width="5.8515625" style="1428" customWidth="1"/>
    <col min="18" max="18" width="7.00390625" style="1428" customWidth="1"/>
    <col min="19" max="19" width="13.140625" style="1428" hidden="1" customWidth="1"/>
    <col min="20" max="21" width="16.421875" style="1428" hidden="1" customWidth="1"/>
    <col min="22" max="22" width="16.57421875" style="1428" hidden="1" customWidth="1"/>
    <col min="23" max="27" width="16.28125" style="1428" hidden="1" customWidth="1"/>
    <col min="28" max="28" width="9.7109375" style="1428" customWidth="1"/>
    <col min="29" max="29" width="15.7109375" style="1428" customWidth="1"/>
    <col min="30" max="30" width="4.140625" style="1428" customWidth="1"/>
    <col min="31" max="16384" width="11.421875" style="1428" customWidth="1"/>
  </cols>
  <sheetData>
    <row r="1" spans="2:30" s="1376" customFormat="1" ht="26.25"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377"/>
      <c r="P1" s="1377"/>
      <c r="Q1" s="1377"/>
      <c r="R1" s="1377"/>
      <c r="S1" s="1377"/>
      <c r="T1" s="1377"/>
      <c r="U1" s="1377"/>
      <c r="V1" s="1377"/>
      <c r="W1" s="1377"/>
      <c r="X1" s="1377"/>
      <c r="Y1" s="1377"/>
      <c r="Z1" s="1377"/>
      <c r="AA1" s="1377"/>
      <c r="AB1" s="1377"/>
      <c r="AC1" s="1377"/>
      <c r="AD1" s="1378"/>
    </row>
    <row r="2" spans="1:30" s="1376" customFormat="1" ht="26.25">
      <c r="A2" s="1377"/>
      <c r="B2" s="1379" t="str">
        <f>'TOT-0614'!B2</f>
        <v>ANEXO I al Memorándum D.T.E.E. N°         347   / 2015</v>
      </c>
      <c r="C2" s="1379"/>
      <c r="D2" s="1379"/>
      <c r="E2" s="1379"/>
      <c r="F2" s="1379"/>
      <c r="G2" s="1380"/>
      <c r="H2" s="1379"/>
      <c r="I2" s="1379"/>
      <c r="J2" s="1379"/>
      <c r="K2" s="1379"/>
      <c r="L2" s="1379"/>
      <c r="M2" s="1379"/>
      <c r="N2" s="1379"/>
      <c r="O2" s="1379"/>
      <c r="P2" s="1379"/>
      <c r="Q2" s="1379"/>
      <c r="R2" s="1379"/>
      <c r="S2" s="1379"/>
      <c r="T2" s="1379"/>
      <c r="U2" s="1379"/>
      <c r="V2" s="1379"/>
      <c r="W2" s="1379"/>
      <c r="X2" s="1379"/>
      <c r="Y2" s="1379"/>
      <c r="Z2" s="1379"/>
      <c r="AA2" s="1379"/>
      <c r="AB2" s="1379"/>
      <c r="AC2" s="1379"/>
      <c r="AD2" s="1379"/>
    </row>
    <row r="3" spans="1:30" s="1382" customFormat="1" ht="12.75">
      <c r="A3" s="1381"/>
      <c r="B3" s="1381"/>
      <c r="C3" s="1381"/>
      <c r="D3" s="1381"/>
      <c r="E3" s="1381"/>
      <c r="F3" s="1381"/>
      <c r="G3" s="1381"/>
      <c r="H3" s="1381"/>
      <c r="I3" s="1381"/>
      <c r="J3" s="1381"/>
      <c r="K3" s="1381"/>
      <c r="L3" s="1381"/>
      <c r="M3" s="1381"/>
      <c r="N3" s="1381"/>
      <c r="O3" s="1381"/>
      <c r="P3" s="1381"/>
      <c r="Q3" s="1381"/>
      <c r="R3" s="1381"/>
      <c r="S3" s="1381"/>
      <c r="T3" s="1381"/>
      <c r="U3" s="1381"/>
      <c r="V3" s="1381"/>
      <c r="W3" s="1381"/>
      <c r="X3" s="1381"/>
      <c r="Y3" s="1381"/>
      <c r="Z3" s="1381"/>
      <c r="AA3" s="1381"/>
      <c r="AB3" s="1381"/>
      <c r="AC3" s="1381"/>
      <c r="AD3" s="1381"/>
    </row>
    <row r="4" spans="1:30" s="1386" customFormat="1" ht="11.25">
      <c r="A4" s="1383" t="s">
        <v>55</v>
      </c>
      <c r="B4" s="1384"/>
      <c r="C4" s="1384"/>
      <c r="D4" s="1384"/>
      <c r="E4" s="1385"/>
      <c r="F4" s="1385"/>
      <c r="G4" s="1385"/>
      <c r="H4" s="1385"/>
      <c r="I4" s="1385"/>
      <c r="J4" s="1385"/>
      <c r="K4" s="1385"/>
      <c r="L4" s="1385"/>
      <c r="M4" s="1385"/>
      <c r="N4" s="1385"/>
      <c r="O4" s="1385"/>
      <c r="P4" s="1385"/>
      <c r="Q4" s="1385"/>
      <c r="R4" s="1385"/>
      <c r="S4" s="1385"/>
      <c r="T4" s="1385"/>
      <c r="U4" s="1385"/>
      <c r="V4" s="1385"/>
      <c r="W4" s="1385"/>
      <c r="X4" s="1385"/>
      <c r="Y4" s="1385"/>
      <c r="Z4" s="1385"/>
      <c r="AA4" s="1385"/>
      <c r="AB4" s="1385"/>
      <c r="AC4" s="1385"/>
      <c r="AD4" s="1385"/>
    </row>
    <row r="5" spans="1:30" s="1386" customFormat="1" ht="11.25">
      <c r="A5" s="1383" t="s">
        <v>3</v>
      </c>
      <c r="B5" s="1384"/>
      <c r="C5" s="1384"/>
      <c r="D5" s="1384"/>
      <c r="E5" s="1385"/>
      <c r="F5" s="1385"/>
      <c r="G5" s="1385"/>
      <c r="H5" s="1385"/>
      <c r="I5" s="1385"/>
      <c r="J5" s="1385"/>
      <c r="K5" s="1385"/>
      <c r="L5" s="1385"/>
      <c r="M5" s="1385"/>
      <c r="N5" s="1385"/>
      <c r="O5" s="1385"/>
      <c r="P5" s="1385"/>
      <c r="Q5" s="1385"/>
      <c r="R5" s="1385"/>
      <c r="S5" s="1385"/>
      <c r="T5" s="1385"/>
      <c r="U5" s="1385"/>
      <c r="V5" s="1385"/>
      <c r="W5" s="1385"/>
      <c r="X5" s="1385"/>
      <c r="Y5" s="1385"/>
      <c r="Z5" s="1385"/>
      <c r="AA5" s="1385"/>
      <c r="AB5" s="1385"/>
      <c r="AC5" s="1385"/>
      <c r="AD5" s="1385"/>
    </row>
    <row r="6" spans="1:30" s="1382" customFormat="1" ht="13.5" thickBot="1">
      <c r="A6" s="1381"/>
      <c r="B6" s="1381"/>
      <c r="C6" s="1381"/>
      <c r="D6" s="1381"/>
      <c r="E6" s="1381"/>
      <c r="F6" s="1381"/>
      <c r="G6" s="1381"/>
      <c r="H6" s="1381"/>
      <c r="I6" s="1381"/>
      <c r="J6" s="1381"/>
      <c r="K6" s="1381"/>
      <c r="L6" s="1381"/>
      <c r="M6" s="1381"/>
      <c r="N6" s="1381"/>
      <c r="O6" s="1381"/>
      <c r="P6" s="1381"/>
      <c r="Q6" s="1381"/>
      <c r="R6" s="1381"/>
      <c r="S6" s="1381"/>
      <c r="T6" s="1381"/>
      <c r="U6" s="1381"/>
      <c r="V6" s="1381"/>
      <c r="W6" s="1381"/>
      <c r="X6" s="1381"/>
      <c r="Y6" s="1381"/>
      <c r="Z6" s="1381"/>
      <c r="AA6" s="1381"/>
      <c r="AB6" s="1381"/>
      <c r="AC6" s="1381"/>
      <c r="AD6" s="1381"/>
    </row>
    <row r="7" spans="1:30" s="1382" customFormat="1" ht="13.5" thickTop="1">
      <c r="A7" s="1381"/>
      <c r="B7" s="1387"/>
      <c r="C7" s="1388"/>
      <c r="D7" s="1388"/>
      <c r="E7" s="1388"/>
      <c r="F7" s="1388"/>
      <c r="G7" s="1388"/>
      <c r="H7" s="1388"/>
      <c r="I7" s="1388"/>
      <c r="J7" s="1388"/>
      <c r="K7" s="1388"/>
      <c r="L7" s="1388"/>
      <c r="M7" s="1388"/>
      <c r="N7" s="1388"/>
      <c r="O7" s="1388"/>
      <c r="P7" s="1388"/>
      <c r="Q7" s="1388"/>
      <c r="R7" s="1388"/>
      <c r="S7" s="1388"/>
      <c r="T7" s="1388"/>
      <c r="U7" s="1388"/>
      <c r="V7" s="1388"/>
      <c r="W7" s="1388"/>
      <c r="X7" s="1388"/>
      <c r="Y7" s="1388"/>
      <c r="Z7" s="1388"/>
      <c r="AA7" s="1388"/>
      <c r="AB7" s="1388"/>
      <c r="AC7" s="1388"/>
      <c r="AD7" s="1389"/>
    </row>
    <row r="8" spans="1:30" s="1396" customFormat="1" ht="20.25">
      <c r="A8" s="1390"/>
      <c r="B8" s="1391"/>
      <c r="C8" s="1392"/>
      <c r="D8" s="1392"/>
      <c r="E8" s="1390"/>
      <c r="F8" s="1393" t="s">
        <v>24</v>
      </c>
      <c r="G8" s="1390"/>
      <c r="H8" s="1390"/>
      <c r="I8" s="1394"/>
      <c r="J8" s="1390"/>
      <c r="K8" s="1390"/>
      <c r="L8" s="1390"/>
      <c r="M8" s="1390"/>
      <c r="N8" s="1390"/>
      <c r="O8" s="1390"/>
      <c r="P8" s="1390"/>
      <c r="Q8" s="1390"/>
      <c r="R8" s="1390"/>
      <c r="S8" s="1390"/>
      <c r="T8" s="1392"/>
      <c r="U8" s="1392"/>
      <c r="V8" s="1392"/>
      <c r="W8" s="1392"/>
      <c r="X8" s="1392"/>
      <c r="Y8" s="1392"/>
      <c r="Z8" s="1392"/>
      <c r="AA8" s="1392"/>
      <c r="AB8" s="1392"/>
      <c r="AC8" s="1392"/>
      <c r="AD8" s="1395"/>
    </row>
    <row r="9" spans="1:30" s="1382" customFormat="1" ht="12.75">
      <c r="A9" s="1381"/>
      <c r="B9" s="1397"/>
      <c r="C9" s="1398"/>
      <c r="D9" s="1398"/>
      <c r="E9" s="1381"/>
      <c r="F9" s="1398"/>
      <c r="G9" s="1399"/>
      <c r="H9" s="1381"/>
      <c r="I9" s="1398"/>
      <c r="J9" s="1381"/>
      <c r="K9" s="1381"/>
      <c r="L9" s="1381"/>
      <c r="M9" s="1381"/>
      <c r="N9" s="1381"/>
      <c r="O9" s="1381"/>
      <c r="P9" s="1381"/>
      <c r="Q9" s="1381"/>
      <c r="R9" s="1381"/>
      <c r="S9" s="1381"/>
      <c r="T9" s="1398"/>
      <c r="U9" s="1398"/>
      <c r="V9" s="1398"/>
      <c r="W9" s="1398"/>
      <c r="X9" s="1398"/>
      <c r="Y9" s="1398"/>
      <c r="Z9" s="1398"/>
      <c r="AA9" s="1398"/>
      <c r="AB9" s="1398"/>
      <c r="AC9" s="1398"/>
      <c r="AD9" s="1400"/>
    </row>
    <row r="10" spans="1:30" s="1407" customFormat="1" ht="33" customHeight="1">
      <c r="A10" s="1401"/>
      <c r="B10" s="1402"/>
      <c r="C10" s="1403"/>
      <c r="D10" s="1403"/>
      <c r="E10" s="1401"/>
      <c r="F10" s="1404" t="s">
        <v>56</v>
      </c>
      <c r="G10" s="1401"/>
      <c r="H10" s="1405"/>
      <c r="I10" s="1403"/>
      <c r="J10" s="1401"/>
      <c r="K10" s="1401"/>
      <c r="L10" s="1401"/>
      <c r="M10" s="1401"/>
      <c r="N10" s="1401"/>
      <c r="O10" s="1401"/>
      <c r="P10" s="1401"/>
      <c r="Q10" s="1401"/>
      <c r="R10" s="1401"/>
      <c r="S10" s="1401"/>
      <c r="T10" s="1403"/>
      <c r="U10" s="1403"/>
      <c r="V10" s="1403"/>
      <c r="W10" s="1403"/>
      <c r="X10" s="1403"/>
      <c r="Y10" s="1403"/>
      <c r="Z10" s="1403"/>
      <c r="AA10" s="1403"/>
      <c r="AB10" s="1403"/>
      <c r="AC10" s="1403"/>
      <c r="AD10" s="1406"/>
    </row>
    <row r="11" spans="1:30" s="1414" customFormat="1" ht="33" customHeight="1">
      <c r="A11" s="1408"/>
      <c r="B11" s="1409"/>
      <c r="C11" s="1410"/>
      <c r="D11" s="1410"/>
      <c r="E11" s="1408"/>
      <c r="F11" s="1411" t="s">
        <v>418</v>
      </c>
      <c r="G11" s="1410"/>
      <c r="H11" s="1410"/>
      <c r="I11" s="1412"/>
      <c r="J11" s="1410"/>
      <c r="K11" s="1410"/>
      <c r="L11" s="1410"/>
      <c r="M11" s="1410"/>
      <c r="N11" s="1410"/>
      <c r="O11" s="1408"/>
      <c r="P11" s="1408"/>
      <c r="Q11" s="1408"/>
      <c r="R11" s="1408"/>
      <c r="S11" s="1408"/>
      <c r="T11" s="1410"/>
      <c r="U11" s="1410"/>
      <c r="V11" s="1410"/>
      <c r="W11" s="1410"/>
      <c r="X11" s="1410"/>
      <c r="Y11" s="1410"/>
      <c r="Z11" s="1410"/>
      <c r="AA11" s="1410"/>
      <c r="AB11" s="1410"/>
      <c r="AC11" s="1410"/>
      <c r="AD11" s="1413"/>
    </row>
    <row r="12" spans="1:30" s="1420" customFormat="1" ht="19.5">
      <c r="A12" s="1415"/>
      <c r="B12" s="634" t="str">
        <f>'TOT-0614'!B14</f>
        <v>Desde el 01 al 30 de junio de 2014</v>
      </c>
      <c r="C12" s="1416"/>
      <c r="D12" s="1416"/>
      <c r="E12" s="1417"/>
      <c r="F12" s="1418"/>
      <c r="G12" s="1418"/>
      <c r="H12" s="1418"/>
      <c r="I12" s="1418"/>
      <c r="J12" s="1418"/>
      <c r="K12" s="1418"/>
      <c r="L12" s="1418"/>
      <c r="M12" s="1418"/>
      <c r="N12" s="1418"/>
      <c r="O12" s="1417"/>
      <c r="P12" s="1417"/>
      <c r="Q12" s="1417"/>
      <c r="R12" s="1417"/>
      <c r="S12" s="1417"/>
      <c r="T12" s="1418"/>
      <c r="U12" s="1418"/>
      <c r="V12" s="1418"/>
      <c r="W12" s="1418"/>
      <c r="X12" s="1418"/>
      <c r="Y12" s="1418"/>
      <c r="Z12" s="1418"/>
      <c r="AA12" s="1418"/>
      <c r="AB12" s="1418"/>
      <c r="AC12" s="1418"/>
      <c r="AD12" s="1419"/>
    </row>
    <row r="13" spans="1:30" s="1382" customFormat="1" ht="13.5" thickBot="1">
      <c r="A13" s="1381"/>
      <c r="B13" s="1397"/>
      <c r="C13" s="1398"/>
      <c r="D13" s="1398"/>
      <c r="E13" s="1381"/>
      <c r="F13" s="1398"/>
      <c r="G13" s="1398"/>
      <c r="H13" s="1398"/>
      <c r="I13" s="1421"/>
      <c r="J13" s="1398"/>
      <c r="K13" s="1398"/>
      <c r="L13" s="1398"/>
      <c r="M13" s="1398"/>
      <c r="N13" s="1398"/>
      <c r="O13" s="1381"/>
      <c r="P13" s="1381"/>
      <c r="Q13" s="1381"/>
      <c r="R13" s="1381"/>
      <c r="S13" s="1381"/>
      <c r="T13" s="1398"/>
      <c r="U13" s="1398"/>
      <c r="V13" s="1398"/>
      <c r="W13" s="1398"/>
      <c r="X13" s="1398"/>
      <c r="Y13" s="1398"/>
      <c r="Z13" s="1398"/>
      <c r="AA13" s="1398"/>
      <c r="AB13" s="1398"/>
      <c r="AC13" s="1398"/>
      <c r="AD13" s="1400"/>
    </row>
    <row r="14" spans="1:30" s="1382" customFormat="1" ht="16.5" customHeight="1" thickBot="1" thickTop="1">
      <c r="A14" s="1381"/>
      <c r="B14" s="1397"/>
      <c r="C14" s="1398"/>
      <c r="D14" s="1398"/>
      <c r="E14" s="1381"/>
      <c r="F14" s="1422" t="s">
        <v>58</v>
      </c>
      <c r="G14" s="1423"/>
      <c r="H14" s="1424">
        <v>0.371</v>
      </c>
      <c r="J14" s="1381"/>
      <c r="K14" s="1381"/>
      <c r="L14" s="1381"/>
      <c r="M14" s="1381"/>
      <c r="N14" s="1381"/>
      <c r="O14" s="1381"/>
      <c r="P14" s="1381"/>
      <c r="Q14" s="1398"/>
      <c r="R14" s="1398"/>
      <c r="S14" s="1398"/>
      <c r="T14" s="1398"/>
      <c r="U14" s="1398"/>
      <c r="V14" s="1398"/>
      <c r="W14" s="1398"/>
      <c r="X14" s="1398"/>
      <c r="Y14" s="1398"/>
      <c r="Z14" s="1398"/>
      <c r="AA14" s="1398"/>
      <c r="AB14" s="1398"/>
      <c r="AC14" s="1398"/>
      <c r="AD14" s="1400"/>
    </row>
    <row r="15" spans="1:30" s="1382" customFormat="1" ht="16.5" customHeight="1" thickBot="1" thickTop="1">
      <c r="A15" s="1381"/>
      <c r="B15" s="1397"/>
      <c r="C15" s="1398"/>
      <c r="D15" s="1398"/>
      <c r="E15" s="1381"/>
      <c r="F15" s="1425" t="s">
        <v>59</v>
      </c>
      <c r="G15" s="1426"/>
      <c r="H15" s="1427">
        <v>200</v>
      </c>
      <c r="I15" s="1428"/>
      <c r="J15" s="1398"/>
      <c r="K15" s="1398"/>
      <c r="L15" s="1398"/>
      <c r="M15" s="1398"/>
      <c r="N15" s="1398"/>
      <c r="O15" s="1398"/>
      <c r="P15" s="1398"/>
      <c r="Q15" s="1398"/>
      <c r="R15" s="1398"/>
      <c r="S15" s="1398"/>
      <c r="T15" s="1398"/>
      <c r="U15" s="1398"/>
      <c r="V15" s="1398"/>
      <c r="W15" s="1429"/>
      <c r="X15" s="1429"/>
      <c r="Y15" s="1429"/>
      <c r="Z15" s="1429"/>
      <c r="AA15" s="1429"/>
      <c r="AB15" s="1429"/>
      <c r="AC15" s="1381"/>
      <c r="AD15" s="1400"/>
    </row>
    <row r="16" spans="1:30" s="1382" customFormat="1" ht="16.5" customHeight="1" thickBot="1" thickTop="1">
      <c r="A16" s="1381"/>
      <c r="B16" s="1397"/>
      <c r="C16" s="1430">
        <v>3</v>
      </c>
      <c r="D16" s="1430">
        <v>4</v>
      </c>
      <c r="E16" s="1430">
        <v>5</v>
      </c>
      <c r="F16" s="1430">
        <v>6</v>
      </c>
      <c r="G16" s="1430">
        <v>7</v>
      </c>
      <c r="H16" s="1430">
        <v>8</v>
      </c>
      <c r="I16" s="1430">
        <v>9</v>
      </c>
      <c r="J16" s="1430">
        <v>10</v>
      </c>
      <c r="K16" s="1430">
        <v>11</v>
      </c>
      <c r="L16" s="1430">
        <v>12</v>
      </c>
      <c r="M16" s="1430">
        <v>13</v>
      </c>
      <c r="N16" s="1430">
        <v>14</v>
      </c>
      <c r="O16" s="1430">
        <v>15</v>
      </c>
      <c r="P16" s="1430">
        <v>16</v>
      </c>
      <c r="Q16" s="1430">
        <v>17</v>
      </c>
      <c r="R16" s="1430">
        <v>18</v>
      </c>
      <c r="S16" s="1430">
        <v>19</v>
      </c>
      <c r="T16" s="1430">
        <v>20</v>
      </c>
      <c r="U16" s="1430">
        <v>21</v>
      </c>
      <c r="V16" s="1430">
        <v>22</v>
      </c>
      <c r="W16" s="1430">
        <v>23</v>
      </c>
      <c r="X16" s="1430">
        <v>24</v>
      </c>
      <c r="Y16" s="1430">
        <v>25</v>
      </c>
      <c r="Z16" s="1430">
        <v>26</v>
      </c>
      <c r="AA16" s="1430">
        <v>27</v>
      </c>
      <c r="AB16" s="1430">
        <v>28</v>
      </c>
      <c r="AC16" s="1430">
        <v>29</v>
      </c>
      <c r="AD16" s="1400"/>
    </row>
    <row r="17" spans="1:30" s="1382" customFormat="1" ht="33.75" customHeight="1" thickBot="1" thickTop="1">
      <c r="A17" s="1381"/>
      <c r="B17" s="1397"/>
      <c r="C17" s="1431" t="s">
        <v>29</v>
      </c>
      <c r="D17" s="1432" t="s">
        <v>30</v>
      </c>
      <c r="E17" s="1432" t="s">
        <v>31</v>
      </c>
      <c r="F17" s="1433" t="s">
        <v>60</v>
      </c>
      <c r="G17" s="1434" t="s">
        <v>61</v>
      </c>
      <c r="H17" s="1435" t="s">
        <v>62</v>
      </c>
      <c r="I17" s="1436" t="s">
        <v>32</v>
      </c>
      <c r="J17" s="1437" t="s">
        <v>36</v>
      </c>
      <c r="K17" s="1434" t="s">
        <v>37</v>
      </c>
      <c r="L17" s="1434" t="s">
        <v>38</v>
      </c>
      <c r="M17" s="1433" t="s">
        <v>63</v>
      </c>
      <c r="N17" s="1433" t="s">
        <v>40</v>
      </c>
      <c r="O17" s="1438" t="s">
        <v>316</v>
      </c>
      <c r="P17" s="1438" t="s">
        <v>41</v>
      </c>
      <c r="Q17" s="1439" t="s">
        <v>43</v>
      </c>
      <c r="R17" s="1434" t="s">
        <v>64</v>
      </c>
      <c r="S17" s="1440" t="s">
        <v>35</v>
      </c>
      <c r="T17" s="1441" t="s">
        <v>44</v>
      </c>
      <c r="U17" s="1442" t="s">
        <v>45</v>
      </c>
      <c r="V17" s="1443" t="s">
        <v>65</v>
      </c>
      <c r="W17" s="1444"/>
      <c r="X17" s="1445" t="s">
        <v>66</v>
      </c>
      <c r="Y17" s="1446"/>
      <c r="Z17" s="1447" t="s">
        <v>48</v>
      </c>
      <c r="AA17" s="1448" t="s">
        <v>49</v>
      </c>
      <c r="AB17" s="1449" t="s">
        <v>50</v>
      </c>
      <c r="AC17" s="1436" t="s">
        <v>51</v>
      </c>
      <c r="AD17" s="1400"/>
    </row>
    <row r="18" spans="1:30" s="1382" customFormat="1" ht="16.5" customHeight="1" thickTop="1">
      <c r="A18" s="1381"/>
      <c r="B18" s="1397"/>
      <c r="C18" s="1450"/>
      <c r="D18" s="1450"/>
      <c r="E18" s="1450"/>
      <c r="F18" s="1450"/>
      <c r="G18" s="1450"/>
      <c r="H18" s="1450"/>
      <c r="I18" s="1451"/>
      <c r="J18" s="1452"/>
      <c r="K18" s="1450"/>
      <c r="L18" s="1450"/>
      <c r="M18" s="1450"/>
      <c r="N18" s="1450"/>
      <c r="O18" s="1450"/>
      <c r="P18" s="1453"/>
      <c r="Q18" s="1454"/>
      <c r="R18" s="1450"/>
      <c r="S18" s="1455"/>
      <c r="T18" s="1456"/>
      <c r="U18" s="1457"/>
      <c r="V18" s="1458"/>
      <c r="W18" s="1459"/>
      <c r="X18" s="1460"/>
      <c r="Y18" s="1461"/>
      <c r="Z18" s="1462"/>
      <c r="AA18" s="1463"/>
      <c r="AB18" s="1454"/>
      <c r="AC18" s="1464"/>
      <c r="AD18" s="1400"/>
    </row>
    <row r="19" spans="1:30" s="1382" customFormat="1" ht="16.5" customHeight="1">
      <c r="A19" s="1381"/>
      <c r="B19" s="1397"/>
      <c r="C19" s="1465"/>
      <c r="D19" s="1465"/>
      <c r="E19" s="1465"/>
      <c r="F19" s="1465"/>
      <c r="G19" s="1465"/>
      <c r="H19" s="1465"/>
      <c r="I19" s="1466"/>
      <c r="J19" s="1467"/>
      <c r="K19" s="1465"/>
      <c r="L19" s="1465"/>
      <c r="M19" s="1465"/>
      <c r="N19" s="1465"/>
      <c r="O19" s="1465"/>
      <c r="P19" s="1468"/>
      <c r="Q19" s="1469"/>
      <c r="R19" s="1465"/>
      <c r="S19" s="1470"/>
      <c r="T19" s="1471"/>
      <c r="U19" s="1472"/>
      <c r="V19" s="1473"/>
      <c r="W19" s="1474"/>
      <c r="X19" s="1475"/>
      <c r="Y19" s="1476"/>
      <c r="Z19" s="1477"/>
      <c r="AA19" s="1478"/>
      <c r="AB19" s="1469"/>
      <c r="AC19" s="1479"/>
      <c r="AD19" s="1400"/>
    </row>
    <row r="20" spans="1:30" s="1382" customFormat="1" ht="16.5" customHeight="1">
      <c r="A20" s="1381"/>
      <c r="B20" s="1397"/>
      <c r="C20" s="1465">
        <v>23</v>
      </c>
      <c r="D20" s="1465">
        <v>276242</v>
      </c>
      <c r="E20" s="1480">
        <v>2581</v>
      </c>
      <c r="F20" s="1481" t="s">
        <v>419</v>
      </c>
      <c r="G20" s="1482" t="s">
        <v>464</v>
      </c>
      <c r="H20" s="1483">
        <v>300</v>
      </c>
      <c r="I20" s="1484" t="s">
        <v>144</v>
      </c>
      <c r="J20" s="1485">
        <f aca="true" t="shared" si="0" ref="J20:J39">H20*$H$14</f>
        <v>111.3</v>
      </c>
      <c r="K20" s="1486">
        <v>41818.33472222222</v>
      </c>
      <c r="L20" s="1486">
        <v>41818.78611111111</v>
      </c>
      <c r="M20" s="1487">
        <f aca="true" t="shared" si="1" ref="M20:M39">IF(F20="","",(L20-K20)*24)</f>
        <v>10.833333333372138</v>
      </c>
      <c r="N20" s="1488">
        <f aca="true" t="shared" si="2" ref="N20:N39">IF(F20="","",ROUND((L20-K20)*24*60,0))</f>
        <v>650</v>
      </c>
      <c r="O20" s="1489" t="s">
        <v>332</v>
      </c>
      <c r="P20" s="1490" t="str">
        <f aca="true" t="shared" si="3" ref="P20:P39">IF(F20="","","--")</f>
        <v>--</v>
      </c>
      <c r="Q20" s="1491" t="str">
        <f>IF(F20="","",IF(OR(O20="P",O20="RP"),"--","NO"))</f>
        <v>--</v>
      </c>
      <c r="R20" s="1492" t="str">
        <f aca="true" t="shared" si="4" ref="R20:R39">IF(F20="","","NO")</f>
        <v>NO</v>
      </c>
      <c r="S20" s="1493">
        <f aca="true" t="shared" si="5" ref="S20:S39">$H$15*IF(OR(O20="P",O20="RP"),0.1,1)*IF(R20="SI",1,0.1)</f>
        <v>2</v>
      </c>
      <c r="T20" s="1494">
        <f aca="true" t="shared" si="6" ref="T20:T39">IF(O20="P",J20*S20*ROUND(N20/60,2),"--")</f>
        <v>2410.758</v>
      </c>
      <c r="U20" s="1495" t="str">
        <f aca="true" t="shared" si="7" ref="U20:U39">IF(O20="RP",J20*S20*P20/100*ROUND(N20/60,2),"--")</f>
        <v>--</v>
      </c>
      <c r="V20" s="1496" t="str">
        <f aca="true" t="shared" si="8" ref="V20:V39">IF(AND(O20="F",Q20="NO"),J20*S20,"--")</f>
        <v>--</v>
      </c>
      <c r="W20" s="1497" t="str">
        <f aca="true" t="shared" si="9" ref="W20:W39">IF(O20="F",J20*S20*ROUND(N20/60,2),"--")</f>
        <v>--</v>
      </c>
      <c r="X20" s="1498" t="str">
        <f aca="true" t="shared" si="10" ref="X20:X39">IF(AND(O20="R",Q20="NO"),J20*S20*P20/100,"--")</f>
        <v>--</v>
      </c>
      <c r="Y20" s="1499" t="str">
        <f aca="true" t="shared" si="11" ref="Y20:Y39">IF(O20="R",J20*S20*P20/100*ROUND(N20/60,2),"--")</f>
        <v>--</v>
      </c>
      <c r="Z20" s="1500" t="str">
        <f aca="true" t="shared" si="12" ref="Z20:Z39">IF(O20="RF",J20*S20*ROUND(N20/60,2),"--")</f>
        <v>--</v>
      </c>
      <c r="AA20" s="1501" t="str">
        <f aca="true" t="shared" si="13" ref="AA20:AA39">IF(O20="RR",J20*S20*P20/100*ROUND(N20/60,2),"--")</f>
        <v>--</v>
      </c>
      <c r="AB20" s="1502" t="s">
        <v>84</v>
      </c>
      <c r="AC20" s="1503">
        <f aca="true" t="shared" si="14" ref="AC20:AC39">IF(F20="","",SUM(T20:AA20)*IF(AB20="SI",1,2)*IF(AND(P22&lt;&gt;"--",O22="RF"),P22/100,1))</f>
        <v>2410.758</v>
      </c>
      <c r="AD20" s="1400"/>
    </row>
    <row r="21" spans="1:30" s="1382" customFormat="1" ht="16.5" customHeight="1">
      <c r="A21" s="1381"/>
      <c r="B21" s="1397"/>
      <c r="C21" s="1465"/>
      <c r="D21" s="1465"/>
      <c r="E21" s="1465"/>
      <c r="F21" s="1481"/>
      <c r="G21" s="1482"/>
      <c r="H21" s="1483"/>
      <c r="I21" s="1484"/>
      <c r="J21" s="1485">
        <f t="shared" si="0"/>
        <v>0</v>
      </c>
      <c r="K21" s="1486"/>
      <c r="L21" s="1486"/>
      <c r="M21" s="1487">
        <f t="shared" si="1"/>
      </c>
      <c r="N21" s="1488">
        <f t="shared" si="2"/>
      </c>
      <c r="O21" s="1489"/>
      <c r="P21" s="1490">
        <f t="shared" si="3"/>
      </c>
      <c r="Q21" s="1491">
        <f aca="true" t="shared" si="15" ref="Q21:Q39">IF(F21="","",IF(O21="P","--","NO"))</f>
      </c>
      <c r="R21" s="1492">
        <f t="shared" si="4"/>
      </c>
      <c r="S21" s="1493">
        <f t="shared" si="5"/>
        <v>20</v>
      </c>
      <c r="T21" s="1494" t="str">
        <f t="shared" si="6"/>
        <v>--</v>
      </c>
      <c r="U21" s="1495" t="str">
        <f t="shared" si="7"/>
        <v>--</v>
      </c>
      <c r="V21" s="1496" t="str">
        <f t="shared" si="8"/>
        <v>--</v>
      </c>
      <c r="W21" s="1497" t="str">
        <f t="shared" si="9"/>
        <v>--</v>
      </c>
      <c r="X21" s="1498" t="str">
        <f t="shared" si="10"/>
        <v>--</v>
      </c>
      <c r="Y21" s="1499" t="str">
        <f t="shared" si="11"/>
        <v>--</v>
      </c>
      <c r="Z21" s="1500" t="str">
        <f t="shared" si="12"/>
        <v>--</v>
      </c>
      <c r="AA21" s="1501" t="str">
        <f t="shared" si="13"/>
        <v>--</v>
      </c>
      <c r="AB21" s="1502"/>
      <c r="AC21" s="1503">
        <f t="shared" si="14"/>
      </c>
      <c r="AD21" s="1400"/>
    </row>
    <row r="22" spans="1:30" s="1382" customFormat="1" ht="16.5" customHeight="1">
      <c r="A22" s="1381"/>
      <c r="B22" s="1397"/>
      <c r="C22" s="1465"/>
      <c r="D22" s="1465"/>
      <c r="E22" s="1480"/>
      <c r="F22" s="1481"/>
      <c r="G22" s="1482"/>
      <c r="H22" s="1483"/>
      <c r="I22" s="1504"/>
      <c r="J22" s="1485">
        <f t="shared" si="0"/>
        <v>0</v>
      </c>
      <c r="K22" s="1486"/>
      <c r="L22" s="1486"/>
      <c r="M22" s="1487">
        <f t="shared" si="1"/>
      </c>
      <c r="N22" s="1488">
        <f t="shared" si="2"/>
      </c>
      <c r="O22" s="1489"/>
      <c r="P22" s="1490">
        <f t="shared" si="3"/>
      </c>
      <c r="Q22" s="1491">
        <f t="shared" si="15"/>
      </c>
      <c r="R22" s="1492">
        <f t="shared" si="4"/>
      </c>
      <c r="S22" s="1493">
        <f t="shared" si="5"/>
        <v>20</v>
      </c>
      <c r="T22" s="1494" t="str">
        <f t="shared" si="6"/>
        <v>--</v>
      </c>
      <c r="U22" s="1495" t="str">
        <f t="shared" si="7"/>
        <v>--</v>
      </c>
      <c r="V22" s="1496" t="str">
        <f t="shared" si="8"/>
        <v>--</v>
      </c>
      <c r="W22" s="1497" t="str">
        <f t="shared" si="9"/>
        <v>--</v>
      </c>
      <c r="X22" s="1498" t="str">
        <f t="shared" si="10"/>
        <v>--</v>
      </c>
      <c r="Y22" s="1499" t="str">
        <f t="shared" si="11"/>
        <v>--</v>
      </c>
      <c r="Z22" s="1500" t="str">
        <f t="shared" si="12"/>
        <v>--</v>
      </c>
      <c r="AA22" s="1501" t="str">
        <f t="shared" si="13"/>
        <v>--</v>
      </c>
      <c r="AB22" s="1502">
        <f aca="true" t="shared" si="16" ref="AB22:AB39">IF(F22="","","SI")</f>
      </c>
      <c r="AC22" s="1503">
        <f t="shared" si="14"/>
      </c>
      <c r="AD22" s="1400"/>
    </row>
    <row r="23" spans="1:30" s="1382" customFormat="1" ht="16.5" customHeight="1">
      <c r="A23" s="1381"/>
      <c r="B23" s="1397"/>
      <c r="C23" s="1465"/>
      <c r="D23" s="1465"/>
      <c r="E23" s="1465"/>
      <c r="F23" s="1481"/>
      <c r="G23" s="1482"/>
      <c r="H23" s="1483"/>
      <c r="I23" s="1504"/>
      <c r="J23" s="1485">
        <f t="shared" si="0"/>
        <v>0</v>
      </c>
      <c r="K23" s="1486"/>
      <c r="L23" s="1486"/>
      <c r="M23" s="1487">
        <f t="shared" si="1"/>
      </c>
      <c r="N23" s="1488">
        <f t="shared" si="2"/>
      </c>
      <c r="O23" s="1489"/>
      <c r="P23" s="1490">
        <f t="shared" si="3"/>
      </c>
      <c r="Q23" s="1491">
        <f t="shared" si="15"/>
      </c>
      <c r="R23" s="1492">
        <f t="shared" si="4"/>
      </c>
      <c r="S23" s="1493">
        <f t="shared" si="5"/>
        <v>20</v>
      </c>
      <c r="T23" s="1494" t="str">
        <f t="shared" si="6"/>
        <v>--</v>
      </c>
      <c r="U23" s="1495" t="str">
        <f t="shared" si="7"/>
        <v>--</v>
      </c>
      <c r="V23" s="1496" t="str">
        <f t="shared" si="8"/>
        <v>--</v>
      </c>
      <c r="W23" s="1497" t="str">
        <f t="shared" si="9"/>
        <v>--</v>
      </c>
      <c r="X23" s="1498" t="str">
        <f t="shared" si="10"/>
        <v>--</v>
      </c>
      <c r="Y23" s="1499" t="str">
        <f t="shared" si="11"/>
        <v>--</v>
      </c>
      <c r="Z23" s="1500" t="str">
        <f t="shared" si="12"/>
        <v>--</v>
      </c>
      <c r="AA23" s="1501" t="str">
        <f t="shared" si="13"/>
        <v>--</v>
      </c>
      <c r="AB23" s="1502">
        <f t="shared" si="16"/>
      </c>
      <c r="AC23" s="1503">
        <f t="shared" si="14"/>
      </c>
      <c r="AD23" s="1400"/>
    </row>
    <row r="24" spans="1:30" s="1382" customFormat="1" ht="16.5" customHeight="1">
      <c r="A24" s="1381"/>
      <c r="B24" s="1397"/>
      <c r="C24" s="1465"/>
      <c r="D24" s="1465"/>
      <c r="E24" s="1480"/>
      <c r="F24" s="1481"/>
      <c r="G24" s="1482"/>
      <c r="H24" s="1483"/>
      <c r="I24" s="1504"/>
      <c r="J24" s="1485">
        <f t="shared" si="0"/>
        <v>0</v>
      </c>
      <c r="K24" s="1486"/>
      <c r="L24" s="1486"/>
      <c r="M24" s="1487">
        <f t="shared" si="1"/>
      </c>
      <c r="N24" s="1488">
        <f t="shared" si="2"/>
      </c>
      <c r="O24" s="1489"/>
      <c r="P24" s="1490">
        <f t="shared" si="3"/>
      </c>
      <c r="Q24" s="1491">
        <f t="shared" si="15"/>
      </c>
      <c r="R24" s="1492">
        <f t="shared" si="4"/>
      </c>
      <c r="S24" s="1493">
        <f t="shared" si="5"/>
        <v>20</v>
      </c>
      <c r="T24" s="1494" t="str">
        <f t="shared" si="6"/>
        <v>--</v>
      </c>
      <c r="U24" s="1495" t="str">
        <f t="shared" si="7"/>
        <v>--</v>
      </c>
      <c r="V24" s="1496" t="str">
        <f t="shared" si="8"/>
        <v>--</v>
      </c>
      <c r="W24" s="1497" t="str">
        <f t="shared" si="9"/>
        <v>--</v>
      </c>
      <c r="X24" s="1498" t="str">
        <f t="shared" si="10"/>
        <v>--</v>
      </c>
      <c r="Y24" s="1499" t="str">
        <f t="shared" si="11"/>
        <v>--</v>
      </c>
      <c r="Z24" s="1500" t="str">
        <f t="shared" si="12"/>
        <v>--</v>
      </c>
      <c r="AA24" s="1501" t="str">
        <f t="shared" si="13"/>
        <v>--</v>
      </c>
      <c r="AB24" s="1502">
        <f t="shared" si="16"/>
      </c>
      <c r="AC24" s="1503">
        <f t="shared" si="14"/>
      </c>
      <c r="AD24" s="1400"/>
    </row>
    <row r="25" spans="1:30" s="1382" customFormat="1" ht="16.5" customHeight="1">
      <c r="A25" s="1381"/>
      <c r="B25" s="1397"/>
      <c r="C25" s="1465"/>
      <c r="D25" s="1465"/>
      <c r="E25" s="1465"/>
      <c r="F25" s="1481"/>
      <c r="G25" s="1482"/>
      <c r="H25" s="1483"/>
      <c r="I25" s="1504"/>
      <c r="J25" s="1485">
        <f t="shared" si="0"/>
        <v>0</v>
      </c>
      <c r="K25" s="1486"/>
      <c r="L25" s="1486"/>
      <c r="M25" s="1487">
        <f t="shared" si="1"/>
      </c>
      <c r="N25" s="1488">
        <f t="shared" si="2"/>
      </c>
      <c r="O25" s="1489"/>
      <c r="P25" s="1490">
        <f t="shared" si="3"/>
      </c>
      <c r="Q25" s="1491">
        <f t="shared" si="15"/>
      </c>
      <c r="R25" s="1492">
        <f t="shared" si="4"/>
      </c>
      <c r="S25" s="1493">
        <f t="shared" si="5"/>
        <v>20</v>
      </c>
      <c r="T25" s="1494" t="str">
        <f t="shared" si="6"/>
        <v>--</v>
      </c>
      <c r="U25" s="1495" t="str">
        <f t="shared" si="7"/>
        <v>--</v>
      </c>
      <c r="V25" s="1496" t="str">
        <f t="shared" si="8"/>
        <v>--</v>
      </c>
      <c r="W25" s="1497" t="str">
        <f t="shared" si="9"/>
        <v>--</v>
      </c>
      <c r="X25" s="1498" t="str">
        <f t="shared" si="10"/>
        <v>--</v>
      </c>
      <c r="Y25" s="1499" t="str">
        <f t="shared" si="11"/>
        <v>--</v>
      </c>
      <c r="Z25" s="1500" t="str">
        <f t="shared" si="12"/>
        <v>--</v>
      </c>
      <c r="AA25" s="1501" t="str">
        <f t="shared" si="13"/>
        <v>--</v>
      </c>
      <c r="AB25" s="1502">
        <f t="shared" si="16"/>
      </c>
      <c r="AC25" s="1503">
        <f t="shared" si="14"/>
      </c>
      <c r="AD25" s="1400"/>
    </row>
    <row r="26" spans="1:31" s="1382" customFormat="1" ht="16.5" customHeight="1">
      <c r="A26" s="1381"/>
      <c r="B26" s="1397"/>
      <c r="C26" s="1465"/>
      <c r="D26" s="1465"/>
      <c r="E26" s="1480"/>
      <c r="F26" s="1481"/>
      <c r="G26" s="1482"/>
      <c r="H26" s="1483"/>
      <c r="I26" s="1504"/>
      <c r="J26" s="1485">
        <f t="shared" si="0"/>
        <v>0</v>
      </c>
      <c r="K26" s="1486"/>
      <c r="L26" s="1486"/>
      <c r="M26" s="1487">
        <f t="shared" si="1"/>
      </c>
      <c r="N26" s="1488">
        <f t="shared" si="2"/>
      </c>
      <c r="O26" s="1489"/>
      <c r="P26" s="1490">
        <f t="shared" si="3"/>
      </c>
      <c r="Q26" s="1491">
        <f t="shared" si="15"/>
      </c>
      <c r="R26" s="1492">
        <f t="shared" si="4"/>
      </c>
      <c r="S26" s="1493">
        <f t="shared" si="5"/>
        <v>20</v>
      </c>
      <c r="T26" s="1494" t="str">
        <f t="shared" si="6"/>
        <v>--</v>
      </c>
      <c r="U26" s="1495" t="str">
        <f t="shared" si="7"/>
        <v>--</v>
      </c>
      <c r="V26" s="1496" t="str">
        <f t="shared" si="8"/>
        <v>--</v>
      </c>
      <c r="W26" s="1497" t="str">
        <f t="shared" si="9"/>
        <v>--</v>
      </c>
      <c r="X26" s="1498" t="str">
        <f t="shared" si="10"/>
        <v>--</v>
      </c>
      <c r="Y26" s="1499" t="str">
        <f t="shared" si="11"/>
        <v>--</v>
      </c>
      <c r="Z26" s="1500" t="str">
        <f t="shared" si="12"/>
        <v>--</v>
      </c>
      <c r="AA26" s="1501" t="str">
        <f t="shared" si="13"/>
        <v>--</v>
      </c>
      <c r="AB26" s="1502">
        <f t="shared" si="16"/>
      </c>
      <c r="AC26" s="1503">
        <f t="shared" si="14"/>
      </c>
      <c r="AD26" s="1400"/>
      <c r="AE26" s="1398"/>
    </row>
    <row r="27" spans="1:30" s="1382" customFormat="1" ht="16.5" customHeight="1">
      <c r="A27" s="1381"/>
      <c r="B27" s="1397"/>
      <c r="C27" s="1465"/>
      <c r="D27" s="1465"/>
      <c r="E27" s="1465"/>
      <c r="F27" s="1481"/>
      <c r="G27" s="1482"/>
      <c r="H27" s="1483"/>
      <c r="I27" s="1504"/>
      <c r="J27" s="1485">
        <f t="shared" si="0"/>
        <v>0</v>
      </c>
      <c r="K27" s="1486"/>
      <c r="L27" s="1486"/>
      <c r="M27" s="1487">
        <f t="shared" si="1"/>
      </c>
      <c r="N27" s="1488">
        <f t="shared" si="2"/>
      </c>
      <c r="O27" s="1489"/>
      <c r="P27" s="1490">
        <f t="shared" si="3"/>
      </c>
      <c r="Q27" s="1491">
        <f t="shared" si="15"/>
      </c>
      <c r="R27" s="1492">
        <f t="shared" si="4"/>
      </c>
      <c r="S27" s="1493">
        <f t="shared" si="5"/>
        <v>20</v>
      </c>
      <c r="T27" s="1494" t="str">
        <f t="shared" si="6"/>
        <v>--</v>
      </c>
      <c r="U27" s="1495" t="str">
        <f t="shared" si="7"/>
        <v>--</v>
      </c>
      <c r="V27" s="1496" t="str">
        <f t="shared" si="8"/>
        <v>--</v>
      </c>
      <c r="W27" s="1497" t="str">
        <f t="shared" si="9"/>
        <v>--</v>
      </c>
      <c r="X27" s="1498" t="str">
        <f t="shared" si="10"/>
        <v>--</v>
      </c>
      <c r="Y27" s="1499" t="str">
        <f t="shared" si="11"/>
        <v>--</v>
      </c>
      <c r="Z27" s="1500" t="str">
        <f t="shared" si="12"/>
        <v>--</v>
      </c>
      <c r="AA27" s="1501" t="str">
        <f t="shared" si="13"/>
        <v>--</v>
      </c>
      <c r="AB27" s="1502">
        <f t="shared" si="16"/>
      </c>
      <c r="AC27" s="1503">
        <f t="shared" si="14"/>
      </c>
      <c r="AD27" s="1400"/>
    </row>
    <row r="28" spans="1:30" s="1382" customFormat="1" ht="16.5" customHeight="1">
      <c r="A28" s="1381"/>
      <c r="B28" s="1397"/>
      <c r="C28" s="1465"/>
      <c r="D28" s="1465"/>
      <c r="E28" s="1480"/>
      <c r="F28" s="1481"/>
      <c r="G28" s="1482"/>
      <c r="H28" s="1483"/>
      <c r="I28" s="1504"/>
      <c r="J28" s="1485">
        <f t="shared" si="0"/>
        <v>0</v>
      </c>
      <c r="K28" s="1486"/>
      <c r="L28" s="1486"/>
      <c r="M28" s="1487">
        <f t="shared" si="1"/>
      </c>
      <c r="N28" s="1488">
        <f t="shared" si="2"/>
      </c>
      <c r="O28" s="1489"/>
      <c r="P28" s="1490">
        <f t="shared" si="3"/>
      </c>
      <c r="Q28" s="1491">
        <f t="shared" si="15"/>
      </c>
      <c r="R28" s="1492">
        <f t="shared" si="4"/>
      </c>
      <c r="S28" s="1493">
        <f t="shared" si="5"/>
        <v>20</v>
      </c>
      <c r="T28" s="1494" t="str">
        <f t="shared" si="6"/>
        <v>--</v>
      </c>
      <c r="U28" s="1495" t="str">
        <f t="shared" si="7"/>
        <v>--</v>
      </c>
      <c r="V28" s="1496" t="str">
        <f t="shared" si="8"/>
        <v>--</v>
      </c>
      <c r="W28" s="1497" t="str">
        <f t="shared" si="9"/>
        <v>--</v>
      </c>
      <c r="X28" s="1498" t="str">
        <f t="shared" si="10"/>
        <v>--</v>
      </c>
      <c r="Y28" s="1499" t="str">
        <f t="shared" si="11"/>
        <v>--</v>
      </c>
      <c r="Z28" s="1500" t="str">
        <f t="shared" si="12"/>
        <v>--</v>
      </c>
      <c r="AA28" s="1501" t="str">
        <f t="shared" si="13"/>
        <v>--</v>
      </c>
      <c r="AB28" s="1502">
        <f t="shared" si="16"/>
      </c>
      <c r="AC28" s="1503">
        <f t="shared" si="14"/>
      </c>
      <c r="AD28" s="1400"/>
    </row>
    <row r="29" spans="1:30" s="1382" customFormat="1" ht="16.5" customHeight="1">
      <c r="A29" s="1381"/>
      <c r="B29" s="1397"/>
      <c r="C29" s="1465"/>
      <c r="D29" s="1465"/>
      <c r="E29" s="1465"/>
      <c r="F29" s="1481"/>
      <c r="G29" s="1482"/>
      <c r="H29" s="1483"/>
      <c r="I29" s="1504"/>
      <c r="J29" s="1485">
        <f t="shared" si="0"/>
        <v>0</v>
      </c>
      <c r="K29" s="1486"/>
      <c r="L29" s="1486"/>
      <c r="M29" s="1487">
        <f t="shared" si="1"/>
      </c>
      <c r="N29" s="1488">
        <f t="shared" si="2"/>
      </c>
      <c r="O29" s="1489"/>
      <c r="P29" s="1490">
        <f t="shared" si="3"/>
      </c>
      <c r="Q29" s="1491">
        <f t="shared" si="15"/>
      </c>
      <c r="R29" s="1492">
        <f t="shared" si="4"/>
      </c>
      <c r="S29" s="1493">
        <f t="shared" si="5"/>
        <v>20</v>
      </c>
      <c r="T29" s="1494" t="str">
        <f t="shared" si="6"/>
        <v>--</v>
      </c>
      <c r="U29" s="1495" t="str">
        <f t="shared" si="7"/>
        <v>--</v>
      </c>
      <c r="V29" s="1496" t="str">
        <f t="shared" si="8"/>
        <v>--</v>
      </c>
      <c r="W29" s="1497" t="str">
        <f t="shared" si="9"/>
        <v>--</v>
      </c>
      <c r="X29" s="1498" t="str">
        <f t="shared" si="10"/>
        <v>--</v>
      </c>
      <c r="Y29" s="1499" t="str">
        <f t="shared" si="11"/>
        <v>--</v>
      </c>
      <c r="Z29" s="1500" t="str">
        <f t="shared" si="12"/>
        <v>--</v>
      </c>
      <c r="AA29" s="1501" t="str">
        <f t="shared" si="13"/>
        <v>--</v>
      </c>
      <c r="AB29" s="1502">
        <f t="shared" si="16"/>
      </c>
      <c r="AC29" s="1503">
        <f t="shared" si="14"/>
      </c>
      <c r="AD29" s="1400"/>
    </row>
    <row r="30" spans="1:30" s="1382" customFormat="1" ht="16.5" customHeight="1">
      <c r="A30" s="1381"/>
      <c r="B30" s="1397"/>
      <c r="C30" s="1465"/>
      <c r="D30" s="1465"/>
      <c r="E30" s="1480"/>
      <c r="F30" s="1481"/>
      <c r="G30" s="1505"/>
      <c r="H30" s="1483"/>
      <c r="I30" s="1504"/>
      <c r="J30" s="1485">
        <f t="shared" si="0"/>
        <v>0</v>
      </c>
      <c r="K30" s="1486"/>
      <c r="L30" s="1486"/>
      <c r="M30" s="1487">
        <f t="shared" si="1"/>
      </c>
      <c r="N30" s="1488">
        <f t="shared" si="2"/>
      </c>
      <c r="O30" s="1489"/>
      <c r="P30" s="1490">
        <f t="shared" si="3"/>
      </c>
      <c r="Q30" s="1491">
        <f t="shared" si="15"/>
      </c>
      <c r="R30" s="1492">
        <f t="shared" si="4"/>
      </c>
      <c r="S30" s="1493">
        <f t="shared" si="5"/>
        <v>20</v>
      </c>
      <c r="T30" s="1494" t="str">
        <f t="shared" si="6"/>
        <v>--</v>
      </c>
      <c r="U30" s="1495" t="str">
        <f t="shared" si="7"/>
        <v>--</v>
      </c>
      <c r="V30" s="1496" t="str">
        <f t="shared" si="8"/>
        <v>--</v>
      </c>
      <c r="W30" s="1497" t="str">
        <f t="shared" si="9"/>
        <v>--</v>
      </c>
      <c r="X30" s="1498" t="str">
        <f t="shared" si="10"/>
        <v>--</v>
      </c>
      <c r="Y30" s="1499" t="str">
        <f t="shared" si="11"/>
        <v>--</v>
      </c>
      <c r="Z30" s="1500" t="str">
        <f t="shared" si="12"/>
        <v>--</v>
      </c>
      <c r="AA30" s="1501" t="str">
        <f t="shared" si="13"/>
        <v>--</v>
      </c>
      <c r="AB30" s="1502">
        <f t="shared" si="16"/>
      </c>
      <c r="AC30" s="1503">
        <f t="shared" si="14"/>
      </c>
      <c r="AD30" s="1400"/>
    </row>
    <row r="31" spans="1:30" s="1382" customFormat="1" ht="16.5" customHeight="1">
      <c r="A31" s="1381"/>
      <c r="B31" s="1397"/>
      <c r="C31" s="1465"/>
      <c r="D31" s="1465"/>
      <c r="E31" s="1465"/>
      <c r="F31" s="1481"/>
      <c r="G31" s="1505"/>
      <c r="H31" s="1483"/>
      <c r="I31" s="1504"/>
      <c r="J31" s="1485">
        <f t="shared" si="0"/>
        <v>0</v>
      </c>
      <c r="K31" s="1486"/>
      <c r="L31" s="1486"/>
      <c r="M31" s="1487">
        <f t="shared" si="1"/>
      </c>
      <c r="N31" s="1488">
        <f t="shared" si="2"/>
      </c>
      <c r="O31" s="1489"/>
      <c r="P31" s="1490">
        <f t="shared" si="3"/>
      </c>
      <c r="Q31" s="1491">
        <f t="shared" si="15"/>
      </c>
      <c r="R31" s="1492">
        <f t="shared" si="4"/>
      </c>
      <c r="S31" s="1493">
        <f t="shared" si="5"/>
        <v>20</v>
      </c>
      <c r="T31" s="1494" t="str">
        <f t="shared" si="6"/>
        <v>--</v>
      </c>
      <c r="U31" s="1495" t="str">
        <f t="shared" si="7"/>
        <v>--</v>
      </c>
      <c r="V31" s="1496" t="str">
        <f t="shared" si="8"/>
        <v>--</v>
      </c>
      <c r="W31" s="1497" t="str">
        <f t="shared" si="9"/>
        <v>--</v>
      </c>
      <c r="X31" s="1498" t="str">
        <f t="shared" si="10"/>
        <v>--</v>
      </c>
      <c r="Y31" s="1499" t="str">
        <f t="shared" si="11"/>
        <v>--</v>
      </c>
      <c r="Z31" s="1500" t="str">
        <f t="shared" si="12"/>
        <v>--</v>
      </c>
      <c r="AA31" s="1501" t="str">
        <f t="shared" si="13"/>
        <v>--</v>
      </c>
      <c r="AB31" s="1502">
        <f t="shared" si="16"/>
      </c>
      <c r="AC31" s="1503">
        <f t="shared" si="14"/>
      </c>
      <c r="AD31" s="1400"/>
    </row>
    <row r="32" spans="1:30" s="1382" customFormat="1" ht="16.5" customHeight="1">
      <c r="A32" s="1381"/>
      <c r="B32" s="1397"/>
      <c r="C32" s="1465"/>
      <c r="D32" s="1465"/>
      <c r="E32" s="1480"/>
      <c r="F32" s="1481"/>
      <c r="G32" s="1505"/>
      <c r="H32" s="1483"/>
      <c r="I32" s="1504"/>
      <c r="J32" s="1485">
        <f t="shared" si="0"/>
        <v>0</v>
      </c>
      <c r="K32" s="1486"/>
      <c r="L32" s="1486"/>
      <c r="M32" s="1487">
        <f t="shared" si="1"/>
      </c>
      <c r="N32" s="1488">
        <f t="shared" si="2"/>
      </c>
      <c r="O32" s="1489"/>
      <c r="P32" s="1490">
        <f t="shared" si="3"/>
      </c>
      <c r="Q32" s="1491">
        <f t="shared" si="15"/>
      </c>
      <c r="R32" s="1492">
        <f t="shared" si="4"/>
      </c>
      <c r="S32" s="1493">
        <f t="shared" si="5"/>
        <v>20</v>
      </c>
      <c r="T32" s="1494" t="str">
        <f t="shared" si="6"/>
        <v>--</v>
      </c>
      <c r="U32" s="1495" t="str">
        <f t="shared" si="7"/>
        <v>--</v>
      </c>
      <c r="V32" s="1496" t="str">
        <f t="shared" si="8"/>
        <v>--</v>
      </c>
      <c r="W32" s="1497" t="str">
        <f t="shared" si="9"/>
        <v>--</v>
      </c>
      <c r="X32" s="1498" t="str">
        <f t="shared" si="10"/>
        <v>--</v>
      </c>
      <c r="Y32" s="1499" t="str">
        <f t="shared" si="11"/>
        <v>--</v>
      </c>
      <c r="Z32" s="1500" t="str">
        <f t="shared" si="12"/>
        <v>--</v>
      </c>
      <c r="AA32" s="1501" t="str">
        <f t="shared" si="13"/>
        <v>--</v>
      </c>
      <c r="AB32" s="1502">
        <f t="shared" si="16"/>
      </c>
      <c r="AC32" s="1503">
        <f t="shared" si="14"/>
      </c>
      <c r="AD32" s="1400"/>
    </row>
    <row r="33" spans="1:30" s="1382" customFormat="1" ht="16.5" customHeight="1">
      <c r="A33" s="1381"/>
      <c r="B33" s="1397"/>
      <c r="C33" s="1465"/>
      <c r="D33" s="1465"/>
      <c r="E33" s="1465"/>
      <c r="F33" s="1481"/>
      <c r="G33" s="1505"/>
      <c r="H33" s="1483"/>
      <c r="I33" s="1504"/>
      <c r="J33" s="1485">
        <f t="shared" si="0"/>
        <v>0</v>
      </c>
      <c r="K33" s="1486"/>
      <c r="L33" s="1486"/>
      <c r="M33" s="1487">
        <f t="shared" si="1"/>
      </c>
      <c r="N33" s="1488">
        <f t="shared" si="2"/>
      </c>
      <c r="O33" s="1489"/>
      <c r="P33" s="1490">
        <f t="shared" si="3"/>
      </c>
      <c r="Q33" s="1491">
        <f t="shared" si="15"/>
      </c>
      <c r="R33" s="1492">
        <f t="shared" si="4"/>
      </c>
      <c r="S33" s="1493">
        <f t="shared" si="5"/>
        <v>20</v>
      </c>
      <c r="T33" s="1494" t="str">
        <f t="shared" si="6"/>
        <v>--</v>
      </c>
      <c r="U33" s="1495" t="str">
        <f t="shared" si="7"/>
        <v>--</v>
      </c>
      <c r="V33" s="1496" t="str">
        <f t="shared" si="8"/>
        <v>--</v>
      </c>
      <c r="W33" s="1497" t="str">
        <f t="shared" si="9"/>
        <v>--</v>
      </c>
      <c r="X33" s="1498" t="str">
        <f t="shared" si="10"/>
        <v>--</v>
      </c>
      <c r="Y33" s="1499" t="str">
        <f t="shared" si="11"/>
        <v>--</v>
      </c>
      <c r="Z33" s="1500" t="str">
        <f t="shared" si="12"/>
        <v>--</v>
      </c>
      <c r="AA33" s="1501" t="str">
        <f t="shared" si="13"/>
        <v>--</v>
      </c>
      <c r="AB33" s="1502">
        <f t="shared" si="16"/>
      </c>
      <c r="AC33" s="1503">
        <f t="shared" si="14"/>
      </c>
      <c r="AD33" s="1400"/>
    </row>
    <row r="34" spans="1:30" s="1382" customFormat="1" ht="16.5" customHeight="1">
      <c r="A34" s="1381"/>
      <c r="B34" s="1397"/>
      <c r="C34" s="1465"/>
      <c r="D34" s="1465"/>
      <c r="E34" s="1480"/>
      <c r="F34" s="1481"/>
      <c r="G34" s="1505"/>
      <c r="H34" s="1483"/>
      <c r="I34" s="1504"/>
      <c r="J34" s="1485">
        <f t="shared" si="0"/>
        <v>0</v>
      </c>
      <c r="K34" s="1486"/>
      <c r="L34" s="1486"/>
      <c r="M34" s="1487">
        <f t="shared" si="1"/>
      </c>
      <c r="N34" s="1488">
        <f t="shared" si="2"/>
      </c>
      <c r="O34" s="1489"/>
      <c r="P34" s="1490">
        <f t="shared" si="3"/>
      </c>
      <c r="Q34" s="1491">
        <f t="shared" si="15"/>
      </c>
      <c r="R34" s="1492">
        <f t="shared" si="4"/>
      </c>
      <c r="S34" s="1493">
        <f t="shared" si="5"/>
        <v>20</v>
      </c>
      <c r="T34" s="1494" t="str">
        <f t="shared" si="6"/>
        <v>--</v>
      </c>
      <c r="U34" s="1495" t="str">
        <f t="shared" si="7"/>
        <v>--</v>
      </c>
      <c r="V34" s="1496" t="str">
        <f t="shared" si="8"/>
        <v>--</v>
      </c>
      <c r="W34" s="1497" t="str">
        <f t="shared" si="9"/>
        <v>--</v>
      </c>
      <c r="X34" s="1498" t="str">
        <f t="shared" si="10"/>
        <v>--</v>
      </c>
      <c r="Y34" s="1499" t="str">
        <f t="shared" si="11"/>
        <v>--</v>
      </c>
      <c r="Z34" s="1500" t="str">
        <f t="shared" si="12"/>
        <v>--</v>
      </c>
      <c r="AA34" s="1501" t="str">
        <f t="shared" si="13"/>
        <v>--</v>
      </c>
      <c r="AB34" s="1502">
        <f t="shared" si="16"/>
      </c>
      <c r="AC34" s="1503">
        <f t="shared" si="14"/>
      </c>
      <c r="AD34" s="1400"/>
    </row>
    <row r="35" spans="1:30" s="1382" customFormat="1" ht="16.5" customHeight="1">
      <c r="A35" s="1381"/>
      <c r="B35" s="1397"/>
      <c r="C35" s="1465"/>
      <c r="D35" s="1465"/>
      <c r="E35" s="1465"/>
      <c r="F35" s="1481"/>
      <c r="G35" s="1505"/>
      <c r="H35" s="1483"/>
      <c r="I35" s="1504"/>
      <c r="J35" s="1485">
        <f t="shared" si="0"/>
        <v>0</v>
      </c>
      <c r="K35" s="1486"/>
      <c r="L35" s="1486"/>
      <c r="M35" s="1487">
        <f t="shared" si="1"/>
      </c>
      <c r="N35" s="1488">
        <f t="shared" si="2"/>
      </c>
      <c r="O35" s="1489"/>
      <c r="P35" s="1490">
        <f t="shared" si="3"/>
      </c>
      <c r="Q35" s="1491">
        <f t="shared" si="15"/>
      </c>
      <c r="R35" s="1492">
        <f t="shared" si="4"/>
      </c>
      <c r="S35" s="1493">
        <f t="shared" si="5"/>
        <v>20</v>
      </c>
      <c r="T35" s="1494" t="str">
        <f t="shared" si="6"/>
        <v>--</v>
      </c>
      <c r="U35" s="1495" t="str">
        <f t="shared" si="7"/>
        <v>--</v>
      </c>
      <c r="V35" s="1496" t="str">
        <f t="shared" si="8"/>
        <v>--</v>
      </c>
      <c r="W35" s="1497" t="str">
        <f t="shared" si="9"/>
        <v>--</v>
      </c>
      <c r="X35" s="1498" t="str">
        <f t="shared" si="10"/>
        <v>--</v>
      </c>
      <c r="Y35" s="1499" t="str">
        <f t="shared" si="11"/>
        <v>--</v>
      </c>
      <c r="Z35" s="1500" t="str">
        <f t="shared" si="12"/>
        <v>--</v>
      </c>
      <c r="AA35" s="1501" t="str">
        <f t="shared" si="13"/>
        <v>--</v>
      </c>
      <c r="AB35" s="1502">
        <f t="shared" si="16"/>
      </c>
      <c r="AC35" s="1503">
        <f t="shared" si="14"/>
      </c>
      <c r="AD35" s="1400"/>
    </row>
    <row r="36" spans="1:30" s="1382" customFormat="1" ht="16.5" customHeight="1">
      <c r="A36" s="1381"/>
      <c r="B36" s="1397"/>
      <c r="C36" s="1465"/>
      <c r="D36" s="1465"/>
      <c r="E36" s="1480"/>
      <c r="F36" s="1481"/>
      <c r="G36" s="1505"/>
      <c r="H36" s="1483"/>
      <c r="I36" s="1504"/>
      <c r="J36" s="1485">
        <f t="shared" si="0"/>
        <v>0</v>
      </c>
      <c r="K36" s="1486"/>
      <c r="L36" s="1486"/>
      <c r="M36" s="1487">
        <f t="shared" si="1"/>
      </c>
      <c r="N36" s="1488">
        <f t="shared" si="2"/>
      </c>
      <c r="O36" s="1489"/>
      <c r="P36" s="1490">
        <f t="shared" si="3"/>
      </c>
      <c r="Q36" s="1491">
        <f t="shared" si="15"/>
      </c>
      <c r="R36" s="1492">
        <f t="shared" si="4"/>
      </c>
      <c r="S36" s="1493">
        <f t="shared" si="5"/>
        <v>20</v>
      </c>
      <c r="T36" s="1494" t="str">
        <f t="shared" si="6"/>
        <v>--</v>
      </c>
      <c r="U36" s="1495" t="str">
        <f t="shared" si="7"/>
        <v>--</v>
      </c>
      <c r="V36" s="1496" t="str">
        <f t="shared" si="8"/>
        <v>--</v>
      </c>
      <c r="W36" s="1497" t="str">
        <f t="shared" si="9"/>
        <v>--</v>
      </c>
      <c r="X36" s="1498" t="str">
        <f t="shared" si="10"/>
        <v>--</v>
      </c>
      <c r="Y36" s="1499" t="str">
        <f t="shared" si="11"/>
        <v>--</v>
      </c>
      <c r="Z36" s="1500" t="str">
        <f t="shared" si="12"/>
        <v>--</v>
      </c>
      <c r="AA36" s="1501" t="str">
        <f t="shared" si="13"/>
        <v>--</v>
      </c>
      <c r="AB36" s="1502">
        <f t="shared" si="16"/>
      </c>
      <c r="AC36" s="1503">
        <f t="shared" si="14"/>
      </c>
      <c r="AD36" s="1400"/>
    </row>
    <row r="37" spans="1:30" s="1382" customFormat="1" ht="16.5" customHeight="1">
      <c r="A37" s="1381"/>
      <c r="B37" s="1397"/>
      <c r="C37" s="1465"/>
      <c r="D37" s="1465"/>
      <c r="E37" s="1465"/>
      <c r="F37" s="1481"/>
      <c r="G37" s="1505"/>
      <c r="H37" s="1483"/>
      <c r="I37" s="1504"/>
      <c r="J37" s="1485">
        <f t="shared" si="0"/>
        <v>0</v>
      </c>
      <c r="K37" s="1486"/>
      <c r="L37" s="1486"/>
      <c r="M37" s="1487">
        <f t="shared" si="1"/>
      </c>
      <c r="N37" s="1488">
        <f t="shared" si="2"/>
      </c>
      <c r="O37" s="1489"/>
      <c r="P37" s="1490">
        <f t="shared" si="3"/>
      </c>
      <c r="Q37" s="1491">
        <f t="shared" si="15"/>
      </c>
      <c r="R37" s="1492">
        <f t="shared" si="4"/>
      </c>
      <c r="S37" s="1493">
        <f t="shared" si="5"/>
        <v>20</v>
      </c>
      <c r="T37" s="1494" t="str">
        <f t="shared" si="6"/>
        <v>--</v>
      </c>
      <c r="U37" s="1495" t="str">
        <f t="shared" si="7"/>
        <v>--</v>
      </c>
      <c r="V37" s="1496" t="str">
        <f t="shared" si="8"/>
        <v>--</v>
      </c>
      <c r="W37" s="1497" t="str">
        <f t="shared" si="9"/>
        <v>--</v>
      </c>
      <c r="X37" s="1498" t="str">
        <f t="shared" si="10"/>
        <v>--</v>
      </c>
      <c r="Y37" s="1499" t="str">
        <f t="shared" si="11"/>
        <v>--</v>
      </c>
      <c r="Z37" s="1500" t="str">
        <f t="shared" si="12"/>
        <v>--</v>
      </c>
      <c r="AA37" s="1501" t="str">
        <f t="shared" si="13"/>
        <v>--</v>
      </c>
      <c r="AB37" s="1502">
        <f t="shared" si="16"/>
      </c>
      <c r="AC37" s="1503">
        <f t="shared" si="14"/>
      </c>
      <c r="AD37" s="1400"/>
    </row>
    <row r="38" spans="1:30" s="1382" customFormat="1" ht="16.5" customHeight="1">
      <c r="A38" s="1381"/>
      <c r="B38" s="1397"/>
      <c r="C38" s="1465"/>
      <c r="D38" s="1465"/>
      <c r="E38" s="1480"/>
      <c r="F38" s="1481"/>
      <c r="G38" s="1505"/>
      <c r="H38" s="1483"/>
      <c r="I38" s="1504"/>
      <c r="J38" s="1485">
        <f t="shared" si="0"/>
        <v>0</v>
      </c>
      <c r="K38" s="1486"/>
      <c r="L38" s="1486"/>
      <c r="M38" s="1487">
        <f t="shared" si="1"/>
      </c>
      <c r="N38" s="1488">
        <f t="shared" si="2"/>
      </c>
      <c r="O38" s="1489"/>
      <c r="P38" s="1490">
        <f t="shared" si="3"/>
      </c>
      <c r="Q38" s="1491">
        <f t="shared" si="15"/>
      </c>
      <c r="R38" s="1492">
        <f t="shared" si="4"/>
      </c>
      <c r="S38" s="1493">
        <f t="shared" si="5"/>
        <v>20</v>
      </c>
      <c r="T38" s="1494" t="str">
        <f t="shared" si="6"/>
        <v>--</v>
      </c>
      <c r="U38" s="1495" t="str">
        <f t="shared" si="7"/>
        <v>--</v>
      </c>
      <c r="V38" s="1496" t="str">
        <f t="shared" si="8"/>
        <v>--</v>
      </c>
      <c r="W38" s="1497" t="str">
        <f t="shared" si="9"/>
        <v>--</v>
      </c>
      <c r="X38" s="1498" t="str">
        <f t="shared" si="10"/>
        <v>--</v>
      </c>
      <c r="Y38" s="1499" t="str">
        <f t="shared" si="11"/>
        <v>--</v>
      </c>
      <c r="Z38" s="1500" t="str">
        <f t="shared" si="12"/>
        <v>--</v>
      </c>
      <c r="AA38" s="1501" t="str">
        <f t="shared" si="13"/>
        <v>--</v>
      </c>
      <c r="AB38" s="1502">
        <f t="shared" si="16"/>
      </c>
      <c r="AC38" s="1503">
        <f t="shared" si="14"/>
      </c>
      <c r="AD38" s="1400"/>
    </row>
    <row r="39" spans="1:30" s="1382" customFormat="1" ht="16.5" customHeight="1">
      <c r="A39" s="1381"/>
      <c r="B39" s="1397"/>
      <c r="C39" s="1465"/>
      <c r="D39" s="1465"/>
      <c r="E39" s="1465"/>
      <c r="F39" s="1481"/>
      <c r="G39" s="1505"/>
      <c r="H39" s="1483"/>
      <c r="I39" s="1504"/>
      <c r="J39" s="1485">
        <f t="shared" si="0"/>
        <v>0</v>
      </c>
      <c r="K39" s="1486"/>
      <c r="L39" s="1486"/>
      <c r="M39" s="1487">
        <f t="shared" si="1"/>
      </c>
      <c r="N39" s="1488">
        <f t="shared" si="2"/>
      </c>
      <c r="O39" s="1489"/>
      <c r="P39" s="1490">
        <f t="shared" si="3"/>
      </c>
      <c r="Q39" s="1491">
        <f t="shared" si="15"/>
      </c>
      <c r="R39" s="1492">
        <f t="shared" si="4"/>
      </c>
      <c r="S39" s="1493">
        <f t="shared" si="5"/>
        <v>20</v>
      </c>
      <c r="T39" s="1494" t="str">
        <f t="shared" si="6"/>
        <v>--</v>
      </c>
      <c r="U39" s="1495" t="str">
        <f t="shared" si="7"/>
        <v>--</v>
      </c>
      <c r="V39" s="1496" t="str">
        <f t="shared" si="8"/>
        <v>--</v>
      </c>
      <c r="W39" s="1497" t="str">
        <f t="shared" si="9"/>
        <v>--</v>
      </c>
      <c r="X39" s="1498" t="str">
        <f t="shared" si="10"/>
        <v>--</v>
      </c>
      <c r="Y39" s="1499" t="str">
        <f t="shared" si="11"/>
        <v>--</v>
      </c>
      <c r="Z39" s="1500" t="str">
        <f t="shared" si="12"/>
        <v>--</v>
      </c>
      <c r="AA39" s="1501" t="str">
        <f t="shared" si="13"/>
        <v>--</v>
      </c>
      <c r="AB39" s="1502">
        <f t="shared" si="16"/>
      </c>
      <c r="AC39" s="1503">
        <f t="shared" si="14"/>
      </c>
      <c r="AD39" s="1400"/>
    </row>
    <row r="40" spans="1:30" s="1382" customFormat="1" ht="16.5" customHeight="1" thickBot="1">
      <c r="A40" s="1381"/>
      <c r="B40" s="1397"/>
      <c r="C40" s="1506"/>
      <c r="D40" s="1506"/>
      <c r="E40" s="1506"/>
      <c r="F40" s="1506"/>
      <c r="G40" s="1506"/>
      <c r="H40" s="1506"/>
      <c r="I40" s="1507"/>
      <c r="J40" s="1508"/>
      <c r="K40" s="1509"/>
      <c r="L40" s="1510"/>
      <c r="M40" s="1511"/>
      <c r="N40" s="1512"/>
      <c r="O40" s="1513"/>
      <c r="P40" s="1514"/>
      <c r="Q40" s="1515"/>
      <c r="R40" s="1513"/>
      <c r="S40" s="1516"/>
      <c r="T40" s="1517"/>
      <c r="U40" s="1518"/>
      <c r="V40" s="1519"/>
      <c r="W40" s="1520"/>
      <c r="X40" s="1521"/>
      <c r="Y40" s="1522"/>
      <c r="Z40" s="1523"/>
      <c r="AA40" s="1524"/>
      <c r="AB40" s="1525"/>
      <c r="AC40" s="1526"/>
      <c r="AD40" s="1400"/>
    </row>
    <row r="41" spans="1:30" s="1382" customFormat="1" ht="16.5" customHeight="1" thickBot="1" thickTop="1">
      <c r="A41" s="1381"/>
      <c r="B41" s="1397"/>
      <c r="C41" s="1527" t="s">
        <v>317</v>
      </c>
      <c r="D41" s="1528" t="s">
        <v>420</v>
      </c>
      <c r="E41" s="1527"/>
      <c r="F41" s="1529"/>
      <c r="G41" s="1398"/>
      <c r="H41" s="1398"/>
      <c r="I41" s="1398"/>
      <c r="J41" s="1398"/>
      <c r="K41" s="1398"/>
      <c r="L41" s="1429"/>
      <c r="M41" s="1398"/>
      <c r="N41" s="1398"/>
      <c r="O41" s="1398"/>
      <c r="P41" s="1398"/>
      <c r="Q41" s="1398"/>
      <c r="R41" s="1398"/>
      <c r="S41" s="1398"/>
      <c r="T41" s="1530">
        <f aca="true" t="shared" si="17" ref="T41:AA41">SUM(T18:T40)</f>
        <v>2410.758</v>
      </c>
      <c r="U41" s="1531">
        <f t="shared" si="17"/>
        <v>0</v>
      </c>
      <c r="V41" s="1532">
        <f t="shared" si="17"/>
        <v>0</v>
      </c>
      <c r="W41" s="1533">
        <f t="shared" si="17"/>
        <v>0</v>
      </c>
      <c r="X41" s="1534">
        <f t="shared" si="17"/>
        <v>0</v>
      </c>
      <c r="Y41" s="1535">
        <f t="shared" si="17"/>
        <v>0</v>
      </c>
      <c r="Z41" s="1536">
        <f t="shared" si="17"/>
        <v>0</v>
      </c>
      <c r="AA41" s="1537">
        <f t="shared" si="17"/>
        <v>0</v>
      </c>
      <c r="AB41" s="1381"/>
      <c r="AC41" s="1538">
        <f>ROUND(SUM(AC18:AC40),2)</f>
        <v>2410.76</v>
      </c>
      <c r="AD41" s="1400"/>
    </row>
    <row r="42" spans="1:30" s="1382" customFormat="1" ht="16.5" customHeight="1" thickBot="1" thickTop="1">
      <c r="A42" s="1381"/>
      <c r="B42" s="1539"/>
      <c r="C42" s="1540"/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0"/>
      <c r="U42" s="1540"/>
      <c r="V42" s="1540"/>
      <c r="W42" s="1540"/>
      <c r="X42" s="1540"/>
      <c r="Y42" s="1540"/>
      <c r="Z42" s="1540"/>
      <c r="AA42" s="1540"/>
      <c r="AB42" s="1540"/>
      <c r="AC42" s="1540"/>
      <c r="AD42" s="1541"/>
    </row>
    <row r="43" spans="1:31" ht="16.5" customHeight="1" thickTop="1">
      <c r="A43" s="1542"/>
      <c r="F43" s="1543"/>
      <c r="G43" s="1543"/>
      <c r="H43" s="1543"/>
      <c r="I43" s="1543"/>
      <c r="J43" s="1543"/>
      <c r="K43" s="1543"/>
      <c r="L43" s="1543"/>
      <c r="M43" s="1543"/>
      <c r="N43" s="1543"/>
      <c r="O43" s="1543"/>
      <c r="P43" s="1543"/>
      <c r="Q43" s="1543"/>
      <c r="R43" s="1543"/>
      <c r="S43" s="1543"/>
      <c r="T43" s="1543"/>
      <c r="U43" s="1543"/>
      <c r="V43" s="1543"/>
      <c r="W43" s="1543"/>
      <c r="X43" s="1543"/>
      <c r="Y43" s="1543"/>
      <c r="Z43" s="1543"/>
      <c r="AA43" s="1543"/>
      <c r="AB43" s="1543"/>
      <c r="AC43" s="1543"/>
      <c r="AD43" s="1543"/>
      <c r="AE43" s="1543"/>
    </row>
    <row r="44" spans="1:31" ht="16.5" customHeight="1">
      <c r="A44" s="1542"/>
      <c r="F44" s="1543"/>
      <c r="G44" s="1543"/>
      <c r="H44" s="1543"/>
      <c r="I44" s="1543"/>
      <c r="J44" s="1543"/>
      <c r="K44" s="1543"/>
      <c r="L44" s="1543"/>
      <c r="M44" s="1543"/>
      <c r="N44" s="1543"/>
      <c r="O44" s="1543"/>
      <c r="P44" s="1543"/>
      <c r="Q44" s="1543"/>
      <c r="R44" s="1543"/>
      <c r="S44" s="1543"/>
      <c r="T44" s="1543"/>
      <c r="U44" s="1543"/>
      <c r="V44" s="1543"/>
      <c r="W44" s="1543"/>
      <c r="X44" s="1543"/>
      <c r="Y44" s="1543"/>
      <c r="Z44" s="1543"/>
      <c r="AA44" s="1543"/>
      <c r="AB44" s="1543"/>
      <c r="AC44" s="1543"/>
      <c r="AD44" s="1543"/>
      <c r="AE44" s="1543"/>
    </row>
    <row r="45" spans="1:31" ht="16.5" customHeight="1">
      <c r="A45" s="1542"/>
      <c r="F45" s="1543"/>
      <c r="G45" s="1543"/>
      <c r="H45" s="1543"/>
      <c r="I45" s="1543"/>
      <c r="J45" s="1543"/>
      <c r="K45" s="1543"/>
      <c r="L45" s="1543"/>
      <c r="M45" s="1543"/>
      <c r="N45" s="1543"/>
      <c r="O45" s="1543"/>
      <c r="P45" s="1543"/>
      <c r="Q45" s="1543"/>
      <c r="R45" s="1543"/>
      <c r="S45" s="1543"/>
      <c r="T45" s="1543"/>
      <c r="U45" s="1543"/>
      <c r="V45" s="1543"/>
      <c r="W45" s="1543"/>
      <c r="X45" s="1543"/>
      <c r="Y45" s="1543"/>
      <c r="Z45" s="1543"/>
      <c r="AA45" s="1543"/>
      <c r="AB45" s="1543"/>
      <c r="AC45" s="1543"/>
      <c r="AD45" s="1543"/>
      <c r="AE45" s="1543"/>
    </row>
    <row r="46" spans="1:31" ht="16.5" customHeight="1">
      <c r="A46" s="1542"/>
      <c r="F46" s="1543"/>
      <c r="G46" s="1543"/>
      <c r="H46" s="1543"/>
      <c r="I46" s="1543"/>
      <c r="J46" s="1543"/>
      <c r="K46" s="1543"/>
      <c r="L46" s="1543"/>
      <c r="M46" s="1543"/>
      <c r="N46" s="1543"/>
      <c r="O46" s="1543"/>
      <c r="P46" s="1543"/>
      <c r="Q46" s="1543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</row>
    <row r="47" spans="6:31" ht="16.5" customHeight="1">
      <c r="F47" s="1543"/>
      <c r="G47" s="1543"/>
      <c r="H47" s="1543"/>
      <c r="I47" s="1543"/>
      <c r="J47" s="1543"/>
      <c r="K47" s="1543"/>
      <c r="L47" s="1543"/>
      <c r="M47" s="1543"/>
      <c r="N47" s="1543"/>
      <c r="O47" s="1543"/>
      <c r="P47" s="1543"/>
      <c r="Q47" s="1543"/>
      <c r="R47" s="1543"/>
      <c r="S47" s="1543"/>
      <c r="T47" s="1543"/>
      <c r="U47" s="1543"/>
      <c r="V47" s="1543"/>
      <c r="W47" s="1543"/>
      <c r="X47" s="1543"/>
      <c r="Y47" s="1543"/>
      <c r="Z47" s="1543"/>
      <c r="AA47" s="1543"/>
      <c r="AB47" s="1543"/>
      <c r="AC47" s="1543"/>
      <c r="AD47" s="1543"/>
      <c r="AE47" s="1543"/>
    </row>
    <row r="48" spans="6:31" ht="16.5" customHeight="1">
      <c r="F48" s="1543"/>
      <c r="G48" s="1543"/>
      <c r="H48" s="1543"/>
      <c r="I48" s="1543"/>
      <c r="J48" s="1543"/>
      <c r="K48" s="1543"/>
      <c r="L48" s="1543"/>
      <c r="M48" s="1543"/>
      <c r="N48" s="1543"/>
      <c r="O48" s="1543"/>
      <c r="P48" s="1543"/>
      <c r="Q48" s="1543"/>
      <c r="R48" s="1543"/>
      <c r="S48" s="1543"/>
      <c r="T48" s="1543"/>
      <c r="U48" s="1543"/>
      <c r="V48" s="1543"/>
      <c r="W48" s="1543"/>
      <c r="X48" s="1543"/>
      <c r="Y48" s="1543"/>
      <c r="Z48" s="1543"/>
      <c r="AA48" s="1543"/>
      <c r="AB48" s="1543"/>
      <c r="AC48" s="1543"/>
      <c r="AD48" s="1543"/>
      <c r="AE48" s="1543"/>
    </row>
    <row r="49" spans="6:31" ht="16.5" customHeight="1">
      <c r="F49" s="1543"/>
      <c r="G49" s="1543"/>
      <c r="H49" s="1543"/>
      <c r="I49" s="1543"/>
      <c r="J49" s="1543"/>
      <c r="K49" s="1543"/>
      <c r="L49" s="1543"/>
      <c r="M49" s="1543"/>
      <c r="N49" s="1543"/>
      <c r="O49" s="1543"/>
      <c r="P49" s="1543"/>
      <c r="Q49" s="1543"/>
      <c r="R49" s="1543"/>
      <c r="S49" s="1543"/>
      <c r="T49" s="1543"/>
      <c r="U49" s="1543"/>
      <c r="V49" s="1543"/>
      <c r="W49" s="1543"/>
      <c r="X49" s="1543"/>
      <c r="Y49" s="1543"/>
      <c r="Z49" s="1543"/>
      <c r="AA49" s="1543"/>
      <c r="AB49" s="1543"/>
      <c r="AC49" s="1543"/>
      <c r="AD49" s="1543"/>
      <c r="AE49" s="1543"/>
    </row>
    <row r="50" spans="6:31" ht="16.5" customHeight="1">
      <c r="F50" s="1543"/>
      <c r="G50" s="1543"/>
      <c r="H50" s="1543"/>
      <c r="I50" s="1543"/>
      <c r="J50" s="1543"/>
      <c r="K50" s="1543"/>
      <c r="L50" s="1543"/>
      <c r="M50" s="1543"/>
      <c r="N50" s="1543"/>
      <c r="O50" s="1543"/>
      <c r="P50" s="1543"/>
      <c r="Q50" s="1543"/>
      <c r="R50" s="1543"/>
      <c r="S50" s="1543"/>
      <c r="T50" s="1543"/>
      <c r="U50" s="1543"/>
      <c r="V50" s="1543"/>
      <c r="W50" s="1543"/>
      <c r="X50" s="1543"/>
      <c r="Y50" s="1543"/>
      <c r="Z50" s="1543"/>
      <c r="AA50" s="1543"/>
      <c r="AB50" s="1543"/>
      <c r="AC50" s="1543"/>
      <c r="AD50" s="1543"/>
      <c r="AE50" s="1543"/>
    </row>
    <row r="51" spans="6:31" ht="16.5" customHeight="1">
      <c r="F51" s="1543"/>
      <c r="G51" s="1543"/>
      <c r="H51" s="1543"/>
      <c r="I51" s="1543"/>
      <c r="J51" s="1543"/>
      <c r="K51" s="1543"/>
      <c r="L51" s="1543"/>
      <c r="M51" s="1543"/>
      <c r="N51" s="1543"/>
      <c r="O51" s="1543"/>
      <c r="P51" s="1543"/>
      <c r="Q51" s="1543"/>
      <c r="R51" s="1543"/>
      <c r="S51" s="1543"/>
      <c r="T51" s="1543"/>
      <c r="U51" s="1543"/>
      <c r="V51" s="1543"/>
      <c r="W51" s="1543"/>
      <c r="X51" s="1543"/>
      <c r="Y51" s="1543"/>
      <c r="Z51" s="1543"/>
      <c r="AA51" s="1543"/>
      <c r="AB51" s="1543"/>
      <c r="AC51" s="1543"/>
      <c r="AD51" s="1543"/>
      <c r="AE51" s="1543"/>
    </row>
    <row r="52" spans="6:31" ht="16.5" customHeight="1">
      <c r="F52" s="1543"/>
      <c r="G52" s="1543"/>
      <c r="H52" s="1543"/>
      <c r="I52" s="1543"/>
      <c r="J52" s="1543"/>
      <c r="K52" s="1543"/>
      <c r="L52" s="1543"/>
      <c r="M52" s="1543"/>
      <c r="N52" s="1543"/>
      <c r="O52" s="1543"/>
      <c r="P52" s="1543"/>
      <c r="Q52" s="1543"/>
      <c r="R52" s="1543"/>
      <c r="S52" s="1543"/>
      <c r="T52" s="1543"/>
      <c r="U52" s="1543"/>
      <c r="V52" s="1543"/>
      <c r="W52" s="1543"/>
      <c r="X52" s="1543"/>
      <c r="Y52" s="1543"/>
      <c r="Z52" s="1543"/>
      <c r="AA52" s="1543"/>
      <c r="AB52" s="1543"/>
      <c r="AC52" s="1543"/>
      <c r="AD52" s="1543"/>
      <c r="AE52" s="1543"/>
    </row>
    <row r="53" spans="6:31" ht="16.5" customHeight="1">
      <c r="F53" s="1543"/>
      <c r="G53" s="1543"/>
      <c r="H53" s="1543"/>
      <c r="I53" s="1543"/>
      <c r="J53" s="1543"/>
      <c r="K53" s="1543"/>
      <c r="L53" s="1543"/>
      <c r="M53" s="1543"/>
      <c r="N53" s="1543"/>
      <c r="O53" s="1543"/>
      <c r="P53" s="1543"/>
      <c r="Q53" s="1543"/>
      <c r="R53" s="1543"/>
      <c r="S53" s="1543"/>
      <c r="T53" s="1543"/>
      <c r="U53" s="1543"/>
      <c r="V53" s="1543"/>
      <c r="W53" s="1543"/>
      <c r="X53" s="1543"/>
      <c r="Y53" s="1543"/>
      <c r="Z53" s="1543"/>
      <c r="AA53" s="1543"/>
      <c r="AB53" s="1543"/>
      <c r="AC53" s="1543"/>
      <c r="AD53" s="1543"/>
      <c r="AE53" s="1543"/>
    </row>
    <row r="54" spans="6:31" ht="16.5" customHeight="1">
      <c r="F54" s="1543"/>
      <c r="G54" s="1543"/>
      <c r="H54" s="1543"/>
      <c r="I54" s="1543"/>
      <c r="J54" s="1543"/>
      <c r="K54" s="1543"/>
      <c r="L54" s="1543"/>
      <c r="M54" s="1543"/>
      <c r="N54" s="1543"/>
      <c r="O54" s="1543"/>
      <c r="P54" s="1543"/>
      <c r="Q54" s="1543"/>
      <c r="R54" s="1543"/>
      <c r="S54" s="1543"/>
      <c r="T54" s="1543"/>
      <c r="U54" s="1543"/>
      <c r="V54" s="1543"/>
      <c r="W54" s="1543"/>
      <c r="X54" s="1543"/>
      <c r="Y54" s="1543"/>
      <c r="Z54" s="1543"/>
      <c r="AA54" s="1543"/>
      <c r="AB54" s="1543"/>
      <c r="AC54" s="1543"/>
      <c r="AD54" s="1543"/>
      <c r="AE54" s="1543"/>
    </row>
    <row r="55" spans="6:31" ht="16.5" customHeight="1"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1543"/>
      <c r="T55" s="1543"/>
      <c r="U55" s="1543"/>
      <c r="V55" s="1543"/>
      <c r="W55" s="1543"/>
      <c r="X55" s="1543"/>
      <c r="Y55" s="1543"/>
      <c r="Z55" s="1543"/>
      <c r="AA55" s="1543"/>
      <c r="AB55" s="1543"/>
      <c r="AC55" s="1543"/>
      <c r="AD55" s="1543"/>
      <c r="AE55" s="1543"/>
    </row>
    <row r="56" spans="6:31" ht="16.5" customHeight="1">
      <c r="F56" s="1543"/>
      <c r="G56" s="1543"/>
      <c r="H56" s="1543"/>
      <c r="I56" s="1543"/>
      <c r="J56" s="1543"/>
      <c r="K56" s="1543"/>
      <c r="L56" s="1543"/>
      <c r="M56" s="1543"/>
      <c r="N56" s="1543"/>
      <c r="O56" s="1543"/>
      <c r="P56" s="1543"/>
      <c r="Q56" s="1543"/>
      <c r="R56" s="1543"/>
      <c r="S56" s="1543"/>
      <c r="T56" s="1543"/>
      <c r="U56" s="1543"/>
      <c r="V56" s="1543"/>
      <c r="W56" s="1543"/>
      <c r="X56" s="1543"/>
      <c r="Y56" s="1543"/>
      <c r="Z56" s="1543"/>
      <c r="AA56" s="1543"/>
      <c r="AB56" s="1543"/>
      <c r="AC56" s="1543"/>
      <c r="AD56" s="1543"/>
      <c r="AE56" s="1543"/>
    </row>
    <row r="57" spans="6:31" ht="16.5" customHeight="1">
      <c r="F57" s="1543"/>
      <c r="G57" s="1543"/>
      <c r="H57" s="1543"/>
      <c r="I57" s="1543"/>
      <c r="J57" s="1543"/>
      <c r="K57" s="1543"/>
      <c r="L57" s="1543"/>
      <c r="M57" s="1543"/>
      <c r="N57" s="1543"/>
      <c r="O57" s="1543"/>
      <c r="P57" s="1543"/>
      <c r="Q57" s="1543"/>
      <c r="R57" s="1543"/>
      <c r="S57" s="1543"/>
      <c r="T57" s="1543"/>
      <c r="U57" s="1543"/>
      <c r="V57" s="1543"/>
      <c r="W57" s="1543"/>
      <c r="X57" s="1543"/>
      <c r="Y57" s="1543"/>
      <c r="Z57" s="1543"/>
      <c r="AA57" s="1543"/>
      <c r="AB57" s="1543"/>
      <c r="AC57" s="1543"/>
      <c r="AD57" s="1543"/>
      <c r="AE57" s="1543"/>
    </row>
    <row r="58" spans="6:31" ht="16.5" customHeight="1">
      <c r="F58" s="1543"/>
      <c r="G58" s="1543"/>
      <c r="H58" s="1543"/>
      <c r="I58" s="1543"/>
      <c r="J58" s="1543"/>
      <c r="K58" s="1543"/>
      <c r="L58" s="1543"/>
      <c r="M58" s="1543"/>
      <c r="N58" s="1543"/>
      <c r="O58" s="1543"/>
      <c r="P58" s="1543"/>
      <c r="Q58" s="1543"/>
      <c r="R58" s="1543"/>
      <c r="S58" s="1543"/>
      <c r="T58" s="1543"/>
      <c r="U58" s="1543"/>
      <c r="V58" s="1543"/>
      <c r="W58" s="1543"/>
      <c r="X58" s="1543"/>
      <c r="Y58" s="1543"/>
      <c r="Z58" s="1543"/>
      <c r="AA58" s="1543"/>
      <c r="AB58" s="1543"/>
      <c r="AC58" s="1543"/>
      <c r="AD58" s="1543"/>
      <c r="AE58" s="1543"/>
    </row>
    <row r="59" spans="6:31" ht="16.5" customHeight="1">
      <c r="F59" s="1543"/>
      <c r="G59" s="1543"/>
      <c r="H59" s="1543"/>
      <c r="I59" s="1543"/>
      <c r="J59" s="1543"/>
      <c r="K59" s="1543"/>
      <c r="L59" s="1543"/>
      <c r="M59" s="1543"/>
      <c r="N59" s="1543"/>
      <c r="O59" s="1543"/>
      <c r="P59" s="1543"/>
      <c r="Q59" s="1543"/>
      <c r="R59" s="1543"/>
      <c r="S59" s="1543"/>
      <c r="T59" s="1543"/>
      <c r="U59" s="1543"/>
      <c r="V59" s="1543"/>
      <c r="W59" s="1543"/>
      <c r="X59" s="1543"/>
      <c r="Y59" s="1543"/>
      <c r="Z59" s="1543"/>
      <c r="AA59" s="1543"/>
      <c r="AB59" s="1543"/>
      <c r="AC59" s="1543"/>
      <c r="AD59" s="1543"/>
      <c r="AE59" s="1543"/>
    </row>
    <row r="60" spans="6:31" ht="16.5" customHeight="1">
      <c r="F60" s="1543"/>
      <c r="G60" s="1543"/>
      <c r="H60" s="1543"/>
      <c r="I60" s="1543"/>
      <c r="J60" s="1543"/>
      <c r="K60" s="1543"/>
      <c r="L60" s="1543"/>
      <c r="M60" s="1543"/>
      <c r="N60" s="1543"/>
      <c r="O60" s="1543"/>
      <c r="P60" s="1543"/>
      <c r="Q60" s="1543"/>
      <c r="R60" s="1543"/>
      <c r="S60" s="1543"/>
      <c r="T60" s="1543"/>
      <c r="U60" s="1543"/>
      <c r="V60" s="1543"/>
      <c r="W60" s="1543"/>
      <c r="X60" s="1543"/>
      <c r="Y60" s="1543"/>
      <c r="Z60" s="1543"/>
      <c r="AA60" s="1543"/>
      <c r="AB60" s="1543"/>
      <c r="AC60" s="1543"/>
      <c r="AD60" s="1543"/>
      <c r="AE60" s="1543"/>
    </row>
    <row r="61" spans="6:31" ht="16.5" customHeight="1">
      <c r="F61" s="1543"/>
      <c r="G61" s="1543"/>
      <c r="H61" s="1543"/>
      <c r="I61" s="1543"/>
      <c r="J61" s="1543"/>
      <c r="K61" s="1543"/>
      <c r="L61" s="1543"/>
      <c r="M61" s="1543"/>
      <c r="N61" s="1543"/>
      <c r="O61" s="1543"/>
      <c r="P61" s="1543"/>
      <c r="Q61" s="1543"/>
      <c r="R61" s="1543"/>
      <c r="S61" s="1543"/>
      <c r="T61" s="1543"/>
      <c r="U61" s="1543"/>
      <c r="V61" s="1543"/>
      <c r="W61" s="1543"/>
      <c r="X61" s="1543"/>
      <c r="Y61" s="1543"/>
      <c r="Z61" s="1543"/>
      <c r="AA61" s="1543"/>
      <c r="AB61" s="1543"/>
      <c r="AC61" s="1543"/>
      <c r="AD61" s="1543"/>
      <c r="AE61" s="1543"/>
    </row>
    <row r="62" spans="6:31" ht="16.5" customHeight="1">
      <c r="F62" s="1543"/>
      <c r="G62" s="1543"/>
      <c r="H62" s="1543"/>
      <c r="I62" s="1543"/>
      <c r="J62" s="1543"/>
      <c r="K62" s="1543"/>
      <c r="L62" s="1543"/>
      <c r="M62" s="1543"/>
      <c r="N62" s="1543"/>
      <c r="O62" s="1543"/>
      <c r="P62" s="1543"/>
      <c r="Q62" s="1543"/>
      <c r="R62" s="1543"/>
      <c r="S62" s="1543"/>
      <c r="T62" s="1543"/>
      <c r="U62" s="1543"/>
      <c r="V62" s="1543"/>
      <c r="W62" s="1543"/>
      <c r="X62" s="1543"/>
      <c r="Y62" s="1543"/>
      <c r="Z62" s="1543"/>
      <c r="AA62" s="1543"/>
      <c r="AB62" s="1543"/>
      <c r="AC62" s="1543"/>
      <c r="AD62" s="1543"/>
      <c r="AE62" s="1543"/>
    </row>
    <row r="63" spans="6:31" ht="16.5" customHeight="1">
      <c r="F63" s="1543"/>
      <c r="G63" s="1543"/>
      <c r="H63" s="1543"/>
      <c r="I63" s="1543"/>
      <c r="J63" s="1543"/>
      <c r="K63" s="1543"/>
      <c r="L63" s="1543"/>
      <c r="M63" s="1543"/>
      <c r="N63" s="1543"/>
      <c r="O63" s="1543"/>
      <c r="P63" s="1543"/>
      <c r="Q63" s="1543"/>
      <c r="R63" s="1543"/>
      <c r="S63" s="1543"/>
      <c r="T63" s="1543"/>
      <c r="U63" s="1543"/>
      <c r="V63" s="1543"/>
      <c r="W63" s="1543"/>
      <c r="X63" s="1543"/>
      <c r="Y63" s="1543"/>
      <c r="Z63" s="1543"/>
      <c r="AA63" s="1543"/>
      <c r="AB63" s="1543"/>
      <c r="AC63" s="1543"/>
      <c r="AD63" s="1543"/>
      <c r="AE63" s="1543"/>
    </row>
    <row r="64" spans="6:31" ht="16.5" customHeight="1">
      <c r="F64" s="1543"/>
      <c r="G64" s="1543"/>
      <c r="H64" s="1543"/>
      <c r="I64" s="1543"/>
      <c r="J64" s="1543"/>
      <c r="K64" s="1543"/>
      <c r="L64" s="1543"/>
      <c r="M64" s="1543"/>
      <c r="N64" s="1543"/>
      <c r="O64" s="1543"/>
      <c r="P64" s="1543"/>
      <c r="Q64" s="1543"/>
      <c r="R64" s="1543"/>
      <c r="S64" s="1543"/>
      <c r="T64" s="1543"/>
      <c r="U64" s="1543"/>
      <c r="V64" s="1543"/>
      <c r="W64" s="1543"/>
      <c r="X64" s="1543"/>
      <c r="Y64" s="1543"/>
      <c r="Z64" s="1543"/>
      <c r="AA64" s="1543"/>
      <c r="AB64" s="1543"/>
      <c r="AC64" s="1543"/>
      <c r="AD64" s="1543"/>
      <c r="AE64" s="1543"/>
    </row>
    <row r="65" spans="6:31" ht="16.5" customHeight="1">
      <c r="F65" s="1543"/>
      <c r="G65" s="1543"/>
      <c r="H65" s="1543"/>
      <c r="I65" s="1543"/>
      <c r="J65" s="1543"/>
      <c r="K65" s="1543"/>
      <c r="L65" s="1543"/>
      <c r="M65" s="1543"/>
      <c r="N65" s="1543"/>
      <c r="O65" s="1543"/>
      <c r="P65" s="1543"/>
      <c r="Q65" s="1543"/>
      <c r="R65" s="1543"/>
      <c r="S65" s="1543"/>
      <c r="T65" s="1543"/>
      <c r="U65" s="1543"/>
      <c r="V65" s="1543"/>
      <c r="W65" s="1543"/>
      <c r="X65" s="1543"/>
      <c r="Y65" s="1543"/>
      <c r="Z65" s="1543"/>
      <c r="AA65" s="1543"/>
      <c r="AB65" s="1543"/>
      <c r="AC65" s="1543"/>
      <c r="AD65" s="1543"/>
      <c r="AE65" s="1543"/>
    </row>
    <row r="66" spans="6:31" ht="16.5" customHeight="1">
      <c r="F66" s="1543"/>
      <c r="G66" s="1543"/>
      <c r="H66" s="1543"/>
      <c r="I66" s="1543"/>
      <c r="J66" s="1543"/>
      <c r="K66" s="1543"/>
      <c r="L66" s="1543"/>
      <c r="M66" s="1543"/>
      <c r="N66" s="1543"/>
      <c r="O66" s="1543"/>
      <c r="P66" s="1543"/>
      <c r="Q66" s="1543"/>
      <c r="R66" s="1543"/>
      <c r="S66" s="1543"/>
      <c r="T66" s="1543"/>
      <c r="U66" s="1543"/>
      <c r="V66" s="1543"/>
      <c r="W66" s="1543"/>
      <c r="X66" s="1543"/>
      <c r="Y66" s="1543"/>
      <c r="Z66" s="1543"/>
      <c r="AA66" s="1543"/>
      <c r="AB66" s="1543"/>
      <c r="AC66" s="1543"/>
      <c r="AD66" s="1543"/>
      <c r="AE66" s="1543"/>
    </row>
    <row r="67" spans="6:31" ht="16.5" customHeight="1">
      <c r="F67" s="1543"/>
      <c r="G67" s="1543"/>
      <c r="H67" s="1543"/>
      <c r="I67" s="1543"/>
      <c r="J67" s="1543"/>
      <c r="K67" s="1543"/>
      <c r="L67" s="1543"/>
      <c r="M67" s="1543"/>
      <c r="N67" s="1543"/>
      <c r="O67" s="1543"/>
      <c r="P67" s="1543"/>
      <c r="Q67" s="1543"/>
      <c r="R67" s="1543"/>
      <c r="S67" s="1543"/>
      <c r="T67" s="1543"/>
      <c r="U67" s="1543"/>
      <c r="V67" s="1543"/>
      <c r="W67" s="1543"/>
      <c r="X67" s="1543"/>
      <c r="Y67" s="1543"/>
      <c r="Z67" s="1543"/>
      <c r="AA67" s="1543"/>
      <c r="AB67" s="1543"/>
      <c r="AC67" s="1543"/>
      <c r="AD67" s="1543"/>
      <c r="AE67" s="1543"/>
    </row>
    <row r="68" spans="6:31" ht="16.5" customHeight="1">
      <c r="F68" s="1543"/>
      <c r="G68" s="1543"/>
      <c r="H68" s="1543"/>
      <c r="I68" s="1543"/>
      <c r="J68" s="1543"/>
      <c r="K68" s="1543"/>
      <c r="L68" s="1543"/>
      <c r="M68" s="1543"/>
      <c r="N68" s="1543"/>
      <c r="O68" s="1543"/>
      <c r="P68" s="1543"/>
      <c r="Q68" s="1543"/>
      <c r="R68" s="1543"/>
      <c r="S68" s="1543"/>
      <c r="T68" s="1543"/>
      <c r="U68" s="1543"/>
      <c r="V68" s="1543"/>
      <c r="W68" s="1543"/>
      <c r="X68" s="1543"/>
      <c r="Y68" s="1543"/>
      <c r="Z68" s="1543"/>
      <c r="AA68" s="1543"/>
      <c r="AB68" s="1543"/>
      <c r="AC68" s="1543"/>
      <c r="AD68" s="1543"/>
      <c r="AE68" s="1543"/>
    </row>
    <row r="69" spans="6:31" ht="16.5" customHeight="1">
      <c r="F69" s="1543"/>
      <c r="G69" s="1543"/>
      <c r="H69" s="1543"/>
      <c r="I69" s="1543"/>
      <c r="J69" s="1543"/>
      <c r="K69" s="1543"/>
      <c r="L69" s="1543"/>
      <c r="M69" s="1543"/>
      <c r="N69" s="1543"/>
      <c r="O69" s="1543"/>
      <c r="P69" s="1543"/>
      <c r="Q69" s="1543"/>
      <c r="R69" s="1543"/>
      <c r="S69" s="1543"/>
      <c r="T69" s="1543"/>
      <c r="U69" s="1543"/>
      <c r="V69" s="1543"/>
      <c r="W69" s="1543"/>
      <c r="X69" s="1543"/>
      <c r="Y69" s="1543"/>
      <c r="Z69" s="1543"/>
      <c r="AA69" s="1543"/>
      <c r="AB69" s="1543"/>
      <c r="AC69" s="1543"/>
      <c r="AD69" s="1543"/>
      <c r="AE69" s="1543"/>
    </row>
    <row r="70" spans="6:31" ht="16.5" customHeight="1">
      <c r="F70" s="1543"/>
      <c r="G70" s="1543"/>
      <c r="H70" s="1543"/>
      <c r="I70" s="1543"/>
      <c r="J70" s="1543"/>
      <c r="K70" s="1543"/>
      <c r="L70" s="1543"/>
      <c r="M70" s="1543"/>
      <c r="N70" s="1543"/>
      <c r="O70" s="1543"/>
      <c r="P70" s="1543"/>
      <c r="Q70" s="1543"/>
      <c r="R70" s="1543"/>
      <c r="S70" s="1543"/>
      <c r="T70" s="1543"/>
      <c r="U70" s="1543"/>
      <c r="V70" s="1543"/>
      <c r="W70" s="1543"/>
      <c r="X70" s="1543"/>
      <c r="Y70" s="1543"/>
      <c r="Z70" s="1543"/>
      <c r="AA70" s="1543"/>
      <c r="AB70" s="1543"/>
      <c r="AC70" s="1543"/>
      <c r="AD70" s="1543"/>
      <c r="AE70" s="1543"/>
    </row>
    <row r="71" spans="6:31" ht="16.5" customHeight="1">
      <c r="F71" s="1543"/>
      <c r="G71" s="1543"/>
      <c r="H71" s="1543"/>
      <c r="I71" s="1543"/>
      <c r="J71" s="1543"/>
      <c r="K71" s="1543"/>
      <c r="L71" s="1543"/>
      <c r="M71" s="1543"/>
      <c r="N71" s="1543"/>
      <c r="O71" s="1543"/>
      <c r="P71" s="1543"/>
      <c r="Q71" s="1543"/>
      <c r="R71" s="1543"/>
      <c r="S71" s="1543"/>
      <c r="T71" s="1543"/>
      <c r="U71" s="1543"/>
      <c r="V71" s="1543"/>
      <c r="W71" s="1543"/>
      <c r="X71" s="1543"/>
      <c r="Y71" s="1543"/>
      <c r="Z71" s="1543"/>
      <c r="AA71" s="1543"/>
      <c r="AB71" s="1543"/>
      <c r="AC71" s="1543"/>
      <c r="AD71" s="1543"/>
      <c r="AE71" s="1543"/>
    </row>
    <row r="72" spans="6:31" ht="16.5" customHeight="1">
      <c r="F72" s="1543"/>
      <c r="G72" s="1543"/>
      <c r="H72" s="1543"/>
      <c r="I72" s="1543"/>
      <c r="J72" s="1543"/>
      <c r="K72" s="1543"/>
      <c r="L72" s="1543"/>
      <c r="M72" s="1543"/>
      <c r="N72" s="1543"/>
      <c r="O72" s="1543"/>
      <c r="P72" s="1543"/>
      <c r="Q72" s="1543"/>
      <c r="R72" s="1543"/>
      <c r="S72" s="1543"/>
      <c r="T72" s="1543"/>
      <c r="U72" s="1543"/>
      <c r="V72" s="1543"/>
      <c r="W72" s="1543"/>
      <c r="X72" s="1543"/>
      <c r="Y72" s="1543"/>
      <c r="Z72" s="1543"/>
      <c r="AA72" s="1543"/>
      <c r="AB72" s="1543"/>
      <c r="AC72" s="1543"/>
      <c r="AD72" s="1543"/>
      <c r="AE72" s="1543"/>
    </row>
    <row r="73" spans="6:31" ht="16.5" customHeight="1">
      <c r="F73" s="1543"/>
      <c r="G73" s="1543"/>
      <c r="H73" s="1543"/>
      <c r="I73" s="1543"/>
      <c r="J73" s="1543"/>
      <c r="K73" s="1543"/>
      <c r="L73" s="1543"/>
      <c r="M73" s="1543"/>
      <c r="N73" s="1543"/>
      <c r="O73" s="1543"/>
      <c r="P73" s="1543"/>
      <c r="Q73" s="1543"/>
      <c r="R73" s="1543"/>
      <c r="S73" s="1543"/>
      <c r="T73" s="1543"/>
      <c r="U73" s="1543"/>
      <c r="V73" s="1543"/>
      <c r="W73" s="1543"/>
      <c r="X73" s="1543"/>
      <c r="Y73" s="1543"/>
      <c r="Z73" s="1543"/>
      <c r="AA73" s="1543"/>
      <c r="AB73" s="1543"/>
      <c r="AC73" s="1543"/>
      <c r="AD73" s="1543"/>
      <c r="AE73" s="1543"/>
    </row>
    <row r="74" spans="6:31" ht="16.5" customHeight="1">
      <c r="F74" s="1543"/>
      <c r="G74" s="1543"/>
      <c r="H74" s="1543"/>
      <c r="I74" s="1543"/>
      <c r="J74" s="1543"/>
      <c r="K74" s="1543"/>
      <c r="L74" s="1543"/>
      <c r="M74" s="1543"/>
      <c r="N74" s="1543"/>
      <c r="O74" s="1543"/>
      <c r="P74" s="1543"/>
      <c r="Q74" s="1543"/>
      <c r="R74" s="1543"/>
      <c r="S74" s="1543"/>
      <c r="T74" s="1543"/>
      <c r="U74" s="1543"/>
      <c r="V74" s="1543"/>
      <c r="W74" s="1543"/>
      <c r="X74" s="1543"/>
      <c r="Y74" s="1543"/>
      <c r="Z74" s="1543"/>
      <c r="AA74" s="1543"/>
      <c r="AB74" s="1543"/>
      <c r="AC74" s="1543"/>
      <c r="AD74" s="1543"/>
      <c r="AE74" s="1543"/>
    </row>
    <row r="75" spans="6:31" ht="16.5" customHeight="1">
      <c r="F75" s="1543"/>
      <c r="G75" s="1543"/>
      <c r="H75" s="1543"/>
      <c r="I75" s="1543"/>
      <c r="J75" s="1543"/>
      <c r="K75" s="1543"/>
      <c r="L75" s="1543"/>
      <c r="M75" s="1543"/>
      <c r="N75" s="1543"/>
      <c r="O75" s="1543"/>
      <c r="P75" s="1543"/>
      <c r="Q75" s="1543"/>
      <c r="R75" s="1543"/>
      <c r="S75" s="1543"/>
      <c r="T75" s="1543"/>
      <c r="U75" s="1543"/>
      <c r="V75" s="1543"/>
      <c r="W75" s="1543"/>
      <c r="X75" s="1543"/>
      <c r="Y75" s="1543"/>
      <c r="Z75" s="1543"/>
      <c r="AA75" s="1543"/>
      <c r="AB75" s="1543"/>
      <c r="AC75" s="1543"/>
      <c r="AD75" s="1543"/>
      <c r="AE75" s="1543"/>
    </row>
    <row r="76" spans="6:31" ht="16.5" customHeight="1">
      <c r="F76" s="1543"/>
      <c r="G76" s="1543"/>
      <c r="H76" s="1543"/>
      <c r="I76" s="1543"/>
      <c r="J76" s="1543"/>
      <c r="K76" s="1543"/>
      <c r="L76" s="1543"/>
      <c r="M76" s="1543"/>
      <c r="N76" s="1543"/>
      <c r="O76" s="1543"/>
      <c r="P76" s="1543"/>
      <c r="Q76" s="1543"/>
      <c r="R76" s="1543"/>
      <c r="S76" s="1543"/>
      <c r="T76" s="1543"/>
      <c r="U76" s="1543"/>
      <c r="V76" s="1543"/>
      <c r="W76" s="1543"/>
      <c r="X76" s="1543"/>
      <c r="Y76" s="1543"/>
      <c r="Z76" s="1543"/>
      <c r="AA76" s="1543"/>
      <c r="AB76" s="1543"/>
      <c r="AC76" s="1543"/>
      <c r="AD76" s="1543"/>
      <c r="AE76" s="1543"/>
    </row>
    <row r="77" spans="6:31" ht="16.5" customHeight="1">
      <c r="F77" s="1543"/>
      <c r="G77" s="1543"/>
      <c r="H77" s="1543"/>
      <c r="I77" s="1543"/>
      <c r="J77" s="1543"/>
      <c r="K77" s="1543"/>
      <c r="L77" s="1543"/>
      <c r="M77" s="1543"/>
      <c r="N77" s="1543"/>
      <c r="O77" s="1543"/>
      <c r="P77" s="1543"/>
      <c r="Q77" s="1543"/>
      <c r="R77" s="1543"/>
      <c r="S77" s="1543"/>
      <c r="T77" s="1543"/>
      <c r="U77" s="1543"/>
      <c r="V77" s="1543"/>
      <c r="W77" s="1543"/>
      <c r="X77" s="1543"/>
      <c r="Y77" s="1543"/>
      <c r="Z77" s="1543"/>
      <c r="AA77" s="1543"/>
      <c r="AB77" s="1543"/>
      <c r="AC77" s="1543"/>
      <c r="AD77" s="1543"/>
      <c r="AE77" s="1543"/>
    </row>
    <row r="78" spans="6:31" ht="16.5" customHeight="1">
      <c r="F78" s="1543"/>
      <c r="G78" s="1543"/>
      <c r="H78" s="1543"/>
      <c r="I78" s="1543"/>
      <c r="J78" s="1543"/>
      <c r="K78" s="1543"/>
      <c r="L78" s="1543"/>
      <c r="M78" s="1543"/>
      <c r="N78" s="1543"/>
      <c r="O78" s="1543"/>
      <c r="P78" s="1543"/>
      <c r="Q78" s="1543"/>
      <c r="R78" s="1543"/>
      <c r="S78" s="1543"/>
      <c r="T78" s="1543"/>
      <c r="U78" s="1543"/>
      <c r="V78" s="1543"/>
      <c r="W78" s="1543"/>
      <c r="X78" s="1543"/>
      <c r="Y78" s="1543"/>
      <c r="Z78" s="1543"/>
      <c r="AA78" s="1543"/>
      <c r="AB78" s="1543"/>
      <c r="AC78" s="1543"/>
      <c r="AD78" s="1543"/>
      <c r="AE78" s="1543"/>
    </row>
    <row r="79" spans="6:31" ht="16.5" customHeight="1">
      <c r="F79" s="1543"/>
      <c r="G79" s="1543"/>
      <c r="H79" s="1543"/>
      <c r="I79" s="1543"/>
      <c r="J79" s="1543"/>
      <c r="K79" s="1543"/>
      <c r="L79" s="1543"/>
      <c r="M79" s="1543"/>
      <c r="N79" s="1543"/>
      <c r="O79" s="1543"/>
      <c r="P79" s="1543"/>
      <c r="Q79" s="1543"/>
      <c r="R79" s="1543"/>
      <c r="S79" s="1543"/>
      <c r="T79" s="1543"/>
      <c r="U79" s="1543"/>
      <c r="V79" s="1543"/>
      <c r="W79" s="1543"/>
      <c r="X79" s="1543"/>
      <c r="Y79" s="1543"/>
      <c r="Z79" s="1543"/>
      <c r="AA79" s="1543"/>
      <c r="AB79" s="1543"/>
      <c r="AC79" s="1543"/>
      <c r="AD79" s="1543"/>
      <c r="AE79" s="1543"/>
    </row>
    <row r="80" spans="6:31" ht="16.5" customHeight="1">
      <c r="F80" s="1543"/>
      <c r="G80" s="1543"/>
      <c r="H80" s="1543"/>
      <c r="I80" s="1543"/>
      <c r="J80" s="1543"/>
      <c r="K80" s="1543"/>
      <c r="L80" s="1543"/>
      <c r="M80" s="1543"/>
      <c r="N80" s="1543"/>
      <c r="O80" s="1543"/>
      <c r="P80" s="1543"/>
      <c r="Q80" s="1543"/>
      <c r="R80" s="1543"/>
      <c r="S80" s="1543"/>
      <c r="T80" s="1543"/>
      <c r="U80" s="1543"/>
      <c r="V80" s="1543"/>
      <c r="W80" s="1543"/>
      <c r="X80" s="1543"/>
      <c r="Y80" s="1543"/>
      <c r="Z80" s="1543"/>
      <c r="AA80" s="1543"/>
      <c r="AB80" s="1543"/>
      <c r="AC80" s="1543"/>
      <c r="AD80" s="1543"/>
      <c r="AE80" s="1543"/>
    </row>
    <row r="81" spans="6:31" ht="16.5" customHeight="1">
      <c r="F81" s="1543"/>
      <c r="G81" s="1543"/>
      <c r="H81" s="1543"/>
      <c r="I81" s="1543"/>
      <c r="J81" s="1543"/>
      <c r="K81" s="1543"/>
      <c r="L81" s="1543"/>
      <c r="M81" s="1543"/>
      <c r="N81" s="1543"/>
      <c r="O81" s="1543"/>
      <c r="P81" s="1543"/>
      <c r="Q81" s="1543"/>
      <c r="R81" s="1543"/>
      <c r="S81" s="1543"/>
      <c r="T81" s="1543"/>
      <c r="U81" s="1543"/>
      <c r="V81" s="1543"/>
      <c r="W81" s="1543"/>
      <c r="X81" s="1543"/>
      <c r="Y81" s="1543"/>
      <c r="Z81" s="1543"/>
      <c r="AA81" s="1543"/>
      <c r="AB81" s="1543"/>
      <c r="AC81" s="1543"/>
      <c r="AD81" s="1543"/>
      <c r="AE81" s="1543"/>
    </row>
    <row r="82" spans="6:31" ht="16.5" customHeight="1">
      <c r="F82" s="1543"/>
      <c r="G82" s="1543"/>
      <c r="H82" s="1543"/>
      <c r="I82" s="1543"/>
      <c r="J82" s="1543"/>
      <c r="K82" s="1543"/>
      <c r="L82" s="1543"/>
      <c r="M82" s="1543"/>
      <c r="N82" s="1543"/>
      <c r="O82" s="1543"/>
      <c r="P82" s="1543"/>
      <c r="Q82" s="1543"/>
      <c r="R82" s="1543"/>
      <c r="S82" s="1543"/>
      <c r="T82" s="1543"/>
      <c r="U82" s="1543"/>
      <c r="V82" s="1543"/>
      <c r="W82" s="1543"/>
      <c r="X82" s="1543"/>
      <c r="Y82" s="1543"/>
      <c r="Z82" s="1543"/>
      <c r="AA82" s="1543"/>
      <c r="AB82" s="1543"/>
      <c r="AC82" s="1543"/>
      <c r="AD82" s="1543"/>
      <c r="AE82" s="1543"/>
    </row>
    <row r="83" spans="6:31" ht="16.5" customHeight="1">
      <c r="F83" s="1543"/>
      <c r="G83" s="1543"/>
      <c r="H83" s="1543"/>
      <c r="I83" s="1543"/>
      <c r="J83" s="1543"/>
      <c r="K83" s="1543"/>
      <c r="L83" s="1543"/>
      <c r="M83" s="1543"/>
      <c r="N83" s="1543"/>
      <c r="O83" s="1543"/>
      <c r="P83" s="1543"/>
      <c r="Q83" s="1543"/>
      <c r="R83" s="1543"/>
      <c r="S83" s="1543"/>
      <c r="T83" s="1543"/>
      <c r="U83" s="1543"/>
      <c r="V83" s="1543"/>
      <c r="W83" s="1543"/>
      <c r="X83" s="1543"/>
      <c r="Y83" s="1543"/>
      <c r="Z83" s="1543"/>
      <c r="AA83" s="1543"/>
      <c r="AB83" s="1543"/>
      <c r="AC83" s="1543"/>
      <c r="AD83" s="1543"/>
      <c r="AE83" s="1543"/>
    </row>
    <row r="84" spans="6:31" ht="16.5" customHeight="1">
      <c r="F84" s="1543"/>
      <c r="G84" s="1543"/>
      <c r="H84" s="1543"/>
      <c r="I84" s="1543"/>
      <c r="J84" s="1543"/>
      <c r="K84" s="1543"/>
      <c r="L84" s="1543"/>
      <c r="M84" s="1543"/>
      <c r="N84" s="1543"/>
      <c r="O84" s="1543"/>
      <c r="P84" s="1543"/>
      <c r="Q84" s="1543"/>
      <c r="R84" s="1543"/>
      <c r="S84" s="1543"/>
      <c r="T84" s="1543"/>
      <c r="U84" s="1543"/>
      <c r="V84" s="1543"/>
      <c r="W84" s="1543"/>
      <c r="X84" s="1543"/>
      <c r="Y84" s="1543"/>
      <c r="Z84" s="1543"/>
      <c r="AA84" s="1543"/>
      <c r="AB84" s="1543"/>
      <c r="AC84" s="1543"/>
      <c r="AD84" s="1543"/>
      <c r="AE84" s="1543"/>
    </row>
    <row r="85" spans="6:31" ht="16.5" customHeight="1">
      <c r="F85" s="1543"/>
      <c r="G85" s="1543"/>
      <c r="H85" s="1543"/>
      <c r="I85" s="1543"/>
      <c r="J85" s="1543"/>
      <c r="K85" s="1543"/>
      <c r="L85" s="1543"/>
      <c r="M85" s="1543"/>
      <c r="N85" s="1543"/>
      <c r="O85" s="1543"/>
      <c r="P85" s="1543"/>
      <c r="Q85" s="1543"/>
      <c r="R85" s="1543"/>
      <c r="S85" s="1543"/>
      <c r="T85" s="1543"/>
      <c r="U85" s="1543"/>
      <c r="V85" s="1543"/>
      <c r="W85" s="1543"/>
      <c r="X85" s="1543"/>
      <c r="Y85" s="1543"/>
      <c r="Z85" s="1543"/>
      <c r="AA85" s="1543"/>
      <c r="AB85" s="1543"/>
      <c r="AC85" s="1543"/>
      <c r="AD85" s="1543"/>
      <c r="AE85" s="1543"/>
    </row>
    <row r="86" spans="6:31" ht="16.5" customHeight="1">
      <c r="F86" s="1543"/>
      <c r="G86" s="1543"/>
      <c r="H86" s="1543"/>
      <c r="I86" s="1543"/>
      <c r="J86" s="1543"/>
      <c r="K86" s="1543"/>
      <c r="L86" s="1543"/>
      <c r="M86" s="1543"/>
      <c r="N86" s="1543"/>
      <c r="O86" s="1543"/>
      <c r="P86" s="1543"/>
      <c r="Q86" s="1543"/>
      <c r="R86" s="1543"/>
      <c r="S86" s="1543"/>
      <c r="T86" s="1543"/>
      <c r="U86" s="1543"/>
      <c r="V86" s="1543"/>
      <c r="W86" s="1543"/>
      <c r="X86" s="1543"/>
      <c r="Y86" s="1543"/>
      <c r="Z86" s="1543"/>
      <c r="AA86" s="1543"/>
      <c r="AB86" s="1543"/>
      <c r="AC86" s="1543"/>
      <c r="AD86" s="1543"/>
      <c r="AE86" s="1543"/>
    </row>
    <row r="87" spans="6:31" ht="16.5" customHeight="1">
      <c r="F87" s="1543"/>
      <c r="G87" s="1543"/>
      <c r="H87" s="1543"/>
      <c r="I87" s="1543"/>
      <c r="J87" s="1543"/>
      <c r="K87" s="1543"/>
      <c r="L87" s="1543"/>
      <c r="M87" s="1543"/>
      <c r="N87" s="1543"/>
      <c r="O87" s="1543"/>
      <c r="P87" s="1543"/>
      <c r="Q87" s="1543"/>
      <c r="R87" s="1543"/>
      <c r="S87" s="1543"/>
      <c r="T87" s="1543"/>
      <c r="U87" s="1543"/>
      <c r="V87" s="1543"/>
      <c r="W87" s="1543"/>
      <c r="X87" s="1543"/>
      <c r="Y87" s="1543"/>
      <c r="Z87" s="1543"/>
      <c r="AA87" s="1543"/>
      <c r="AB87" s="1543"/>
      <c r="AC87" s="1543"/>
      <c r="AD87" s="1543"/>
      <c r="AE87" s="1543"/>
    </row>
    <row r="88" spans="6:31" ht="16.5" customHeight="1">
      <c r="F88" s="1543"/>
      <c r="G88" s="1543"/>
      <c r="H88" s="1543"/>
      <c r="I88" s="1543"/>
      <c r="J88" s="1543"/>
      <c r="K88" s="1543"/>
      <c r="L88" s="1543"/>
      <c r="M88" s="1543"/>
      <c r="N88" s="1543"/>
      <c r="O88" s="1543"/>
      <c r="P88" s="1543"/>
      <c r="Q88" s="1543"/>
      <c r="R88" s="1543"/>
      <c r="S88" s="1543"/>
      <c r="T88" s="1543"/>
      <c r="U88" s="1543"/>
      <c r="V88" s="1543"/>
      <c r="W88" s="1543"/>
      <c r="X88" s="1543"/>
      <c r="Y88" s="1543"/>
      <c r="Z88" s="1543"/>
      <c r="AA88" s="1543"/>
      <c r="AB88" s="1543"/>
      <c r="AC88" s="1543"/>
      <c r="AD88" s="1543"/>
      <c r="AE88" s="1543"/>
    </row>
    <row r="89" spans="6:31" ht="16.5" customHeight="1">
      <c r="F89" s="1543"/>
      <c r="G89" s="1543"/>
      <c r="H89" s="1543"/>
      <c r="I89" s="1543"/>
      <c r="J89" s="1543"/>
      <c r="K89" s="1543"/>
      <c r="L89" s="1543"/>
      <c r="M89" s="1543"/>
      <c r="N89" s="1543"/>
      <c r="O89" s="1543"/>
      <c r="P89" s="1543"/>
      <c r="Q89" s="1543"/>
      <c r="R89" s="1543"/>
      <c r="S89" s="1543"/>
      <c r="T89" s="1543"/>
      <c r="U89" s="1543"/>
      <c r="V89" s="1543"/>
      <c r="W89" s="1543"/>
      <c r="X89" s="1543"/>
      <c r="Y89" s="1543"/>
      <c r="Z89" s="1543"/>
      <c r="AA89" s="1543"/>
      <c r="AB89" s="1543"/>
      <c r="AC89" s="1543"/>
      <c r="AD89" s="1543"/>
      <c r="AE89" s="1543"/>
    </row>
    <row r="90" spans="6:31" ht="16.5" customHeight="1">
      <c r="F90" s="1543"/>
      <c r="G90" s="1543"/>
      <c r="H90" s="1543"/>
      <c r="I90" s="1543"/>
      <c r="J90" s="1543"/>
      <c r="K90" s="1543"/>
      <c r="L90" s="1543"/>
      <c r="M90" s="1543"/>
      <c r="N90" s="1543"/>
      <c r="O90" s="1543"/>
      <c r="P90" s="1543"/>
      <c r="Q90" s="1543"/>
      <c r="R90" s="1543"/>
      <c r="S90" s="1543"/>
      <c r="T90" s="1543"/>
      <c r="U90" s="1543"/>
      <c r="V90" s="1543"/>
      <c r="W90" s="1543"/>
      <c r="X90" s="1543"/>
      <c r="Y90" s="1543"/>
      <c r="Z90" s="1543"/>
      <c r="AA90" s="1543"/>
      <c r="AB90" s="1543"/>
      <c r="AC90" s="1543"/>
      <c r="AD90" s="1543"/>
      <c r="AE90" s="1543"/>
    </row>
    <row r="91" spans="6:31" ht="16.5" customHeight="1">
      <c r="F91" s="1543"/>
      <c r="G91" s="1543"/>
      <c r="H91" s="1543"/>
      <c r="I91" s="1543"/>
      <c r="J91" s="1543"/>
      <c r="K91" s="1543"/>
      <c r="L91" s="1543"/>
      <c r="M91" s="1543"/>
      <c r="N91" s="1543"/>
      <c r="O91" s="1543"/>
      <c r="P91" s="1543"/>
      <c r="Q91" s="1543"/>
      <c r="R91" s="1543"/>
      <c r="S91" s="1543"/>
      <c r="T91" s="1543"/>
      <c r="U91" s="1543"/>
      <c r="V91" s="1543"/>
      <c r="W91" s="1543"/>
      <c r="X91" s="1543"/>
      <c r="Y91" s="1543"/>
      <c r="Z91" s="1543"/>
      <c r="AA91" s="1543"/>
      <c r="AB91" s="1543"/>
      <c r="AC91" s="1543"/>
      <c r="AD91" s="1543"/>
      <c r="AE91" s="1543"/>
    </row>
    <row r="92" spans="6:31" ht="16.5" customHeight="1">
      <c r="F92" s="1543"/>
      <c r="G92" s="1543"/>
      <c r="H92" s="1543"/>
      <c r="I92" s="1543"/>
      <c r="J92" s="1543"/>
      <c r="K92" s="1543"/>
      <c r="L92" s="1543"/>
      <c r="M92" s="1543"/>
      <c r="N92" s="1543"/>
      <c r="O92" s="1543"/>
      <c r="P92" s="1543"/>
      <c r="Q92" s="1543"/>
      <c r="R92" s="1543"/>
      <c r="S92" s="1543"/>
      <c r="T92" s="1543"/>
      <c r="U92" s="1543"/>
      <c r="V92" s="1543"/>
      <c r="W92" s="1543"/>
      <c r="X92" s="1543"/>
      <c r="Y92" s="1543"/>
      <c r="Z92" s="1543"/>
      <c r="AA92" s="1543"/>
      <c r="AB92" s="1543"/>
      <c r="AC92" s="1543"/>
      <c r="AD92" s="1543"/>
      <c r="AE92" s="1543"/>
    </row>
    <row r="93" spans="6:31" ht="16.5" customHeight="1">
      <c r="F93" s="1543"/>
      <c r="G93" s="1543"/>
      <c r="H93" s="1543"/>
      <c r="I93" s="1543"/>
      <c r="J93" s="1543"/>
      <c r="K93" s="1543"/>
      <c r="L93" s="1543"/>
      <c r="M93" s="1543"/>
      <c r="N93" s="1543"/>
      <c r="O93" s="1543"/>
      <c r="P93" s="1543"/>
      <c r="Q93" s="1543"/>
      <c r="R93" s="1543"/>
      <c r="S93" s="1543"/>
      <c r="T93" s="1543"/>
      <c r="U93" s="1543"/>
      <c r="V93" s="1543"/>
      <c r="W93" s="1543"/>
      <c r="X93" s="1543"/>
      <c r="Y93" s="1543"/>
      <c r="Z93" s="1543"/>
      <c r="AA93" s="1543"/>
      <c r="AB93" s="1543"/>
      <c r="AC93" s="1543"/>
      <c r="AD93" s="1543"/>
      <c r="AE93" s="1543"/>
    </row>
    <row r="94" spans="6:31" ht="16.5" customHeight="1">
      <c r="F94" s="1543"/>
      <c r="G94" s="1543"/>
      <c r="H94" s="1543"/>
      <c r="I94" s="1543"/>
      <c r="J94" s="1543"/>
      <c r="K94" s="1543"/>
      <c r="L94" s="1543"/>
      <c r="M94" s="1543"/>
      <c r="N94" s="1543"/>
      <c r="O94" s="1543"/>
      <c r="P94" s="1543"/>
      <c r="Q94" s="1543"/>
      <c r="R94" s="1543"/>
      <c r="S94" s="1543"/>
      <c r="T94" s="1543"/>
      <c r="U94" s="1543"/>
      <c r="V94" s="1543"/>
      <c r="W94" s="1543"/>
      <c r="X94" s="1543"/>
      <c r="Y94" s="1543"/>
      <c r="Z94" s="1543"/>
      <c r="AA94" s="1543"/>
      <c r="AB94" s="1543"/>
      <c r="AC94" s="1543"/>
      <c r="AD94" s="1543"/>
      <c r="AE94" s="1543"/>
    </row>
    <row r="95" spans="6:31" ht="16.5" customHeight="1">
      <c r="F95" s="1543"/>
      <c r="G95" s="1543"/>
      <c r="H95" s="1543"/>
      <c r="I95" s="1543"/>
      <c r="J95" s="1543"/>
      <c r="K95" s="1543"/>
      <c r="L95" s="1543"/>
      <c r="M95" s="1543"/>
      <c r="N95" s="1543"/>
      <c r="O95" s="1543"/>
      <c r="P95" s="1543"/>
      <c r="Q95" s="1543"/>
      <c r="R95" s="1543"/>
      <c r="S95" s="1543"/>
      <c r="T95" s="1543"/>
      <c r="U95" s="1543"/>
      <c r="V95" s="1543"/>
      <c r="W95" s="1543"/>
      <c r="X95" s="1543"/>
      <c r="Y95" s="1543"/>
      <c r="Z95" s="1543"/>
      <c r="AA95" s="1543"/>
      <c r="AB95" s="1543"/>
      <c r="AC95" s="1543"/>
      <c r="AD95" s="1543"/>
      <c r="AE95" s="1543"/>
    </row>
    <row r="96" spans="6:31" ht="16.5" customHeight="1">
      <c r="F96" s="1543"/>
      <c r="G96" s="1543"/>
      <c r="H96" s="1543"/>
      <c r="I96" s="1543"/>
      <c r="J96" s="1543"/>
      <c r="K96" s="1543"/>
      <c r="L96" s="1543"/>
      <c r="M96" s="1543"/>
      <c r="N96" s="1543"/>
      <c r="O96" s="1543"/>
      <c r="P96" s="1543"/>
      <c r="Q96" s="1543"/>
      <c r="R96" s="1543"/>
      <c r="S96" s="1543"/>
      <c r="T96" s="1543"/>
      <c r="U96" s="1543"/>
      <c r="V96" s="1543"/>
      <c r="W96" s="1543"/>
      <c r="X96" s="1543"/>
      <c r="Y96" s="1543"/>
      <c r="Z96" s="1543"/>
      <c r="AA96" s="1543"/>
      <c r="AB96" s="1543"/>
      <c r="AC96" s="1543"/>
      <c r="AD96" s="1543"/>
      <c r="AE96" s="1543"/>
    </row>
    <row r="97" spans="6:31" ht="16.5" customHeight="1">
      <c r="F97" s="1543"/>
      <c r="G97" s="1543"/>
      <c r="H97" s="1543"/>
      <c r="I97" s="1543"/>
      <c r="J97" s="1543"/>
      <c r="K97" s="1543"/>
      <c r="L97" s="1543"/>
      <c r="M97" s="1543"/>
      <c r="N97" s="1543"/>
      <c r="O97" s="1543"/>
      <c r="P97" s="1543"/>
      <c r="Q97" s="1543"/>
      <c r="R97" s="1543"/>
      <c r="S97" s="1543"/>
      <c r="T97" s="1543"/>
      <c r="U97" s="1543"/>
      <c r="V97" s="1543"/>
      <c r="W97" s="1543"/>
      <c r="X97" s="1543"/>
      <c r="Y97" s="1543"/>
      <c r="Z97" s="1543"/>
      <c r="AA97" s="1543"/>
      <c r="AB97" s="1543"/>
      <c r="AC97" s="1543"/>
      <c r="AD97" s="1543"/>
      <c r="AE97" s="1543"/>
    </row>
    <row r="98" spans="6:31" ht="16.5" customHeight="1">
      <c r="F98" s="1543"/>
      <c r="G98" s="1543"/>
      <c r="H98" s="1543"/>
      <c r="I98" s="1543"/>
      <c r="J98" s="1543"/>
      <c r="K98" s="1543"/>
      <c r="L98" s="1543"/>
      <c r="M98" s="1543"/>
      <c r="N98" s="1543"/>
      <c r="O98" s="1543"/>
      <c r="P98" s="1543"/>
      <c r="Q98" s="1543"/>
      <c r="R98" s="1543"/>
      <c r="S98" s="1543"/>
      <c r="T98" s="1543"/>
      <c r="U98" s="1543"/>
      <c r="V98" s="1543"/>
      <c r="W98" s="1543"/>
      <c r="X98" s="1543"/>
      <c r="Y98" s="1543"/>
      <c r="Z98" s="1543"/>
      <c r="AA98" s="1543"/>
      <c r="AB98" s="1543"/>
      <c r="AC98" s="1543"/>
      <c r="AD98" s="1543"/>
      <c r="AE98" s="1543"/>
    </row>
    <row r="99" spans="6:31" ht="16.5" customHeight="1">
      <c r="F99" s="1543"/>
      <c r="G99" s="1543"/>
      <c r="H99" s="1543"/>
      <c r="I99" s="1543"/>
      <c r="J99" s="1543"/>
      <c r="K99" s="1543"/>
      <c r="L99" s="1543"/>
      <c r="M99" s="1543"/>
      <c r="N99" s="1543"/>
      <c r="O99" s="1543"/>
      <c r="P99" s="1543"/>
      <c r="Q99" s="1543"/>
      <c r="R99" s="1543"/>
      <c r="S99" s="1543"/>
      <c r="T99" s="1543"/>
      <c r="U99" s="1543"/>
      <c r="V99" s="1543"/>
      <c r="W99" s="1543"/>
      <c r="X99" s="1543"/>
      <c r="Y99" s="1543"/>
      <c r="Z99" s="1543"/>
      <c r="AA99" s="1543"/>
      <c r="AB99" s="1543"/>
      <c r="AC99" s="1543"/>
      <c r="AD99" s="1543"/>
      <c r="AE99" s="1543"/>
    </row>
    <row r="100" spans="6:31" ht="16.5" customHeight="1">
      <c r="F100" s="1543"/>
      <c r="G100" s="1543"/>
      <c r="H100" s="1543"/>
      <c r="I100" s="1543"/>
      <c r="J100" s="1543"/>
      <c r="K100" s="1543"/>
      <c r="L100" s="1543"/>
      <c r="M100" s="1543"/>
      <c r="N100" s="1543"/>
      <c r="O100" s="1543"/>
      <c r="P100" s="1543"/>
      <c r="Q100" s="1543"/>
      <c r="R100" s="1543"/>
      <c r="S100" s="1543"/>
      <c r="T100" s="1543"/>
      <c r="U100" s="1543"/>
      <c r="V100" s="1543"/>
      <c r="W100" s="1543"/>
      <c r="X100" s="1543"/>
      <c r="Y100" s="1543"/>
      <c r="Z100" s="1543"/>
      <c r="AA100" s="1543"/>
      <c r="AB100" s="1543"/>
      <c r="AC100" s="1543"/>
      <c r="AD100" s="1543"/>
      <c r="AE100" s="1543"/>
    </row>
    <row r="101" spans="6:31" ht="16.5" customHeight="1">
      <c r="F101" s="1543"/>
      <c r="G101" s="1543"/>
      <c r="H101" s="1543"/>
      <c r="I101" s="1543"/>
      <c r="J101" s="1543"/>
      <c r="K101" s="1543"/>
      <c r="L101" s="1543"/>
      <c r="M101" s="1543"/>
      <c r="N101" s="1543"/>
      <c r="O101" s="1543"/>
      <c r="P101" s="1543"/>
      <c r="Q101" s="1543"/>
      <c r="R101" s="1543"/>
      <c r="S101" s="1543"/>
      <c r="T101" s="1543"/>
      <c r="U101" s="1543"/>
      <c r="V101" s="1543"/>
      <c r="W101" s="1543"/>
      <c r="X101" s="1543"/>
      <c r="Y101" s="1543"/>
      <c r="Z101" s="1543"/>
      <c r="AA101" s="1543"/>
      <c r="AB101" s="1543"/>
      <c r="AC101" s="1543"/>
      <c r="AD101" s="1543"/>
      <c r="AE101" s="1543"/>
    </row>
    <row r="102" spans="6:31" ht="16.5" customHeight="1">
      <c r="F102" s="1543"/>
      <c r="G102" s="1543"/>
      <c r="H102" s="1543"/>
      <c r="I102" s="1543"/>
      <c r="J102" s="1543"/>
      <c r="K102" s="1543"/>
      <c r="L102" s="1543"/>
      <c r="M102" s="1543"/>
      <c r="N102" s="1543"/>
      <c r="O102" s="1543"/>
      <c r="P102" s="1543"/>
      <c r="Q102" s="1543"/>
      <c r="R102" s="1543"/>
      <c r="S102" s="1543"/>
      <c r="T102" s="1543"/>
      <c r="U102" s="1543"/>
      <c r="V102" s="1543"/>
      <c r="W102" s="1543"/>
      <c r="X102" s="1543"/>
      <c r="Y102" s="1543"/>
      <c r="Z102" s="1543"/>
      <c r="AA102" s="1543"/>
      <c r="AB102" s="1543"/>
      <c r="AC102" s="1543"/>
      <c r="AD102" s="1543"/>
      <c r="AE102" s="1543"/>
    </row>
    <row r="103" spans="6:31" ht="16.5" customHeight="1">
      <c r="F103" s="1543"/>
      <c r="G103" s="1543"/>
      <c r="H103" s="1543"/>
      <c r="I103" s="1543"/>
      <c r="J103" s="1543"/>
      <c r="K103" s="1543"/>
      <c r="L103" s="1543"/>
      <c r="M103" s="1543"/>
      <c r="N103" s="1543"/>
      <c r="O103" s="1543"/>
      <c r="P103" s="1543"/>
      <c r="Q103" s="1543"/>
      <c r="R103" s="1543"/>
      <c r="S103" s="1543"/>
      <c r="T103" s="1543"/>
      <c r="U103" s="1543"/>
      <c r="V103" s="1543"/>
      <c r="W103" s="1543"/>
      <c r="X103" s="1543"/>
      <c r="Y103" s="1543"/>
      <c r="Z103" s="1543"/>
      <c r="AA103" s="1543"/>
      <c r="AB103" s="1543"/>
      <c r="AC103" s="1543"/>
      <c r="AD103" s="1543"/>
      <c r="AE103" s="1543"/>
    </row>
    <row r="104" spans="6:31" ht="16.5" customHeight="1">
      <c r="F104" s="1543"/>
      <c r="G104" s="1543"/>
      <c r="H104" s="1543"/>
      <c r="I104" s="1543"/>
      <c r="J104" s="1543"/>
      <c r="K104" s="1543"/>
      <c r="L104" s="1543"/>
      <c r="M104" s="1543"/>
      <c r="N104" s="1543"/>
      <c r="O104" s="1543"/>
      <c r="P104" s="1543"/>
      <c r="Q104" s="1543"/>
      <c r="R104" s="1543"/>
      <c r="S104" s="1543"/>
      <c r="T104" s="1543"/>
      <c r="U104" s="1543"/>
      <c r="V104" s="1543"/>
      <c r="W104" s="1543"/>
      <c r="X104" s="1543"/>
      <c r="Y104" s="1543"/>
      <c r="Z104" s="1543"/>
      <c r="AA104" s="1543"/>
      <c r="AB104" s="1543"/>
      <c r="AC104" s="1543"/>
      <c r="AD104" s="1543"/>
      <c r="AE104" s="1543"/>
    </row>
    <row r="105" spans="6:31" ht="16.5" customHeight="1">
      <c r="F105" s="1543"/>
      <c r="G105" s="1543"/>
      <c r="H105" s="1543"/>
      <c r="I105" s="1543"/>
      <c r="J105" s="1543"/>
      <c r="K105" s="1543"/>
      <c r="L105" s="1543"/>
      <c r="M105" s="1543"/>
      <c r="N105" s="1543"/>
      <c r="O105" s="1543"/>
      <c r="P105" s="1543"/>
      <c r="Q105" s="1543"/>
      <c r="R105" s="1543"/>
      <c r="S105" s="1543"/>
      <c r="T105" s="1543"/>
      <c r="U105" s="1543"/>
      <c r="V105" s="1543"/>
      <c r="W105" s="1543"/>
      <c r="X105" s="1543"/>
      <c r="Y105" s="1543"/>
      <c r="Z105" s="1543"/>
      <c r="AA105" s="1543"/>
      <c r="AB105" s="1543"/>
      <c r="AC105" s="1543"/>
      <c r="AD105" s="1543"/>
      <c r="AE105" s="1543"/>
    </row>
    <row r="106" spans="6:31" ht="16.5" customHeight="1">
      <c r="F106" s="1543"/>
      <c r="G106" s="1543"/>
      <c r="H106" s="1543"/>
      <c r="I106" s="1543"/>
      <c r="J106" s="1543"/>
      <c r="K106" s="1543"/>
      <c r="L106" s="1543"/>
      <c r="M106" s="1543"/>
      <c r="N106" s="1543"/>
      <c r="O106" s="1543"/>
      <c r="P106" s="1543"/>
      <c r="Q106" s="1543"/>
      <c r="R106" s="1543"/>
      <c r="S106" s="1543"/>
      <c r="T106" s="1543"/>
      <c r="U106" s="1543"/>
      <c r="V106" s="1543"/>
      <c r="W106" s="1543"/>
      <c r="X106" s="1543"/>
      <c r="Y106" s="1543"/>
      <c r="Z106" s="1543"/>
      <c r="AA106" s="1543"/>
      <c r="AB106" s="1543"/>
      <c r="AC106" s="1543"/>
      <c r="AD106" s="1543"/>
      <c r="AE106" s="1543"/>
    </row>
    <row r="107" spans="6:31" ht="16.5" customHeight="1">
      <c r="F107" s="1543"/>
      <c r="G107" s="1543"/>
      <c r="H107" s="1543"/>
      <c r="I107" s="1543"/>
      <c r="J107" s="1543"/>
      <c r="K107" s="1543"/>
      <c r="L107" s="1543"/>
      <c r="M107" s="1543"/>
      <c r="N107" s="1543"/>
      <c r="O107" s="1543"/>
      <c r="P107" s="1543"/>
      <c r="Q107" s="1543"/>
      <c r="R107" s="1543"/>
      <c r="S107" s="1543"/>
      <c r="T107" s="1543"/>
      <c r="U107" s="1543"/>
      <c r="V107" s="1543"/>
      <c r="W107" s="1543"/>
      <c r="X107" s="1543"/>
      <c r="Y107" s="1543"/>
      <c r="Z107" s="1543"/>
      <c r="AA107" s="1543"/>
      <c r="AB107" s="1543"/>
      <c r="AC107" s="1543"/>
      <c r="AD107" s="1543"/>
      <c r="AE107" s="1543"/>
    </row>
    <row r="108" spans="6:31" ht="16.5" customHeight="1">
      <c r="F108" s="1543"/>
      <c r="G108" s="1543"/>
      <c r="H108" s="1543"/>
      <c r="I108" s="1543"/>
      <c r="J108" s="1543"/>
      <c r="K108" s="1543"/>
      <c r="L108" s="1543"/>
      <c r="M108" s="1543"/>
      <c r="N108" s="1543"/>
      <c r="O108" s="1543"/>
      <c r="P108" s="1543"/>
      <c r="Q108" s="1543"/>
      <c r="R108" s="1543"/>
      <c r="S108" s="1543"/>
      <c r="T108" s="1543"/>
      <c r="U108" s="1543"/>
      <c r="V108" s="1543"/>
      <c r="W108" s="1543"/>
      <c r="X108" s="1543"/>
      <c r="Y108" s="1543"/>
      <c r="Z108" s="1543"/>
      <c r="AA108" s="1543"/>
      <c r="AB108" s="1543"/>
      <c r="AC108" s="1543"/>
      <c r="AD108" s="1543"/>
      <c r="AE108" s="1543"/>
    </row>
    <row r="109" spans="6:31" ht="16.5" customHeight="1">
      <c r="F109" s="1543"/>
      <c r="G109" s="1543"/>
      <c r="H109" s="1543"/>
      <c r="I109" s="1543"/>
      <c r="J109" s="1543"/>
      <c r="K109" s="1543"/>
      <c r="L109" s="1543"/>
      <c r="M109" s="1543"/>
      <c r="N109" s="1543"/>
      <c r="O109" s="1543"/>
      <c r="P109" s="1543"/>
      <c r="Q109" s="1543"/>
      <c r="R109" s="1543"/>
      <c r="S109" s="1543"/>
      <c r="T109" s="1543"/>
      <c r="U109" s="1543"/>
      <c r="V109" s="1543"/>
      <c r="W109" s="1543"/>
      <c r="X109" s="1543"/>
      <c r="Y109" s="1543"/>
      <c r="Z109" s="1543"/>
      <c r="AA109" s="1543"/>
      <c r="AB109" s="1543"/>
      <c r="AC109" s="1543"/>
      <c r="AD109" s="1543"/>
      <c r="AE109" s="1543"/>
    </row>
    <row r="110" spans="6:31" ht="16.5" customHeight="1">
      <c r="F110" s="1543"/>
      <c r="G110" s="1543"/>
      <c r="H110" s="1543"/>
      <c r="I110" s="1543"/>
      <c r="J110" s="1543"/>
      <c r="K110" s="1543"/>
      <c r="L110" s="1543"/>
      <c r="M110" s="1543"/>
      <c r="N110" s="1543"/>
      <c r="O110" s="1543"/>
      <c r="P110" s="1543"/>
      <c r="Q110" s="1543"/>
      <c r="R110" s="1543"/>
      <c r="S110" s="1543"/>
      <c r="T110" s="1543"/>
      <c r="U110" s="1543"/>
      <c r="V110" s="1543"/>
      <c r="W110" s="1543"/>
      <c r="X110" s="1543"/>
      <c r="Y110" s="1543"/>
      <c r="Z110" s="1543"/>
      <c r="AA110" s="1543"/>
      <c r="AB110" s="1543"/>
      <c r="AC110" s="1543"/>
      <c r="AD110" s="1543"/>
      <c r="AE110" s="1543"/>
    </row>
    <row r="111" spans="6:31" ht="16.5" customHeight="1">
      <c r="F111" s="1543"/>
      <c r="G111" s="1543"/>
      <c r="H111" s="1543"/>
      <c r="I111" s="1543"/>
      <c r="J111" s="1543"/>
      <c r="K111" s="1543"/>
      <c r="L111" s="1543"/>
      <c r="M111" s="1543"/>
      <c r="N111" s="1543"/>
      <c r="O111" s="1543"/>
      <c r="P111" s="1543"/>
      <c r="Q111" s="1543"/>
      <c r="R111" s="1543"/>
      <c r="S111" s="1543"/>
      <c r="T111" s="1543"/>
      <c r="U111" s="1543"/>
      <c r="V111" s="1543"/>
      <c r="W111" s="1543"/>
      <c r="X111" s="1543"/>
      <c r="Y111" s="1543"/>
      <c r="Z111" s="1543"/>
      <c r="AA111" s="1543"/>
      <c r="AB111" s="1543"/>
      <c r="AC111" s="1543"/>
      <c r="AD111" s="1543"/>
      <c r="AE111" s="1543"/>
    </row>
    <row r="112" spans="6:31" ht="16.5" customHeight="1">
      <c r="F112" s="1543"/>
      <c r="G112" s="1543"/>
      <c r="H112" s="1543"/>
      <c r="I112" s="1543"/>
      <c r="J112" s="1543"/>
      <c r="K112" s="1543"/>
      <c r="L112" s="1543"/>
      <c r="M112" s="1543"/>
      <c r="N112" s="1543"/>
      <c r="O112" s="1543"/>
      <c r="P112" s="1543"/>
      <c r="Q112" s="1543"/>
      <c r="R112" s="1543"/>
      <c r="S112" s="1543"/>
      <c r="T112" s="1543"/>
      <c r="U112" s="1543"/>
      <c r="V112" s="1543"/>
      <c r="W112" s="1543"/>
      <c r="X112" s="1543"/>
      <c r="Y112" s="1543"/>
      <c r="Z112" s="1543"/>
      <c r="AA112" s="1543"/>
      <c r="AB112" s="1543"/>
      <c r="AC112" s="1543"/>
      <c r="AD112" s="1543"/>
      <c r="AE112" s="1543"/>
    </row>
    <row r="113" spans="6:31" ht="16.5" customHeight="1">
      <c r="F113" s="1543"/>
      <c r="G113" s="1543"/>
      <c r="H113" s="1543"/>
      <c r="I113" s="1543"/>
      <c r="J113" s="1543"/>
      <c r="K113" s="1543"/>
      <c r="L113" s="1543"/>
      <c r="M113" s="1543"/>
      <c r="N113" s="1543"/>
      <c r="O113" s="1543"/>
      <c r="P113" s="1543"/>
      <c r="Q113" s="1543"/>
      <c r="R113" s="1543"/>
      <c r="S113" s="1543"/>
      <c r="T113" s="1543"/>
      <c r="U113" s="1543"/>
      <c r="V113" s="1543"/>
      <c r="W113" s="1543"/>
      <c r="X113" s="1543"/>
      <c r="Y113" s="1543"/>
      <c r="Z113" s="1543"/>
      <c r="AA113" s="1543"/>
      <c r="AB113" s="1543"/>
      <c r="AC113" s="1543"/>
      <c r="AD113" s="1543"/>
      <c r="AE113" s="1543"/>
    </row>
    <row r="114" spans="6:31" ht="16.5" customHeight="1">
      <c r="F114" s="1543"/>
      <c r="G114" s="1543"/>
      <c r="H114" s="1543"/>
      <c r="I114" s="1543"/>
      <c r="J114" s="1543"/>
      <c r="K114" s="1543"/>
      <c r="L114" s="1543"/>
      <c r="M114" s="1543"/>
      <c r="N114" s="1543"/>
      <c r="O114" s="1543"/>
      <c r="P114" s="1543"/>
      <c r="Q114" s="1543"/>
      <c r="R114" s="1543"/>
      <c r="S114" s="1543"/>
      <c r="T114" s="1543"/>
      <c r="U114" s="1543"/>
      <c r="V114" s="1543"/>
      <c r="W114" s="1543"/>
      <c r="X114" s="1543"/>
      <c r="Y114" s="1543"/>
      <c r="Z114" s="1543"/>
      <c r="AA114" s="1543"/>
      <c r="AB114" s="1543"/>
      <c r="AC114" s="1543"/>
      <c r="AD114" s="1543"/>
      <c r="AE114" s="1543"/>
    </row>
    <row r="115" spans="6:31" ht="16.5" customHeight="1">
      <c r="F115" s="1543"/>
      <c r="G115" s="1543"/>
      <c r="H115" s="1543"/>
      <c r="I115" s="1543"/>
      <c r="J115" s="1543"/>
      <c r="K115" s="1543"/>
      <c r="L115" s="1543"/>
      <c r="M115" s="1543"/>
      <c r="N115" s="1543"/>
      <c r="O115" s="1543"/>
      <c r="P115" s="1543"/>
      <c r="Q115" s="1543"/>
      <c r="R115" s="1543"/>
      <c r="S115" s="1543"/>
      <c r="T115" s="1543"/>
      <c r="U115" s="1543"/>
      <c r="V115" s="1543"/>
      <c r="W115" s="1543"/>
      <c r="X115" s="1543"/>
      <c r="Y115" s="1543"/>
      <c r="Z115" s="1543"/>
      <c r="AA115" s="1543"/>
      <c r="AB115" s="1543"/>
      <c r="AC115" s="1543"/>
      <c r="AD115" s="1543"/>
      <c r="AE115" s="1543"/>
    </row>
    <row r="116" spans="6:31" ht="16.5" customHeight="1">
      <c r="F116" s="1543"/>
      <c r="G116" s="1543"/>
      <c r="H116" s="1543"/>
      <c r="I116" s="1543"/>
      <c r="J116" s="1543"/>
      <c r="K116" s="1543"/>
      <c r="L116" s="1543"/>
      <c r="M116" s="1543"/>
      <c r="N116" s="1543"/>
      <c r="O116" s="1543"/>
      <c r="P116" s="1543"/>
      <c r="Q116" s="1543"/>
      <c r="R116" s="1543"/>
      <c r="S116" s="1543"/>
      <c r="T116" s="1543"/>
      <c r="U116" s="1543"/>
      <c r="V116" s="1543"/>
      <c r="W116" s="1543"/>
      <c r="X116" s="1543"/>
      <c r="Y116" s="1543"/>
      <c r="Z116" s="1543"/>
      <c r="AA116" s="1543"/>
      <c r="AB116" s="1543"/>
      <c r="AC116" s="1543"/>
      <c r="AD116" s="1543"/>
      <c r="AE116" s="1543"/>
    </row>
    <row r="117" spans="6:31" ht="16.5" customHeight="1">
      <c r="F117" s="1543"/>
      <c r="G117" s="1543"/>
      <c r="H117" s="1543"/>
      <c r="I117" s="1543"/>
      <c r="J117" s="1543"/>
      <c r="K117" s="1543"/>
      <c r="L117" s="1543"/>
      <c r="M117" s="1543"/>
      <c r="N117" s="1543"/>
      <c r="O117" s="1543"/>
      <c r="P117" s="1543"/>
      <c r="Q117" s="1543"/>
      <c r="R117" s="1543"/>
      <c r="S117" s="1543"/>
      <c r="T117" s="1543"/>
      <c r="U117" s="1543"/>
      <c r="V117" s="1543"/>
      <c r="W117" s="1543"/>
      <c r="X117" s="1543"/>
      <c r="Y117" s="1543"/>
      <c r="Z117" s="1543"/>
      <c r="AA117" s="1543"/>
      <c r="AB117" s="1543"/>
      <c r="AC117" s="1543"/>
      <c r="AD117" s="1543"/>
      <c r="AE117" s="1543"/>
    </row>
    <row r="118" spans="6:31" ht="16.5" customHeight="1">
      <c r="F118" s="1543"/>
      <c r="G118" s="1543"/>
      <c r="H118" s="1543"/>
      <c r="I118" s="1543"/>
      <c r="J118" s="1543"/>
      <c r="K118" s="1543"/>
      <c r="L118" s="1543"/>
      <c r="M118" s="1543"/>
      <c r="N118" s="1543"/>
      <c r="O118" s="1543"/>
      <c r="P118" s="1543"/>
      <c r="Q118" s="1543"/>
      <c r="R118" s="1543"/>
      <c r="S118" s="1543"/>
      <c r="T118" s="1543"/>
      <c r="U118" s="1543"/>
      <c r="V118" s="1543"/>
      <c r="W118" s="1543"/>
      <c r="X118" s="1543"/>
      <c r="Y118" s="1543"/>
      <c r="Z118" s="1543"/>
      <c r="AA118" s="1543"/>
      <c r="AB118" s="1543"/>
      <c r="AC118" s="1543"/>
      <c r="AD118" s="1543"/>
      <c r="AE118" s="1543"/>
    </row>
    <row r="119" spans="6:31" ht="16.5" customHeight="1">
      <c r="F119" s="1543"/>
      <c r="G119" s="1543"/>
      <c r="H119" s="1543"/>
      <c r="I119" s="1543"/>
      <c r="J119" s="1543"/>
      <c r="K119" s="1543"/>
      <c r="L119" s="1543"/>
      <c r="M119" s="1543"/>
      <c r="N119" s="1543"/>
      <c r="O119" s="1543"/>
      <c r="P119" s="1543"/>
      <c r="Q119" s="1543"/>
      <c r="R119" s="1543"/>
      <c r="S119" s="1543"/>
      <c r="T119" s="1543"/>
      <c r="U119" s="1543"/>
      <c r="V119" s="1543"/>
      <c r="W119" s="1543"/>
      <c r="X119" s="1543"/>
      <c r="Y119" s="1543"/>
      <c r="Z119" s="1543"/>
      <c r="AA119" s="1543"/>
      <c r="AB119" s="1543"/>
      <c r="AC119" s="1543"/>
      <c r="AD119" s="1543"/>
      <c r="AE119" s="1543"/>
    </row>
    <row r="120" spans="6:31" ht="16.5" customHeight="1">
      <c r="F120" s="1543"/>
      <c r="G120" s="1543"/>
      <c r="H120" s="1543"/>
      <c r="I120" s="1543"/>
      <c r="J120" s="1543"/>
      <c r="K120" s="1543"/>
      <c r="L120" s="1543"/>
      <c r="M120" s="1543"/>
      <c r="N120" s="1543"/>
      <c r="O120" s="1543"/>
      <c r="P120" s="1543"/>
      <c r="Q120" s="1543"/>
      <c r="R120" s="1543"/>
      <c r="S120" s="1543"/>
      <c r="T120" s="1543"/>
      <c r="U120" s="1543"/>
      <c r="V120" s="1543"/>
      <c r="W120" s="1543"/>
      <c r="X120" s="1543"/>
      <c r="Y120" s="1543"/>
      <c r="Z120" s="1543"/>
      <c r="AA120" s="1543"/>
      <c r="AB120" s="1543"/>
      <c r="AC120" s="1543"/>
      <c r="AD120" s="1543"/>
      <c r="AE120" s="1543"/>
    </row>
    <row r="121" spans="6:31" ht="16.5" customHeight="1">
      <c r="F121" s="1543"/>
      <c r="G121" s="1543"/>
      <c r="H121" s="1543"/>
      <c r="I121" s="1543"/>
      <c r="J121" s="1543"/>
      <c r="K121" s="1543"/>
      <c r="L121" s="1543"/>
      <c r="M121" s="1543"/>
      <c r="N121" s="1543"/>
      <c r="O121" s="1543"/>
      <c r="P121" s="1543"/>
      <c r="Q121" s="1543"/>
      <c r="R121" s="1543"/>
      <c r="S121" s="1543"/>
      <c r="T121" s="1543"/>
      <c r="U121" s="1543"/>
      <c r="V121" s="1543"/>
      <c r="W121" s="1543"/>
      <c r="X121" s="1543"/>
      <c r="Y121" s="1543"/>
      <c r="Z121" s="1543"/>
      <c r="AA121" s="1543"/>
      <c r="AB121" s="1543"/>
      <c r="AC121" s="1543"/>
      <c r="AD121" s="1543"/>
      <c r="AE121" s="1543"/>
    </row>
    <row r="122" spans="6:31" ht="16.5" customHeight="1">
      <c r="F122" s="1543"/>
      <c r="G122" s="1543"/>
      <c r="H122" s="1543"/>
      <c r="I122" s="1543"/>
      <c r="J122" s="1543"/>
      <c r="K122" s="1543"/>
      <c r="L122" s="1543"/>
      <c r="M122" s="1543"/>
      <c r="N122" s="1543"/>
      <c r="O122" s="1543"/>
      <c r="P122" s="1543"/>
      <c r="Q122" s="1543"/>
      <c r="R122" s="1543"/>
      <c r="S122" s="1543"/>
      <c r="T122" s="1543"/>
      <c r="U122" s="1543"/>
      <c r="V122" s="1543"/>
      <c r="W122" s="1543"/>
      <c r="X122" s="1543"/>
      <c r="Y122" s="1543"/>
      <c r="Z122" s="1543"/>
      <c r="AA122" s="1543"/>
      <c r="AB122" s="1543"/>
      <c r="AC122" s="1543"/>
      <c r="AD122" s="1543"/>
      <c r="AE122" s="1543"/>
    </row>
    <row r="123" spans="6:31" ht="16.5" customHeight="1">
      <c r="F123" s="1543"/>
      <c r="G123" s="1543"/>
      <c r="H123" s="1543"/>
      <c r="I123" s="1543"/>
      <c r="J123" s="1543"/>
      <c r="K123" s="1543"/>
      <c r="L123" s="1543"/>
      <c r="M123" s="1543"/>
      <c r="N123" s="1543"/>
      <c r="O123" s="1543"/>
      <c r="P123" s="1543"/>
      <c r="Q123" s="1543"/>
      <c r="R123" s="1543"/>
      <c r="S123" s="1543"/>
      <c r="T123" s="1543"/>
      <c r="U123" s="1543"/>
      <c r="V123" s="1543"/>
      <c r="W123" s="1543"/>
      <c r="X123" s="1543"/>
      <c r="Y123" s="1543"/>
      <c r="Z123" s="1543"/>
      <c r="AA123" s="1543"/>
      <c r="AB123" s="1543"/>
      <c r="AC123" s="1543"/>
      <c r="AD123" s="1543"/>
      <c r="AE123" s="1543"/>
    </row>
    <row r="124" spans="6:31" ht="16.5" customHeight="1">
      <c r="F124" s="1543"/>
      <c r="G124" s="1543"/>
      <c r="H124" s="1543"/>
      <c r="I124" s="1543"/>
      <c r="J124" s="1543"/>
      <c r="K124" s="1543"/>
      <c r="L124" s="1543"/>
      <c r="M124" s="1543"/>
      <c r="N124" s="1543"/>
      <c r="O124" s="1543"/>
      <c r="P124" s="1543"/>
      <c r="Q124" s="1543"/>
      <c r="R124" s="1543"/>
      <c r="S124" s="1543"/>
      <c r="T124" s="1543"/>
      <c r="U124" s="1543"/>
      <c r="V124" s="1543"/>
      <c r="W124" s="1543"/>
      <c r="X124" s="1543"/>
      <c r="Y124" s="1543"/>
      <c r="Z124" s="1543"/>
      <c r="AA124" s="1543"/>
      <c r="AB124" s="1543"/>
      <c r="AC124" s="1543"/>
      <c r="AD124" s="1543"/>
      <c r="AE124" s="1543"/>
    </row>
    <row r="125" spans="6:31" ht="16.5" customHeight="1">
      <c r="F125" s="1543"/>
      <c r="G125" s="1543"/>
      <c r="H125" s="1543"/>
      <c r="I125" s="1543"/>
      <c r="J125" s="1543"/>
      <c r="K125" s="1543"/>
      <c r="L125" s="1543"/>
      <c r="M125" s="1543"/>
      <c r="N125" s="1543"/>
      <c r="O125" s="1543"/>
      <c r="P125" s="1543"/>
      <c r="Q125" s="1543"/>
      <c r="R125" s="1543"/>
      <c r="S125" s="1543"/>
      <c r="T125" s="1543"/>
      <c r="U125" s="1543"/>
      <c r="V125" s="1543"/>
      <c r="W125" s="1543"/>
      <c r="X125" s="1543"/>
      <c r="Y125" s="1543"/>
      <c r="Z125" s="1543"/>
      <c r="AA125" s="1543"/>
      <c r="AB125" s="1543"/>
      <c r="AC125" s="1543"/>
      <c r="AD125" s="1543"/>
      <c r="AE125" s="1543"/>
    </row>
    <row r="126" spans="6:31" ht="16.5" customHeight="1">
      <c r="F126" s="1543"/>
      <c r="G126" s="1543"/>
      <c r="H126" s="1543"/>
      <c r="I126" s="1543"/>
      <c r="J126" s="1543"/>
      <c r="K126" s="1543"/>
      <c r="L126" s="1543"/>
      <c r="M126" s="1543"/>
      <c r="N126" s="1543"/>
      <c r="O126" s="1543"/>
      <c r="P126" s="1543"/>
      <c r="Q126" s="1543"/>
      <c r="R126" s="1543"/>
      <c r="S126" s="1543"/>
      <c r="T126" s="1543"/>
      <c r="U126" s="1543"/>
      <c r="V126" s="1543"/>
      <c r="W126" s="1543"/>
      <c r="X126" s="1543"/>
      <c r="Y126" s="1543"/>
      <c r="Z126" s="1543"/>
      <c r="AA126" s="1543"/>
      <c r="AB126" s="1543"/>
      <c r="AC126" s="1543"/>
      <c r="AD126" s="1543"/>
      <c r="AE126" s="1543"/>
    </row>
    <row r="127" spans="6:31" ht="16.5" customHeight="1">
      <c r="F127" s="1543"/>
      <c r="G127" s="1543"/>
      <c r="H127" s="1543"/>
      <c r="I127" s="1543"/>
      <c r="J127" s="1543"/>
      <c r="K127" s="1543"/>
      <c r="L127" s="1543"/>
      <c r="M127" s="1543"/>
      <c r="N127" s="1543"/>
      <c r="O127" s="1543"/>
      <c r="P127" s="1543"/>
      <c r="Q127" s="1543"/>
      <c r="R127" s="1543"/>
      <c r="S127" s="1543"/>
      <c r="T127" s="1543"/>
      <c r="U127" s="1543"/>
      <c r="V127" s="1543"/>
      <c r="W127" s="1543"/>
      <c r="X127" s="1543"/>
      <c r="Y127" s="1543"/>
      <c r="Z127" s="1543"/>
      <c r="AA127" s="1543"/>
      <c r="AB127" s="1543"/>
      <c r="AC127" s="1543"/>
      <c r="AD127" s="1543"/>
      <c r="AE127" s="1543"/>
    </row>
    <row r="128" spans="6:31" ht="16.5" customHeight="1">
      <c r="F128" s="1543"/>
      <c r="G128" s="1543"/>
      <c r="H128" s="1543"/>
      <c r="I128" s="1543"/>
      <c r="J128" s="1543"/>
      <c r="K128" s="1543"/>
      <c r="L128" s="1543"/>
      <c r="M128" s="1543"/>
      <c r="N128" s="1543"/>
      <c r="O128" s="1543"/>
      <c r="P128" s="1543"/>
      <c r="Q128" s="1543"/>
      <c r="R128" s="1543"/>
      <c r="S128" s="1543"/>
      <c r="T128" s="1543"/>
      <c r="U128" s="1543"/>
      <c r="V128" s="1543"/>
      <c r="W128" s="1543"/>
      <c r="X128" s="1543"/>
      <c r="Y128" s="1543"/>
      <c r="Z128" s="1543"/>
      <c r="AA128" s="1543"/>
      <c r="AB128" s="1543"/>
      <c r="AC128" s="1543"/>
      <c r="AD128" s="1543"/>
      <c r="AE128" s="1543"/>
    </row>
    <row r="129" spans="6:31" ht="16.5" customHeight="1">
      <c r="F129" s="1543"/>
      <c r="G129" s="1543"/>
      <c r="H129" s="1543"/>
      <c r="I129" s="1543"/>
      <c r="J129" s="1543"/>
      <c r="K129" s="1543"/>
      <c r="L129" s="1543"/>
      <c r="M129" s="1543"/>
      <c r="N129" s="1543"/>
      <c r="O129" s="1543"/>
      <c r="P129" s="1543"/>
      <c r="Q129" s="1543"/>
      <c r="R129" s="1543"/>
      <c r="S129" s="1543"/>
      <c r="T129" s="1543"/>
      <c r="U129" s="1543"/>
      <c r="V129" s="1543"/>
      <c r="W129" s="1543"/>
      <c r="X129" s="1543"/>
      <c r="Y129" s="1543"/>
      <c r="Z129" s="1543"/>
      <c r="AA129" s="1543"/>
      <c r="AB129" s="1543"/>
      <c r="AC129" s="1543"/>
      <c r="AD129" s="1543"/>
      <c r="AE129" s="1543"/>
    </row>
    <row r="130" spans="6:31" ht="16.5" customHeight="1">
      <c r="F130" s="1543"/>
      <c r="G130" s="1543"/>
      <c r="H130" s="1543"/>
      <c r="I130" s="1543"/>
      <c r="J130" s="1543"/>
      <c r="K130" s="1543"/>
      <c r="L130" s="1543"/>
      <c r="M130" s="1543"/>
      <c r="N130" s="1543"/>
      <c r="O130" s="1543"/>
      <c r="P130" s="1543"/>
      <c r="Q130" s="1543"/>
      <c r="R130" s="1543"/>
      <c r="S130" s="1543"/>
      <c r="T130" s="1543"/>
      <c r="U130" s="1543"/>
      <c r="V130" s="1543"/>
      <c r="W130" s="1543"/>
      <c r="X130" s="1543"/>
      <c r="Y130" s="1543"/>
      <c r="Z130" s="1543"/>
      <c r="AA130" s="1543"/>
      <c r="AB130" s="1543"/>
      <c r="AC130" s="1543"/>
      <c r="AD130" s="1543"/>
      <c r="AE130" s="1543"/>
    </row>
    <row r="131" spans="6:31" ht="16.5" customHeight="1">
      <c r="F131" s="1543"/>
      <c r="G131" s="1543"/>
      <c r="H131" s="1543"/>
      <c r="I131" s="1543"/>
      <c r="J131" s="1543"/>
      <c r="K131" s="1543"/>
      <c r="L131" s="1543"/>
      <c r="M131" s="1543"/>
      <c r="N131" s="1543"/>
      <c r="O131" s="1543"/>
      <c r="P131" s="1543"/>
      <c r="Q131" s="1543"/>
      <c r="R131" s="1543"/>
      <c r="S131" s="1543"/>
      <c r="T131" s="1543"/>
      <c r="U131" s="1543"/>
      <c r="V131" s="1543"/>
      <c r="W131" s="1543"/>
      <c r="X131" s="1543"/>
      <c r="Y131" s="1543"/>
      <c r="Z131" s="1543"/>
      <c r="AA131" s="1543"/>
      <c r="AB131" s="1543"/>
      <c r="AC131" s="1543"/>
      <c r="AD131" s="1543"/>
      <c r="AE131" s="1543"/>
    </row>
    <row r="132" spans="6:31" ht="16.5" customHeight="1">
      <c r="F132" s="1543"/>
      <c r="G132" s="1543"/>
      <c r="H132" s="1543"/>
      <c r="I132" s="1543"/>
      <c r="J132" s="1543"/>
      <c r="K132" s="1543"/>
      <c r="L132" s="1543"/>
      <c r="M132" s="1543"/>
      <c r="N132" s="1543"/>
      <c r="O132" s="1543"/>
      <c r="P132" s="1543"/>
      <c r="Q132" s="1543"/>
      <c r="R132" s="1543"/>
      <c r="S132" s="1543"/>
      <c r="T132" s="1543"/>
      <c r="U132" s="1543"/>
      <c r="V132" s="1543"/>
      <c r="W132" s="1543"/>
      <c r="X132" s="1543"/>
      <c r="Y132" s="1543"/>
      <c r="Z132" s="1543"/>
      <c r="AA132" s="1543"/>
      <c r="AB132" s="1543"/>
      <c r="AC132" s="1543"/>
      <c r="AD132" s="1543"/>
      <c r="AE132" s="1543"/>
    </row>
    <row r="133" spans="6:31" ht="16.5" customHeight="1">
      <c r="F133" s="1543"/>
      <c r="G133" s="1543"/>
      <c r="H133" s="1543"/>
      <c r="I133" s="1543"/>
      <c r="J133" s="1543"/>
      <c r="K133" s="1543"/>
      <c r="L133" s="1543"/>
      <c r="M133" s="1543"/>
      <c r="N133" s="1543"/>
      <c r="O133" s="1543"/>
      <c r="P133" s="1543"/>
      <c r="Q133" s="1543"/>
      <c r="R133" s="1543"/>
      <c r="S133" s="1543"/>
      <c r="T133" s="1543"/>
      <c r="U133" s="1543"/>
      <c r="V133" s="1543"/>
      <c r="W133" s="1543"/>
      <c r="X133" s="1543"/>
      <c r="Y133" s="1543"/>
      <c r="Z133" s="1543"/>
      <c r="AA133" s="1543"/>
      <c r="AB133" s="1543"/>
      <c r="AC133" s="1543"/>
      <c r="AD133" s="1543"/>
      <c r="AE133" s="1543"/>
    </row>
    <row r="134" spans="6:31" ht="16.5" customHeight="1">
      <c r="F134" s="1543"/>
      <c r="G134" s="1543"/>
      <c r="H134" s="1543"/>
      <c r="I134" s="1543"/>
      <c r="J134" s="1543"/>
      <c r="K134" s="1543"/>
      <c r="L134" s="1543"/>
      <c r="M134" s="1543"/>
      <c r="N134" s="1543"/>
      <c r="O134" s="1543"/>
      <c r="P134" s="1543"/>
      <c r="Q134" s="1543"/>
      <c r="R134" s="1543"/>
      <c r="S134" s="1543"/>
      <c r="T134" s="1543"/>
      <c r="U134" s="1543"/>
      <c r="V134" s="1543"/>
      <c r="W134" s="1543"/>
      <c r="X134" s="1543"/>
      <c r="Y134" s="1543"/>
      <c r="Z134" s="1543"/>
      <c r="AA134" s="1543"/>
      <c r="AB134" s="1543"/>
      <c r="AC134" s="1543"/>
      <c r="AD134" s="1543"/>
      <c r="AE134" s="1543"/>
    </row>
    <row r="135" spans="6:31" ht="16.5" customHeight="1">
      <c r="F135" s="1543"/>
      <c r="G135" s="1543"/>
      <c r="H135" s="1543"/>
      <c r="I135" s="1543"/>
      <c r="J135" s="1543"/>
      <c r="K135" s="1543"/>
      <c r="L135" s="1543"/>
      <c r="M135" s="1543"/>
      <c r="N135" s="1543"/>
      <c r="O135" s="1543"/>
      <c r="P135" s="1543"/>
      <c r="Q135" s="1543"/>
      <c r="R135" s="1543"/>
      <c r="S135" s="1543"/>
      <c r="T135" s="1543"/>
      <c r="U135" s="1543"/>
      <c r="V135" s="1543"/>
      <c r="W135" s="1543"/>
      <c r="X135" s="1543"/>
      <c r="Y135" s="1543"/>
      <c r="Z135" s="1543"/>
      <c r="AA135" s="1543"/>
      <c r="AB135" s="1543"/>
      <c r="AC135" s="1543"/>
      <c r="AD135" s="1543"/>
      <c r="AE135" s="1543"/>
    </row>
    <row r="136" spans="6:31" ht="16.5" customHeight="1">
      <c r="F136" s="1543"/>
      <c r="G136" s="1543"/>
      <c r="H136" s="1543"/>
      <c r="I136" s="1543"/>
      <c r="J136" s="1543"/>
      <c r="K136" s="1543"/>
      <c r="L136" s="1543"/>
      <c r="M136" s="1543"/>
      <c r="N136" s="1543"/>
      <c r="O136" s="1543"/>
      <c r="P136" s="1543"/>
      <c r="Q136" s="1543"/>
      <c r="R136" s="1543"/>
      <c r="S136" s="1543"/>
      <c r="T136" s="1543"/>
      <c r="U136" s="1543"/>
      <c r="V136" s="1543"/>
      <c r="W136" s="1543"/>
      <c r="X136" s="1543"/>
      <c r="Y136" s="1543"/>
      <c r="Z136" s="1543"/>
      <c r="AA136" s="1543"/>
      <c r="AB136" s="1543"/>
      <c r="AC136" s="1543"/>
      <c r="AD136" s="1543"/>
      <c r="AE136" s="1543"/>
    </row>
    <row r="137" spans="6:31" ht="16.5" customHeight="1">
      <c r="F137" s="1543"/>
      <c r="G137" s="1543"/>
      <c r="H137" s="1543"/>
      <c r="I137" s="1543"/>
      <c r="J137" s="1543"/>
      <c r="K137" s="1543"/>
      <c r="L137" s="1543"/>
      <c r="M137" s="1543"/>
      <c r="N137" s="1543"/>
      <c r="O137" s="1543"/>
      <c r="P137" s="1543"/>
      <c r="Q137" s="1543"/>
      <c r="R137" s="1543"/>
      <c r="S137" s="1543"/>
      <c r="T137" s="1543"/>
      <c r="U137" s="1543"/>
      <c r="V137" s="1543"/>
      <c r="W137" s="1543"/>
      <c r="X137" s="1543"/>
      <c r="Y137" s="1543"/>
      <c r="Z137" s="1543"/>
      <c r="AA137" s="1543"/>
      <c r="AB137" s="1543"/>
      <c r="AC137" s="1543"/>
      <c r="AD137" s="1543"/>
      <c r="AE137" s="1543"/>
    </row>
    <row r="138" spans="6:31" ht="16.5" customHeight="1">
      <c r="F138" s="1543"/>
      <c r="G138" s="1543"/>
      <c r="H138" s="1543"/>
      <c r="I138" s="1543"/>
      <c r="J138" s="1543"/>
      <c r="K138" s="1543"/>
      <c r="L138" s="1543"/>
      <c r="M138" s="1543"/>
      <c r="N138" s="1543"/>
      <c r="O138" s="1543"/>
      <c r="P138" s="1543"/>
      <c r="Q138" s="1543"/>
      <c r="R138" s="1543"/>
      <c r="S138" s="1543"/>
      <c r="T138" s="1543"/>
      <c r="U138" s="1543"/>
      <c r="V138" s="1543"/>
      <c r="W138" s="1543"/>
      <c r="X138" s="1543"/>
      <c r="Y138" s="1543"/>
      <c r="Z138" s="1543"/>
      <c r="AA138" s="1543"/>
      <c r="AB138" s="1543"/>
      <c r="AC138" s="1543"/>
      <c r="AD138" s="1543"/>
      <c r="AE138" s="1543"/>
    </row>
    <row r="139" spans="6:31" ht="16.5" customHeight="1">
      <c r="F139" s="1543"/>
      <c r="G139" s="1543"/>
      <c r="H139" s="1543"/>
      <c r="I139" s="1543"/>
      <c r="J139" s="1543"/>
      <c r="K139" s="1543"/>
      <c r="L139" s="1543"/>
      <c r="M139" s="1543"/>
      <c r="N139" s="1543"/>
      <c r="O139" s="1543"/>
      <c r="P139" s="1543"/>
      <c r="Q139" s="1543"/>
      <c r="R139" s="1543"/>
      <c r="S139" s="1543"/>
      <c r="T139" s="1543"/>
      <c r="U139" s="1543"/>
      <c r="V139" s="1543"/>
      <c r="W139" s="1543"/>
      <c r="X139" s="1543"/>
      <c r="Y139" s="1543"/>
      <c r="Z139" s="1543"/>
      <c r="AA139" s="1543"/>
      <c r="AB139" s="1543"/>
      <c r="AC139" s="1543"/>
      <c r="AD139" s="1543"/>
      <c r="AE139" s="1543"/>
    </row>
    <row r="140" spans="6:31" ht="16.5" customHeight="1">
      <c r="F140" s="1543"/>
      <c r="G140" s="1543"/>
      <c r="H140" s="1543"/>
      <c r="I140" s="1543"/>
      <c r="J140" s="1543"/>
      <c r="K140" s="1543"/>
      <c r="L140" s="1543"/>
      <c r="M140" s="1543"/>
      <c r="N140" s="1543"/>
      <c r="O140" s="1543"/>
      <c r="P140" s="1543"/>
      <c r="Q140" s="1543"/>
      <c r="R140" s="1543"/>
      <c r="S140" s="1543"/>
      <c r="T140" s="1543"/>
      <c r="U140" s="1543"/>
      <c r="V140" s="1543"/>
      <c r="W140" s="1543"/>
      <c r="X140" s="1543"/>
      <c r="Y140" s="1543"/>
      <c r="Z140" s="1543"/>
      <c r="AA140" s="1543"/>
      <c r="AB140" s="1543"/>
      <c r="AC140" s="1543"/>
      <c r="AD140" s="1543"/>
      <c r="AE140" s="1543"/>
    </row>
    <row r="141" spans="6:31" ht="16.5" customHeight="1">
      <c r="F141" s="1543"/>
      <c r="G141" s="1543"/>
      <c r="H141" s="1543"/>
      <c r="I141" s="1543"/>
      <c r="J141" s="1543"/>
      <c r="K141" s="1543"/>
      <c r="L141" s="1543"/>
      <c r="M141" s="1543"/>
      <c r="N141" s="1543"/>
      <c r="O141" s="1543"/>
      <c r="P141" s="1543"/>
      <c r="Q141" s="1543"/>
      <c r="R141" s="1543"/>
      <c r="S141" s="1543"/>
      <c r="T141" s="1543"/>
      <c r="U141" s="1543"/>
      <c r="V141" s="1543"/>
      <c r="W141" s="1543"/>
      <c r="X141" s="1543"/>
      <c r="Y141" s="1543"/>
      <c r="Z141" s="1543"/>
      <c r="AA141" s="1543"/>
      <c r="AB141" s="1543"/>
      <c r="AC141" s="1543"/>
      <c r="AD141" s="1543"/>
      <c r="AE141" s="1543"/>
    </row>
    <row r="142" spans="6:31" ht="16.5" customHeight="1">
      <c r="F142" s="1543"/>
      <c r="G142" s="1543"/>
      <c r="H142" s="1543"/>
      <c r="I142" s="1543"/>
      <c r="J142" s="1543"/>
      <c r="K142" s="1543"/>
      <c r="L142" s="1543"/>
      <c r="M142" s="1543"/>
      <c r="N142" s="1543"/>
      <c r="O142" s="1543"/>
      <c r="P142" s="1543"/>
      <c r="Q142" s="1543"/>
      <c r="R142" s="1543"/>
      <c r="S142" s="1543"/>
      <c r="T142" s="1543"/>
      <c r="U142" s="1543"/>
      <c r="V142" s="1543"/>
      <c r="W142" s="1543"/>
      <c r="X142" s="1543"/>
      <c r="Y142" s="1543"/>
      <c r="Z142" s="1543"/>
      <c r="AA142" s="1543"/>
      <c r="AB142" s="1543"/>
      <c r="AC142" s="1543"/>
      <c r="AD142" s="1543"/>
      <c r="AE142" s="1543"/>
    </row>
    <row r="143" spans="6:31" ht="16.5" customHeight="1">
      <c r="F143" s="1543"/>
      <c r="G143" s="1543"/>
      <c r="H143" s="1543"/>
      <c r="I143" s="1543"/>
      <c r="J143" s="1543"/>
      <c r="K143" s="1543"/>
      <c r="L143" s="1543"/>
      <c r="M143" s="1543"/>
      <c r="N143" s="1543"/>
      <c r="O143" s="1543"/>
      <c r="P143" s="1543"/>
      <c r="Q143" s="1543"/>
      <c r="R143" s="1543"/>
      <c r="S143" s="1543"/>
      <c r="T143" s="1543"/>
      <c r="U143" s="1543"/>
      <c r="V143" s="1543"/>
      <c r="W143" s="1543"/>
      <c r="X143" s="1543"/>
      <c r="Y143" s="1543"/>
      <c r="Z143" s="1543"/>
      <c r="AA143" s="1543"/>
      <c r="AB143" s="1543"/>
      <c r="AC143" s="1543"/>
      <c r="AD143" s="1543"/>
      <c r="AE143" s="1543"/>
    </row>
    <row r="144" spans="6:31" ht="16.5" customHeight="1">
      <c r="F144" s="1543"/>
      <c r="G144" s="1543"/>
      <c r="H144" s="1543"/>
      <c r="I144" s="1543"/>
      <c r="J144" s="1543"/>
      <c r="K144" s="1543"/>
      <c r="L144" s="1543"/>
      <c r="M144" s="1543"/>
      <c r="N144" s="1543"/>
      <c r="O144" s="1543"/>
      <c r="P144" s="1543"/>
      <c r="Q144" s="1543"/>
      <c r="R144" s="1543"/>
      <c r="S144" s="1543"/>
      <c r="T144" s="1543"/>
      <c r="U144" s="1543"/>
      <c r="V144" s="1543"/>
      <c r="W144" s="1543"/>
      <c r="X144" s="1543"/>
      <c r="Y144" s="1543"/>
      <c r="Z144" s="1543"/>
      <c r="AA144" s="1543"/>
      <c r="AB144" s="1543"/>
      <c r="AC144" s="1543"/>
      <c r="AD144" s="1543"/>
      <c r="AE144" s="1543"/>
    </row>
    <row r="145" spans="6:31" ht="16.5" customHeight="1">
      <c r="F145" s="1543"/>
      <c r="G145" s="1543"/>
      <c r="H145" s="1543"/>
      <c r="I145" s="1543"/>
      <c r="J145" s="1543"/>
      <c r="K145" s="1543"/>
      <c r="L145" s="1543"/>
      <c r="M145" s="1543"/>
      <c r="N145" s="1543"/>
      <c r="O145" s="1543"/>
      <c r="P145" s="1543"/>
      <c r="Q145" s="1543"/>
      <c r="R145" s="1543"/>
      <c r="S145" s="1543"/>
      <c r="T145" s="1543"/>
      <c r="U145" s="1543"/>
      <c r="V145" s="1543"/>
      <c r="W145" s="1543"/>
      <c r="X145" s="1543"/>
      <c r="Y145" s="1543"/>
      <c r="Z145" s="1543"/>
      <c r="AA145" s="1543"/>
      <c r="AB145" s="1543"/>
      <c r="AC145" s="1543"/>
      <c r="AD145" s="1543"/>
      <c r="AE145" s="1543"/>
    </row>
    <row r="146" spans="6:31" ht="16.5" customHeight="1">
      <c r="F146" s="1543"/>
      <c r="G146" s="1543"/>
      <c r="H146" s="1543"/>
      <c r="I146" s="1543"/>
      <c r="J146" s="1543"/>
      <c r="K146" s="1543"/>
      <c r="L146" s="1543"/>
      <c r="M146" s="1543"/>
      <c r="N146" s="1543"/>
      <c r="O146" s="1543"/>
      <c r="P146" s="1543"/>
      <c r="Q146" s="1543"/>
      <c r="R146" s="1543"/>
      <c r="S146" s="1543"/>
      <c r="T146" s="1543"/>
      <c r="U146" s="1543"/>
      <c r="V146" s="1543"/>
      <c r="W146" s="1543"/>
      <c r="X146" s="1543"/>
      <c r="Y146" s="1543"/>
      <c r="Z146" s="1543"/>
      <c r="AA146" s="1543"/>
      <c r="AB146" s="1543"/>
      <c r="AC146" s="1543"/>
      <c r="AD146" s="1543"/>
      <c r="AE146" s="1543"/>
    </row>
    <row r="147" spans="6:31" ht="16.5" customHeight="1">
      <c r="F147" s="1543"/>
      <c r="G147" s="1543"/>
      <c r="H147" s="1543"/>
      <c r="I147" s="1543"/>
      <c r="J147" s="1543"/>
      <c r="K147" s="1543"/>
      <c r="L147" s="1543"/>
      <c r="M147" s="1543"/>
      <c r="N147" s="1543"/>
      <c r="O147" s="1543"/>
      <c r="P147" s="1543"/>
      <c r="Q147" s="1543"/>
      <c r="R147" s="1543"/>
      <c r="S147" s="1543"/>
      <c r="T147" s="1543"/>
      <c r="U147" s="1543"/>
      <c r="V147" s="1543"/>
      <c r="W147" s="1543"/>
      <c r="X147" s="1543"/>
      <c r="Y147" s="1543"/>
      <c r="Z147" s="1543"/>
      <c r="AA147" s="1543"/>
      <c r="AB147" s="1543"/>
      <c r="AC147" s="1543"/>
      <c r="AD147" s="1543"/>
      <c r="AE147" s="1543"/>
    </row>
    <row r="148" spans="6:31" ht="16.5" customHeight="1">
      <c r="F148" s="1543"/>
      <c r="G148" s="1543"/>
      <c r="H148" s="1543"/>
      <c r="I148" s="1543"/>
      <c r="J148" s="1543"/>
      <c r="K148" s="1543"/>
      <c r="L148" s="1543"/>
      <c r="M148" s="1543"/>
      <c r="N148" s="1543"/>
      <c r="O148" s="1543"/>
      <c r="P148" s="1543"/>
      <c r="Q148" s="1543"/>
      <c r="R148" s="1543"/>
      <c r="S148" s="1543"/>
      <c r="T148" s="1543"/>
      <c r="U148" s="1543"/>
      <c r="V148" s="1543"/>
      <c r="W148" s="1543"/>
      <c r="X148" s="1543"/>
      <c r="Y148" s="1543"/>
      <c r="Z148" s="1543"/>
      <c r="AA148" s="1543"/>
      <c r="AB148" s="1543"/>
      <c r="AC148" s="1543"/>
      <c r="AD148" s="1543"/>
      <c r="AE148" s="1543"/>
    </row>
    <row r="149" spans="6:31" ht="16.5" customHeight="1">
      <c r="F149" s="1543"/>
      <c r="G149" s="1543"/>
      <c r="H149" s="1543"/>
      <c r="I149" s="1543"/>
      <c r="J149" s="1543"/>
      <c r="K149" s="1543"/>
      <c r="L149" s="1543"/>
      <c r="M149" s="1543"/>
      <c r="N149" s="1543"/>
      <c r="O149" s="1543"/>
      <c r="P149" s="1543"/>
      <c r="Q149" s="1543"/>
      <c r="R149" s="1543"/>
      <c r="S149" s="1543"/>
      <c r="T149" s="1543"/>
      <c r="U149" s="1543"/>
      <c r="V149" s="1543"/>
      <c r="W149" s="1543"/>
      <c r="X149" s="1543"/>
      <c r="Y149" s="1543"/>
      <c r="Z149" s="1543"/>
      <c r="AA149" s="1543"/>
      <c r="AB149" s="1543"/>
      <c r="AC149" s="1543"/>
      <c r="AD149" s="1543"/>
      <c r="AE149" s="1543"/>
    </row>
    <row r="150" spans="6:31" ht="16.5" customHeight="1">
      <c r="F150" s="1543"/>
      <c r="G150" s="1543"/>
      <c r="H150" s="1543"/>
      <c r="I150" s="1543"/>
      <c r="J150" s="1543"/>
      <c r="K150" s="1543"/>
      <c r="L150" s="1543"/>
      <c r="M150" s="1543"/>
      <c r="N150" s="1543"/>
      <c r="O150" s="1543"/>
      <c r="P150" s="1543"/>
      <c r="Q150" s="1543"/>
      <c r="R150" s="1543"/>
      <c r="S150" s="1543"/>
      <c r="T150" s="1543"/>
      <c r="U150" s="1543"/>
      <c r="V150" s="1543"/>
      <c r="W150" s="1543"/>
      <c r="X150" s="1543"/>
      <c r="Y150" s="1543"/>
      <c r="Z150" s="1543"/>
      <c r="AA150" s="1543"/>
      <c r="AB150" s="1543"/>
      <c r="AC150" s="1543"/>
      <c r="AD150" s="1543"/>
      <c r="AE150" s="1543"/>
    </row>
    <row r="151" ht="16.5" customHeight="1">
      <c r="AE151" s="1543"/>
    </row>
    <row r="152" ht="16.5" customHeight="1">
      <c r="AE152" s="1543"/>
    </row>
    <row r="153" ht="16.5" customHeight="1">
      <c r="AE153" s="1543"/>
    </row>
    <row r="154" ht="16.5" customHeight="1">
      <c r="AE154" s="1543"/>
    </row>
    <row r="155" ht="16.5" customHeight="1"/>
    <row r="156" ht="16.5" customHeight="1"/>
    <row r="157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jmessina</dc:creator>
  <cp:keywords/>
  <dc:description/>
  <cp:lastModifiedBy>Carola Giordano</cp:lastModifiedBy>
  <cp:lastPrinted>2015-05-26T18:10:29Z</cp:lastPrinted>
  <dcterms:created xsi:type="dcterms:W3CDTF">2011-08-01T18:34:41Z</dcterms:created>
  <dcterms:modified xsi:type="dcterms:W3CDTF">2015-06-24T15:13:44Z</dcterms:modified>
  <cp:category/>
  <cp:version/>
  <cp:contentType/>
  <cp:contentStatus/>
</cp:coreProperties>
</file>