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77" activeTab="0"/>
  </bookViews>
  <sheets>
    <sheet name="TOT-0612" sheetId="1" r:id="rId1"/>
    <sheet name="LI-06 (1)" sheetId="2" r:id="rId2"/>
    <sheet name="LI-06 (2)" sheetId="3" r:id="rId3"/>
    <sheet name="T-06 (1)" sheetId="4" r:id="rId4"/>
    <sheet name="T-06 (2)" sheetId="5" r:id="rId5"/>
    <sheet name="SA-06 (1)" sheetId="6" r:id="rId6"/>
    <sheet name="TASA FALLA" sheetId="7" r:id="rId7"/>
    <sheet name="DATO" sheetId="8" r:id="rId8"/>
  </sheets>
  <externalReferences>
    <externalReference r:id="rId11"/>
    <externalReference r:id="rId12"/>
    <externalReference r:id="rId13"/>
  </externalReferences>
  <definedNames>
    <definedName name="_xlnm.Print_Area" localSheetId="6">'TASA FALLA'!$A$1:$T$127</definedName>
    <definedName name="DD" localSheetId="6">'TASA FALLA'!DD</definedName>
    <definedName name="DD">[0]!DD</definedName>
    <definedName name="DDD" localSheetId="6">'TASA FALLA'!DDD</definedName>
    <definedName name="DDD">[0]!DDD</definedName>
    <definedName name="DISTROCUYO" localSheetId="6">'TASA FALLA'!DISTROCUYO</definedName>
    <definedName name="DISTROCUYO">[0]!DISTROCUYO</definedName>
    <definedName name="f" localSheetId="6">'TASA FALLA'!f</definedName>
    <definedName name="f">[0]!f</definedName>
    <definedName name="ggggggggggggggg">#N/A</definedName>
    <definedName name="INICIO" localSheetId="6">'TASA FALLA'!INICIO</definedName>
    <definedName name="INICIO">[0]!INICIO</definedName>
    <definedName name="INICIOTI" localSheetId="6">'TASA FALLA'!INICIOTI</definedName>
    <definedName name="INICIOTI">[0]!INICIOTI</definedName>
    <definedName name="LINEAS" localSheetId="6">'TASA FALLA'!LINEAS</definedName>
    <definedName name="LINEAS">[0]!LINEAS</definedName>
    <definedName name="LINEASTI" localSheetId="6">'TASA FALLA'!LINEASTI</definedName>
    <definedName name="LINEASTI">[0]!LINEASTI</definedName>
    <definedName name="NAME_L" localSheetId="6">'TASA FALLA'!NAME_L</definedName>
    <definedName name="NAME_L">[0]!NAME_L</definedName>
    <definedName name="NAME_L_TI" localSheetId="6">'TASA FALLA'!NAME_L_TI</definedName>
    <definedName name="NAME_L_TI">[0]!NAME_L_TI</definedName>
    <definedName name="QITBA">#REF!</definedName>
    <definedName name="TRAN" localSheetId="6">'TASA FALLA'!TRAN</definedName>
    <definedName name="TRAN">[0]!TRAN</definedName>
    <definedName name="TRANSNEA1" localSheetId="6">'TASA FALLA'!TRANSNEA1</definedName>
    <definedName name="TRANSNEA1">[0]!TRANSNEA1</definedName>
    <definedName name="TRANSNEA2" localSheetId="6">'TASA FALLA'!TRANSNEA2</definedName>
    <definedName name="TRANSNEA2">[0]!TRANSNEA2</definedName>
    <definedName name="TRANSNEA3">#N/A</definedName>
    <definedName name="TRANSNEA4">#N/A</definedName>
    <definedName name="TRANSNEA5" localSheetId="6">'TASA FALLA'!TRANSNEA5</definedName>
    <definedName name="TRANSNEA5">[0]!TRANSNEA5</definedName>
    <definedName name="TRANSNEA6" localSheetId="6">'TASA FALLA'!TRANSNEA6</definedName>
    <definedName name="TRANSNEA6">[0]!TRANSNEA6</definedName>
    <definedName name="TRANSNOA" localSheetId="6">#N/A</definedName>
    <definedName name="TRANSNOA">[0]!TRANSNOA</definedName>
    <definedName name="TRANSPA" localSheetId="6">'TASA FALLA'!TRANSPA</definedName>
    <definedName name="TRANSPA">#N/A</definedName>
    <definedName name="x" localSheetId="6">'TASA FALLA'!x</definedName>
    <definedName name="x">[0]!x</definedName>
    <definedName name="XX" localSheetId="6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<sst xmlns="http://schemas.openxmlformats.org/spreadsheetml/2006/main" count="639" uniqueCount="228">
  <si>
    <t>SISTEMA DE TRANSPORTE DE ENERGÍA ELÉCTRICA POR DISTRIBUCIÓN TRONCAL</t>
  </si>
  <si>
    <t>TRANSNOA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</si>
  <si>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</si>
  <si>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</si>
  <si>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</si>
  <si>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</si>
  <si>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</si>
  <si>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</si>
  <si>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</si>
  <si>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2.-</t>
  </si>
  <si>
    <t>CONEXIÓN</t>
  </si>
  <si>
    <t>2.1.-</t>
  </si>
  <si>
    <t>Transformación</t>
  </si>
  <si>
    <t>2.1.1.-</t>
  </si>
  <si>
    <t>2.2.-</t>
  </si>
  <si>
    <t>Salidas</t>
  </si>
  <si>
    <t>2.2.1.-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</si>
  <si>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</si>
  <si>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</si>
  <si>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</si>
  <si>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</si>
  <si>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</si>
  <si>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</si>
  <si>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</si>
  <si>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</si>
  <si>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</si>
  <si>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</si>
  <si>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</si>
  <si>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</si>
  <si>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</si>
  <si>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</si>
  <si>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</si>
  <si>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</si>
  <si>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</si>
  <si>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</si>
  <si>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</si>
  <si>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</si>
  <si>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</si>
  <si>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</si>
  <si>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</si>
  <si>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</si>
  <si>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</si>
  <si>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</si>
  <si>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</si>
  <si>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</si>
  <si>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</si>
  <si>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</si>
  <si>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</si>
  <si>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</si>
  <si>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</si>
  <si>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</si>
  <si>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</si>
  <si>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</si>
  <si>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</si>
  <si>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</si>
  <si>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</si>
  <si>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SISTEMA DE TRANSPORTE DE ENERGÍA ELÉCTRICA POR DISTRIBUCIÓN TRONCAL -  TRANSNOA S.A.</t>
  </si>
  <si>
    <t>2.2.- Salidas</t>
  </si>
  <si>
    <t>2.2.1.- Equipamiento propio</t>
  </si>
  <si>
    <t xml:space="preserve">Salida en 132 kV o 66 kV = </t>
  </si>
  <si>
    <t xml:space="preserve">Salida en 33 kV </t>
  </si>
  <si>
    <t>Salida en 13,2 kV =</t>
  </si>
  <si>
    <t>Hs.
Indisp.</t>
  </si>
  <si>
    <t>K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</si>
  <si>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</si>
  <si>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</si>
  <si>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</si>
  <si>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</si>
  <si>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</si>
  <si>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</si>
  <si>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</si>
  <si>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</si>
  <si>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</si>
  <si>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</si>
  <si>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</si>
  <si>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</si>
  <si>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</si>
  <si>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</si>
  <si>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</si>
  <si>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</si>
  <si>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</si>
  <si>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</si>
  <si>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</si>
  <si>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</si>
  <si>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</si>
  <si>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</si>
  <si>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</si>
  <si>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</si>
  <si>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</si>
  <si>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</si>
  <si>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</si>
  <si>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</si>
  <si>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</si>
  <si>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</si>
  <si>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</si>
  <si>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</si>
  <si>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</si>
  <si>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</si>
  <si>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</si>
  <si>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</si>
  <si>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</si>
  <si>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</si>
  <si>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</si>
  <si>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</si>
  <si>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</si>
  <si>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</si>
  <si>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</si>
  <si>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</si>
  <si>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</si>
  <si>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</si>
  <si>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</si>
  <si>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</si>
  <si>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</si>
  <si>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MODELO L</t>
  </si>
  <si>
    <t>MODELO T</t>
  </si>
  <si>
    <t>MODELO S</t>
  </si>
  <si>
    <t>MODELO L EDESA</t>
  </si>
  <si>
    <t>MODELO T EDESA</t>
  </si>
  <si>
    <t>MODELO S EDESA</t>
  </si>
  <si>
    <t>MODELO VST</t>
  </si>
  <si>
    <t>TRANSNOA_CAUSAS_VST.XLS</t>
  </si>
  <si>
    <t>COL TSAL</t>
  </si>
  <si>
    <t>FILHTOTAL</t>
  </si>
  <si>
    <t>COLHTOTAL</t>
  </si>
  <si>
    <t>FILHCALC</t>
  </si>
  <si>
    <t>COLHCALC</t>
  </si>
  <si>
    <t>FILTRANSP</t>
  </si>
  <si>
    <t>COLTRANSP</t>
  </si>
  <si>
    <t>ID EQUIPO</t>
  </si>
  <si>
    <t>INDISP</t>
  </si>
  <si>
    <t xml:space="preserve"> ENTE NACIONAL REGULADOR </t>
  </si>
  <si>
    <t xml:space="preserve">       DE LA ELECTRICIDAD</t>
  </si>
  <si>
    <t>Total</t>
  </si>
  <si>
    <t>B14</t>
  </si>
  <si>
    <t>TRANSNOA_INDISPONIBILIDADES_LINEAS_TRANSNOA.XLS</t>
  </si>
  <si>
    <t>TRANSNOA_INDISPONIBILIDADES_TRAFOS_TRANSNOA.XLS</t>
  </si>
  <si>
    <t>TRANSNOA_INDISPONIBILIDADES_SALIDAS_TRANSNOA.XLS</t>
  </si>
  <si>
    <t>TRANSNOA_INDISPONIBILIDADES_LINEAS_EDESA.XLS</t>
  </si>
  <si>
    <t>TRANSNOA_INDISPONIBILIDADES_TRAFOS_EDESA.XLS</t>
  </si>
  <si>
    <t>TRANSNOA_INDISPONIBILIDADES_SALIDAS_EDESA.XLS</t>
  </si>
  <si>
    <t>MODELO L RIOJA</t>
  </si>
  <si>
    <t>TRANSNOA_INDISPONIBILIDADES_LINEAS_RIOJA.XLS</t>
  </si>
  <si>
    <t>Desde el 01 al 30 de junio de 2012</t>
  </si>
  <si>
    <t xml:space="preserve">CABRA CORRAL - EL CARRIL </t>
  </si>
  <si>
    <t>P</t>
  </si>
  <si>
    <t>SI</t>
  </si>
  <si>
    <t>METAN - TUCUMAN NORTE</t>
  </si>
  <si>
    <t>F</t>
  </si>
  <si>
    <t>C.H. PUEBLO VIEJO - VILLA QUINTEROS</t>
  </si>
  <si>
    <t>ANDALGALA - BELEN</t>
  </si>
  <si>
    <t>C.H. RIO HONDO - LA BANDA</t>
  </si>
  <si>
    <t>GUEMES SALTA - SALTA SUR</t>
  </si>
  <si>
    <t>SALTA ESTE - SALTA SUR</t>
  </si>
  <si>
    <t>SALTA SUR - SALTA NORTE</t>
  </si>
  <si>
    <t>HUACRA - LOS PIZARROS</t>
  </si>
  <si>
    <t>PAMPA GRANDE - TRANCAS</t>
  </si>
  <si>
    <t>PICHANAL - TARTAGAL</t>
  </si>
  <si>
    <t>SUNCHO CORRAL</t>
  </si>
  <si>
    <t>TRP1</t>
  </si>
  <si>
    <t>132/33/13,2</t>
  </si>
  <si>
    <t>0,000</t>
  </si>
  <si>
    <t>TRAFO 1</t>
  </si>
  <si>
    <t xml:space="preserve">HUACRA </t>
  </si>
  <si>
    <t>R</t>
  </si>
  <si>
    <t xml:space="preserve">JUJUY SUR </t>
  </si>
  <si>
    <t xml:space="preserve">PALPALA </t>
  </si>
  <si>
    <t xml:space="preserve">EL BRACHO </t>
  </si>
  <si>
    <t>TRAFO</t>
  </si>
  <si>
    <t>RP</t>
  </si>
  <si>
    <t>CEVIL POZO</t>
  </si>
  <si>
    <t>JUJUY ESTE</t>
  </si>
  <si>
    <t>BELEN</t>
  </si>
  <si>
    <t>TRAFO 2</t>
  </si>
  <si>
    <t>TINOGASTA</t>
  </si>
  <si>
    <t>ANDALGALA</t>
  </si>
  <si>
    <t>ACONQUIJA</t>
  </si>
  <si>
    <t xml:space="preserve">SARMIENTO </t>
  </si>
  <si>
    <t>132/13,2</t>
  </si>
  <si>
    <t xml:space="preserve">GÜEMES </t>
  </si>
  <si>
    <t>SALTA SUR</t>
  </si>
  <si>
    <t>TRAFO 4</t>
  </si>
  <si>
    <t xml:space="preserve">METAN </t>
  </si>
  <si>
    <t>AVELLANEDA</t>
  </si>
  <si>
    <t>LAS MADERAS</t>
  </si>
  <si>
    <t>TUCUMAN OESTE</t>
  </si>
  <si>
    <t>ALIMENTADOR A TINOGASTA NORTE</t>
  </si>
  <si>
    <t>ALIMENTADOR NORTE 1</t>
  </si>
  <si>
    <t>ALIMENTADOR A TINOGASTA SUR</t>
  </si>
  <si>
    <t>ALIMENTADOR A LINEA 1</t>
  </si>
  <si>
    <t>ALIMENTADOR A LINEA 2</t>
  </si>
  <si>
    <t>ALIMENTADOR A LONDRES</t>
  </si>
  <si>
    <t>ALIMENTADOR A LA PUNTILLA 3</t>
  </si>
  <si>
    <t>ALIMENTADOR A S. ROSA ANILLACO</t>
  </si>
  <si>
    <t>ALIMENTADOR FIAMBALA</t>
  </si>
  <si>
    <t>SALIDA VILLA VIL. CHAQUIAGO</t>
  </si>
  <si>
    <t>SALIDA ANDALGALA CENTRO</t>
  </si>
  <si>
    <t>MALLIHUACO</t>
  </si>
  <si>
    <t>SALIDA SAUJIL</t>
  </si>
  <si>
    <t>SALIDA MINERA</t>
  </si>
  <si>
    <t>RF</t>
  </si>
  <si>
    <t>BURRUYACU - ROSARIO DE LA FRONTERA 1</t>
  </si>
  <si>
    <t>SUNCHO CORRAL - QUIMILI</t>
  </si>
  <si>
    <t>VILLA QUINTEROS - ACONQUIJA - ANDALGADA</t>
  </si>
  <si>
    <t>P - PROGRAMADA  ;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</si>
  <si>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</si>
  <si>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  ; RF - RESTANTE FORZADA  ; R P - REDUCCION PROGRAMADA;  R - REDUCCION FORZADA  ; RR - REDUCCION  RESTANTE</t>
  </si>
  <si>
    <t>NO</t>
  </si>
  <si>
    <t>AGUILARES</t>
  </si>
  <si>
    <t>LULES</t>
  </si>
  <si>
    <t>FRIAS</t>
  </si>
  <si>
    <t>BRACHO</t>
  </si>
  <si>
    <t>SALIDA A LEALES</t>
  </si>
  <si>
    <t>SALIDA ALIMENT. C.D.</t>
  </si>
  <si>
    <t>P - PROGRAMADA  ; F - FORZADA  ; RP - REDUCCION PROGRAMADA;  R - REDUCCION FORZADA</t>
  </si>
  <si>
    <t xml:space="preserve">SISTEMA DE TRANSPORTE DE ENERGÍA ELÉCTRICA POR DISTRIBUCIÓN TRONCAL </t>
  </si>
  <si>
    <t>INDISPONIBILIDADES FORZADAS DE LÍNEAS - TASA DE FALLA</t>
  </si>
  <si>
    <t>y</t>
  </si>
  <si>
    <t xml:space="preserve">Longitud Total    </t>
  </si>
  <si>
    <t xml:space="preserve">Indisponibilidades Forzadas  </t>
  </si>
  <si>
    <t xml:space="preserve">TASA DE FALLA  </t>
  </si>
  <si>
    <t>XXX</t>
  </si>
  <si>
    <t xml:space="preserve">  Línea no computada en el mes</t>
  </si>
  <si>
    <t>TASA DE FALLA</t>
  </si>
  <si>
    <t>SALIDAS x AÑO / 100 km</t>
  </si>
  <si>
    <t>TOTAL DE PENALIZACIONES A APLICAR</t>
  </si>
  <si>
    <t>Valores remuneratorios según Acuerdo Instrumental del Acta Acuerdo UNIREN - TRANSNOA S.A. (Decreto PEN N° 1245/2007)</t>
  </si>
  <si>
    <t>Correspondiente al mes Junio de 2012</t>
  </si>
  <si>
    <t>ANEXO III al Memorándum  D.T.E.E.  N°  1052 / 2013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</si>
</sst>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d/m/yy\ h:mm"/>
    <numFmt numFmtId="218" formatCode="&quot;$&quot;\ #,##0.000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\a\.m\./\p\.m\."/>
    <numFmt numFmtId="227" formatCode="&quot;$&quot;\ #,##0.0;[Red]&quot;$&quot;\ \-#,##0.0"/>
  </numFmts>
  <fonts count="1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sz val="10"/>
      <color indexed="50"/>
      <name val="MS Sans Serif"/>
      <family val="2"/>
    </font>
    <font>
      <sz val="8"/>
      <name val="MS Sans Serif"/>
      <family val="2"/>
    </font>
    <font>
      <sz val="9"/>
      <name val="Times New Roman"/>
      <family val="1"/>
    </font>
    <font>
      <sz val="9"/>
      <name val="Wingdings"/>
      <family val="0"/>
    </font>
    <font>
      <sz val="8"/>
      <color indexed="9"/>
      <name val="Arial"/>
      <family val="2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i/>
      <u val="single"/>
      <sz val="14"/>
      <color indexed="9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sz val="9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1" fillId="21" borderId="1" applyNumberFormat="0" applyAlignment="0" applyProtection="0"/>
    <xf numFmtId="0" fontId="102" fillId="22" borderId="2" applyNumberFormat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0" applyNumberFormat="0" applyFill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6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9" fillId="21" borderId="6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7" applyNumberFormat="0" applyFill="0" applyAlignment="0" applyProtection="0"/>
    <xf numFmtId="0" fontId="105" fillId="0" borderId="8" applyNumberFormat="0" applyFill="0" applyAlignment="0" applyProtection="0"/>
    <xf numFmtId="0" fontId="114" fillId="0" borderId="9" applyNumberFormat="0" applyFill="0" applyAlignment="0" applyProtection="0"/>
  </cellStyleXfs>
  <cellXfs count="52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8" fontId="7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15" xfId="0" applyNumberFormat="1" applyFont="1" applyFill="1" applyBorder="1" applyAlignment="1" applyProtection="1">
      <alignment horizontal="center"/>
      <protection/>
    </xf>
    <xf numFmtId="4" fontId="10" fillId="0" borderId="15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171" fontId="7" fillId="0" borderId="16" xfId="0" applyNumberFormat="1" applyFont="1" applyFill="1" applyBorder="1" applyAlignment="1" applyProtection="1">
      <alignment horizontal="center"/>
      <protection/>
    </xf>
    <xf numFmtId="8" fontId="10" fillId="0" borderId="14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0" xfId="0" applyFont="1" applyAlignment="1">
      <alignment/>
    </xf>
    <xf numFmtId="0" fontId="25" fillId="0" borderId="1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 horizontal="center"/>
    </xf>
    <xf numFmtId="7" fontId="26" fillId="0" borderId="21" xfId="0" applyNumberFormat="1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 applyProtection="1" quotePrefix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25" fillId="0" borderId="0" xfId="0" applyFont="1" applyBorder="1" applyAlignment="1" quotePrefix="1">
      <alignment horizontal="centerContinuous"/>
    </xf>
    <xf numFmtId="0" fontId="0" fillId="0" borderId="20" xfId="0" applyFont="1" applyBorder="1" applyAlignment="1" applyProtection="1">
      <alignment horizontal="left"/>
      <protection/>
    </xf>
    <xf numFmtId="171" fontId="0" fillId="0" borderId="30" xfId="0" applyNumberFormat="1" applyFont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/>
    </xf>
    <xf numFmtId="171" fontId="29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7" fontId="32" fillId="0" borderId="26" xfId="0" applyNumberFormat="1" applyFont="1" applyFill="1" applyBorder="1" applyAlignment="1">
      <alignment horizontal="center"/>
    </xf>
    <xf numFmtId="0" fontId="30" fillId="0" borderId="27" xfId="0" applyFont="1" applyFill="1" applyBorder="1" applyAlignment="1" applyProtection="1">
      <alignment horizontal="center" vertical="center"/>
      <protection/>
    </xf>
    <xf numFmtId="0" fontId="30" fillId="0" borderId="27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 quotePrefix="1">
      <alignment horizontal="center" vertical="center" wrapText="1"/>
      <protection/>
    </xf>
    <xf numFmtId="0" fontId="30" fillId="0" borderId="27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30" fillId="0" borderId="28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6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10" xfId="0" applyFont="1" applyFill="1" applyBorder="1" applyAlignment="1">
      <alignment/>
    </xf>
    <xf numFmtId="7" fontId="37" fillId="0" borderId="0" xfId="0" applyNumberFormat="1" applyFont="1" applyBorder="1" applyAlignment="1">
      <alignment horizontal="right"/>
    </xf>
    <xf numFmtId="7" fontId="13" fillId="0" borderId="27" xfId="0" applyNumberFormat="1" applyFont="1" applyBorder="1" applyAlignment="1">
      <alignment horizontal="right"/>
    </xf>
    <xf numFmtId="0" fontId="38" fillId="33" borderId="27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>
      <alignment/>
    </xf>
    <xf numFmtId="168" fontId="39" fillId="33" borderId="11" xfId="0" applyNumberFormat="1" applyFont="1" applyFill="1" applyBorder="1" applyAlignment="1" applyProtection="1">
      <alignment horizontal="center"/>
      <protection/>
    </xf>
    <xf numFmtId="168" fontId="39" fillId="33" borderId="13" xfId="0" applyNumberFormat="1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171" fontId="39" fillId="33" borderId="11" xfId="0" applyNumberFormat="1" applyFont="1" applyFill="1" applyBorder="1" applyAlignment="1" applyProtection="1">
      <alignment horizontal="center"/>
      <protection/>
    </xf>
    <xf numFmtId="171" fontId="39" fillId="33" borderId="13" xfId="0" applyNumberFormat="1" applyFont="1" applyFill="1" applyBorder="1" applyAlignment="1" applyProtection="1">
      <alignment horizontal="center"/>
      <protection/>
    </xf>
    <xf numFmtId="0" fontId="10" fillId="0" borderId="3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7" fontId="10" fillId="0" borderId="14" xfId="0" applyNumberFormat="1" applyFont="1" applyBorder="1" applyAlignment="1">
      <alignment horizontal="right"/>
    </xf>
    <xf numFmtId="167" fontId="7" fillId="0" borderId="21" xfId="0" applyNumberFormat="1" applyFont="1" applyBorder="1" applyAlignment="1">
      <alignment horizontal="centerContinuous"/>
    </xf>
    <xf numFmtId="0" fontId="39" fillId="33" borderId="14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/>
    </xf>
    <xf numFmtId="2" fontId="46" fillId="34" borderId="11" xfId="0" applyNumberFormat="1" applyFont="1" applyFill="1" applyBorder="1" applyAlignment="1">
      <alignment horizontal="center"/>
    </xf>
    <xf numFmtId="2" fontId="46" fillId="34" borderId="13" xfId="0" applyNumberFormat="1" applyFont="1" applyFill="1" applyBorder="1" applyAlignment="1">
      <alignment horizontal="center"/>
    </xf>
    <xf numFmtId="0" fontId="47" fillId="35" borderId="27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/>
    </xf>
    <xf numFmtId="0" fontId="48" fillId="35" borderId="12" xfId="0" applyFont="1" applyFill="1" applyBorder="1" applyAlignment="1">
      <alignment/>
    </xf>
    <xf numFmtId="2" fontId="48" fillId="35" borderId="11" xfId="0" applyNumberFormat="1" applyFont="1" applyFill="1" applyBorder="1" applyAlignment="1" applyProtection="1">
      <alignment horizontal="center"/>
      <protection/>
    </xf>
    <xf numFmtId="2" fontId="48" fillId="35" borderId="13" xfId="0" applyNumberFormat="1" applyFont="1" applyFill="1" applyBorder="1" applyAlignment="1">
      <alignment horizontal="center"/>
    </xf>
    <xf numFmtId="0" fontId="42" fillId="36" borderId="20" xfId="0" applyFont="1" applyFill="1" applyBorder="1" applyAlignment="1" applyProtection="1">
      <alignment horizontal="centerContinuous" vertical="center" wrapText="1"/>
      <protection/>
    </xf>
    <xf numFmtId="0" fontId="43" fillId="36" borderId="28" xfId="0" applyFont="1" applyFill="1" applyBorder="1" applyAlignment="1">
      <alignment horizontal="centerContinuous"/>
    </xf>
    <xf numFmtId="0" fontId="42" fillId="36" borderId="21" xfId="0" applyFont="1" applyFill="1" applyBorder="1" applyAlignment="1">
      <alignment horizontal="centerContinuous" vertical="center"/>
    </xf>
    <xf numFmtId="168" fontId="41" fillId="36" borderId="32" xfId="0" applyNumberFormat="1" applyFont="1" applyFill="1" applyBorder="1" applyAlignment="1" applyProtection="1" quotePrefix="1">
      <alignment horizontal="center"/>
      <protection/>
    </xf>
    <xf numFmtId="168" fontId="41" fillId="36" borderId="33" xfId="0" applyNumberFormat="1" applyFont="1" applyFill="1" applyBorder="1" applyAlignment="1" applyProtection="1" quotePrefix="1">
      <alignment horizontal="center"/>
      <protection/>
    </xf>
    <xf numFmtId="4" fontId="41" fillId="36" borderId="15" xfId="0" applyNumberFormat="1" applyFont="1" applyFill="1" applyBorder="1" applyAlignment="1">
      <alignment horizontal="center"/>
    </xf>
    <xf numFmtId="168" fontId="41" fillId="36" borderId="34" xfId="0" applyNumberFormat="1" applyFont="1" applyFill="1" applyBorder="1" applyAlignment="1" applyProtection="1" quotePrefix="1">
      <alignment horizontal="center"/>
      <protection/>
    </xf>
    <xf numFmtId="168" fontId="41" fillId="36" borderId="35" xfId="0" applyNumberFormat="1" applyFont="1" applyFill="1" applyBorder="1" applyAlignment="1" applyProtection="1" quotePrefix="1">
      <alignment horizontal="center"/>
      <protection/>
    </xf>
    <xf numFmtId="4" fontId="41" fillId="36" borderId="16" xfId="0" applyNumberFormat="1" applyFont="1" applyFill="1" applyBorder="1" applyAlignment="1">
      <alignment horizontal="center"/>
    </xf>
    <xf numFmtId="0" fontId="41" fillId="36" borderId="36" xfId="0" applyFont="1" applyFill="1" applyBorder="1" applyAlignment="1">
      <alignment/>
    </xf>
    <xf numFmtId="0" fontId="41" fillId="36" borderId="37" xfId="0" applyFont="1" applyFill="1" applyBorder="1" applyAlignment="1">
      <alignment/>
    </xf>
    <xf numFmtId="2" fontId="46" fillId="34" borderId="27" xfId="0" applyNumberFormat="1" applyFont="1" applyFill="1" applyBorder="1" applyAlignment="1">
      <alignment horizontal="center"/>
    </xf>
    <xf numFmtId="2" fontId="48" fillId="35" borderId="27" xfId="0" applyNumberFormat="1" applyFont="1" applyFill="1" applyBorder="1" applyAlignment="1">
      <alignment horizontal="center"/>
    </xf>
    <xf numFmtId="0" fontId="49" fillId="37" borderId="20" xfId="0" applyFont="1" applyFill="1" applyBorder="1" applyAlignment="1">
      <alignment horizontal="centerContinuous" vertical="center" wrapText="1"/>
    </xf>
    <xf numFmtId="0" fontId="50" fillId="37" borderId="28" xfId="0" applyFont="1" applyFill="1" applyBorder="1" applyAlignment="1">
      <alignment horizontal="centerContinuous"/>
    </xf>
    <xf numFmtId="0" fontId="49" fillId="37" borderId="21" xfId="0" applyFont="1" applyFill="1" applyBorder="1" applyAlignment="1">
      <alignment horizontal="centerContinuous" vertical="center"/>
    </xf>
    <xf numFmtId="0" fontId="51" fillId="37" borderId="38" xfId="0" applyFont="1" applyFill="1" applyBorder="1" applyAlignment="1">
      <alignment horizontal="left"/>
    </xf>
    <xf numFmtId="0" fontId="51" fillId="37" borderId="39" xfId="0" applyFont="1" applyFill="1" applyBorder="1" applyAlignment="1">
      <alignment/>
    </xf>
    <xf numFmtId="4" fontId="51" fillId="37" borderId="32" xfId="0" applyNumberFormat="1" applyFont="1" applyFill="1" applyBorder="1" applyAlignment="1" applyProtection="1">
      <alignment horizontal="center"/>
      <protection/>
    </xf>
    <xf numFmtId="4" fontId="51" fillId="37" borderId="34" xfId="0" applyNumberFormat="1" applyFont="1" applyFill="1" applyBorder="1" applyAlignment="1">
      <alignment horizontal="center"/>
    </xf>
    <xf numFmtId="0" fontId="51" fillId="37" borderId="40" xfId="0" applyFont="1" applyFill="1" applyBorder="1" applyAlignment="1">
      <alignment horizontal="left"/>
    </xf>
    <xf numFmtId="0" fontId="51" fillId="37" borderId="41" xfId="0" applyFont="1" applyFill="1" applyBorder="1" applyAlignment="1">
      <alignment/>
    </xf>
    <xf numFmtId="168" fontId="51" fillId="37" borderId="42" xfId="0" applyNumberFormat="1" applyFont="1" applyFill="1" applyBorder="1" applyAlignment="1" applyProtection="1" quotePrefix="1">
      <alignment horizontal="center"/>
      <protection/>
    </xf>
    <xf numFmtId="4" fontId="51" fillId="37" borderId="43" xfId="0" applyNumberFormat="1" applyFont="1" applyFill="1" applyBorder="1" applyAlignment="1">
      <alignment horizontal="center"/>
    </xf>
    <xf numFmtId="0" fontId="51" fillId="37" borderId="44" xfId="0" applyFont="1" applyFill="1" applyBorder="1" applyAlignment="1">
      <alignment horizontal="left"/>
    </xf>
    <xf numFmtId="0" fontId="51" fillId="37" borderId="45" xfId="0" applyFont="1" applyFill="1" applyBorder="1" applyAlignment="1">
      <alignment/>
    </xf>
    <xf numFmtId="4" fontId="51" fillId="37" borderId="46" xfId="0" applyNumberFormat="1" applyFont="1" applyFill="1" applyBorder="1" applyAlignment="1">
      <alignment horizontal="center"/>
    </xf>
    <xf numFmtId="4" fontId="51" fillId="37" borderId="47" xfId="0" applyNumberFormat="1" applyFont="1" applyFill="1" applyBorder="1" applyAlignment="1">
      <alignment horizontal="center"/>
    </xf>
    <xf numFmtId="0" fontId="49" fillId="38" borderId="27" xfId="0" applyFont="1" applyFill="1" applyBorder="1" applyAlignment="1">
      <alignment horizontal="center" vertical="center" wrapText="1"/>
    </xf>
    <xf numFmtId="0" fontId="51" fillId="38" borderId="14" xfId="0" applyFont="1" applyFill="1" applyBorder="1" applyAlignment="1">
      <alignment horizontal="left"/>
    </xf>
    <xf numFmtId="0" fontId="51" fillId="38" borderId="12" xfId="0" applyFont="1" applyFill="1" applyBorder="1" applyAlignment="1">
      <alignment/>
    </xf>
    <xf numFmtId="4" fontId="51" fillId="38" borderId="11" xfId="0" applyNumberFormat="1" applyFont="1" applyFill="1" applyBorder="1" applyAlignment="1">
      <alignment horizontal="center"/>
    </xf>
    <xf numFmtId="4" fontId="51" fillId="38" borderId="13" xfId="0" applyNumberFormat="1" applyFont="1" applyFill="1" applyBorder="1" applyAlignment="1">
      <alignment horizontal="center"/>
    </xf>
    <xf numFmtId="0" fontId="53" fillId="39" borderId="27" xfId="0" applyFont="1" applyFill="1" applyBorder="1" applyAlignment="1">
      <alignment horizontal="center" vertical="center" wrapText="1"/>
    </xf>
    <xf numFmtId="0" fontId="54" fillId="39" borderId="14" xfId="0" applyFont="1" applyFill="1" applyBorder="1" applyAlignment="1">
      <alignment horizontal="left"/>
    </xf>
    <xf numFmtId="0" fontId="54" fillId="39" borderId="12" xfId="0" applyFont="1" applyFill="1" applyBorder="1" applyAlignment="1">
      <alignment/>
    </xf>
    <xf numFmtId="4" fontId="54" fillId="39" borderId="11" xfId="0" applyNumberFormat="1" applyFont="1" applyFill="1" applyBorder="1" applyAlignment="1">
      <alignment horizontal="center"/>
    </xf>
    <xf numFmtId="4" fontId="54" fillId="39" borderId="13" xfId="0" applyNumberFormat="1" applyFont="1" applyFill="1" applyBorder="1" applyAlignment="1">
      <alignment horizontal="center"/>
    </xf>
    <xf numFmtId="2" fontId="41" fillId="36" borderId="27" xfId="0" applyNumberFormat="1" applyFont="1" applyFill="1" applyBorder="1" applyAlignment="1">
      <alignment horizontal="center"/>
    </xf>
    <xf numFmtId="2" fontId="51" fillId="37" borderId="27" xfId="0" applyNumberFormat="1" applyFont="1" applyFill="1" applyBorder="1" applyAlignment="1">
      <alignment horizontal="center"/>
    </xf>
    <xf numFmtId="2" fontId="51" fillId="38" borderId="27" xfId="0" applyNumberFormat="1" applyFont="1" applyFill="1" applyBorder="1" applyAlignment="1">
      <alignment horizontal="center"/>
    </xf>
    <xf numFmtId="2" fontId="54" fillId="39" borderId="27" xfId="0" applyNumberFormat="1" applyFont="1" applyFill="1" applyBorder="1" applyAlignment="1">
      <alignment horizontal="center"/>
    </xf>
    <xf numFmtId="0" fontId="52" fillId="40" borderId="13" xfId="0" applyFont="1" applyFill="1" applyBorder="1" applyAlignment="1">
      <alignment/>
    </xf>
    <xf numFmtId="0" fontId="49" fillId="40" borderId="27" xfId="0" applyFont="1" applyFill="1" applyBorder="1" applyAlignment="1" applyProtection="1">
      <alignment horizontal="center" vertical="center"/>
      <protection/>
    </xf>
    <xf numFmtId="0" fontId="52" fillId="40" borderId="14" xfId="0" applyFont="1" applyFill="1" applyBorder="1" applyAlignment="1">
      <alignment/>
    </xf>
    <xf numFmtId="0" fontId="52" fillId="40" borderId="11" xfId="0" applyFont="1" applyFill="1" applyBorder="1" applyAlignment="1">
      <alignment/>
    </xf>
    <xf numFmtId="4" fontId="52" fillId="40" borderId="11" xfId="0" applyNumberFormat="1" applyFont="1" applyFill="1" applyBorder="1" applyAlignment="1" applyProtection="1">
      <alignment horizontal="center"/>
      <protection/>
    </xf>
    <xf numFmtId="0" fontId="49" fillId="34" borderId="27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2" fontId="51" fillId="34" borderId="11" xfId="0" applyNumberFormat="1" applyFont="1" applyFill="1" applyBorder="1" applyAlignment="1">
      <alignment horizontal="center"/>
    </xf>
    <xf numFmtId="0" fontId="51" fillId="34" borderId="13" xfId="0" applyFont="1" applyFill="1" applyBorder="1" applyAlignment="1">
      <alignment/>
    </xf>
    <xf numFmtId="7" fontId="51" fillId="34" borderId="27" xfId="0" applyNumberFormat="1" applyFont="1" applyFill="1" applyBorder="1" applyAlignment="1">
      <alignment horizontal="center"/>
    </xf>
    <xf numFmtId="0" fontId="49" fillId="41" borderId="27" xfId="0" applyFont="1" applyFill="1" applyBorder="1" applyAlignment="1">
      <alignment horizontal="center" vertical="center" wrapText="1"/>
    </xf>
    <xf numFmtId="0" fontId="51" fillId="41" borderId="14" xfId="0" applyFont="1" applyFill="1" applyBorder="1" applyAlignment="1">
      <alignment/>
    </xf>
    <xf numFmtId="0" fontId="51" fillId="41" borderId="11" xfId="0" applyFont="1" applyFill="1" applyBorder="1" applyAlignment="1">
      <alignment/>
    </xf>
    <xf numFmtId="2" fontId="51" fillId="41" borderId="11" xfId="0" applyNumberFormat="1" applyFont="1" applyFill="1" applyBorder="1" applyAlignment="1">
      <alignment horizontal="center"/>
    </xf>
    <xf numFmtId="0" fontId="51" fillId="41" borderId="13" xfId="0" applyFont="1" applyFill="1" applyBorder="1" applyAlignment="1">
      <alignment/>
    </xf>
    <xf numFmtId="7" fontId="52" fillId="41" borderId="27" xfId="0" applyNumberFormat="1" applyFont="1" applyFill="1" applyBorder="1" applyAlignment="1">
      <alignment horizontal="center"/>
    </xf>
    <xf numFmtId="0" fontId="41" fillId="36" borderId="48" xfId="0" applyFont="1" applyFill="1" applyBorder="1" applyAlignment="1">
      <alignment/>
    </xf>
    <xf numFmtId="0" fontId="41" fillId="36" borderId="34" xfId="0" applyFont="1" applyFill="1" applyBorder="1" applyAlignment="1">
      <alignment/>
    </xf>
    <xf numFmtId="0" fontId="41" fillId="36" borderId="47" xfId="0" applyFont="1" applyFill="1" applyBorder="1" applyAlignment="1">
      <alignment/>
    </xf>
    <xf numFmtId="7" fontId="41" fillId="36" borderId="27" xfId="0" applyNumberFormat="1" applyFont="1" applyFill="1" applyBorder="1" applyAlignment="1">
      <alignment horizontal="center"/>
    </xf>
    <xf numFmtId="0" fontId="41" fillId="36" borderId="15" xfId="0" applyFont="1" applyFill="1" applyBorder="1" applyAlignment="1">
      <alignment/>
    </xf>
    <xf numFmtId="168" fontId="41" fillId="36" borderId="46" xfId="0" applyNumberFormat="1" applyFont="1" applyFill="1" applyBorder="1" applyAlignment="1" applyProtection="1" quotePrefix="1">
      <alignment horizontal="center"/>
      <protection/>
    </xf>
    <xf numFmtId="0" fontId="41" fillId="36" borderId="38" xfId="0" applyFont="1" applyFill="1" applyBorder="1" applyAlignment="1">
      <alignment horizontal="center"/>
    </xf>
    <xf numFmtId="0" fontId="41" fillId="36" borderId="32" xfId="0" applyFont="1" applyFill="1" applyBorder="1" applyAlignment="1">
      <alignment horizontal="center"/>
    </xf>
    <xf numFmtId="0" fontId="53" fillId="37" borderId="20" xfId="0" applyFont="1" applyFill="1" applyBorder="1" applyAlignment="1" applyProtection="1">
      <alignment horizontal="centerContinuous" vertical="center" wrapText="1"/>
      <protection/>
    </xf>
    <xf numFmtId="0" fontId="53" fillId="37" borderId="21" xfId="0" applyFont="1" applyFill="1" applyBorder="1" applyAlignment="1">
      <alignment horizontal="centerContinuous" vertical="center"/>
    </xf>
    <xf numFmtId="0" fontId="54" fillId="37" borderId="38" xfId="0" applyFont="1" applyFill="1" applyBorder="1" applyAlignment="1">
      <alignment horizontal="center"/>
    </xf>
    <xf numFmtId="0" fontId="54" fillId="37" borderId="48" xfId="0" applyFont="1" applyFill="1" applyBorder="1" applyAlignment="1">
      <alignment/>
    </xf>
    <xf numFmtId="0" fontId="54" fillId="37" borderId="32" xfId="0" applyFont="1" applyFill="1" applyBorder="1" applyAlignment="1">
      <alignment horizontal="center"/>
    </xf>
    <xf numFmtId="0" fontId="54" fillId="37" borderId="15" xfId="0" applyFont="1" applyFill="1" applyBorder="1" applyAlignment="1">
      <alignment/>
    </xf>
    <xf numFmtId="168" fontId="54" fillId="37" borderId="32" xfId="0" applyNumberFormat="1" applyFont="1" applyFill="1" applyBorder="1" applyAlignment="1" applyProtection="1" quotePrefix="1">
      <alignment horizontal="center"/>
      <protection/>
    </xf>
    <xf numFmtId="168" fontId="54" fillId="37" borderId="46" xfId="0" applyNumberFormat="1" applyFont="1" applyFill="1" applyBorder="1" applyAlignment="1" applyProtection="1" quotePrefix="1">
      <alignment horizontal="center"/>
      <protection/>
    </xf>
    <xf numFmtId="0" fontId="54" fillId="37" borderId="34" xfId="0" applyFont="1" applyFill="1" applyBorder="1" applyAlignment="1">
      <alignment/>
    </xf>
    <xf numFmtId="0" fontId="54" fillId="37" borderId="47" xfId="0" applyFont="1" applyFill="1" applyBorder="1" applyAlignment="1">
      <alignment/>
    </xf>
    <xf numFmtId="7" fontId="54" fillId="37" borderId="27" xfId="0" applyNumberFormat="1" applyFont="1" applyFill="1" applyBorder="1" applyAlignment="1">
      <alignment horizontal="center"/>
    </xf>
    <xf numFmtId="0" fontId="53" fillId="38" borderId="27" xfId="0" applyFont="1" applyFill="1" applyBorder="1" applyAlignment="1">
      <alignment horizontal="center" vertical="center" wrapText="1"/>
    </xf>
    <xf numFmtId="0" fontId="54" fillId="38" borderId="14" xfId="0" applyFont="1" applyFill="1" applyBorder="1" applyAlignment="1">
      <alignment/>
    </xf>
    <xf numFmtId="0" fontId="54" fillId="38" borderId="11" xfId="0" applyFont="1" applyFill="1" applyBorder="1" applyAlignment="1">
      <alignment/>
    </xf>
    <xf numFmtId="168" fontId="54" fillId="38" borderId="11" xfId="0" applyNumberFormat="1" applyFont="1" applyFill="1" applyBorder="1" applyAlignment="1" applyProtection="1" quotePrefix="1">
      <alignment horizontal="center"/>
      <protection/>
    </xf>
    <xf numFmtId="0" fontId="54" fillId="38" borderId="13" xfId="0" applyFont="1" applyFill="1" applyBorder="1" applyAlignment="1">
      <alignment/>
    </xf>
    <xf numFmtId="7" fontId="54" fillId="38" borderId="27" xfId="0" applyNumberFormat="1" applyFont="1" applyFill="1" applyBorder="1" applyAlignment="1">
      <alignment horizontal="center"/>
    </xf>
    <xf numFmtId="0" fontId="55" fillId="42" borderId="27" xfId="0" applyFont="1" applyFill="1" applyBorder="1" applyAlignment="1">
      <alignment horizontal="center" vertical="center" wrapText="1"/>
    </xf>
    <xf numFmtId="0" fontId="56" fillId="42" borderId="14" xfId="0" applyFont="1" applyFill="1" applyBorder="1" applyAlignment="1">
      <alignment/>
    </xf>
    <xf numFmtId="0" fontId="56" fillId="42" borderId="11" xfId="0" applyFont="1" applyFill="1" applyBorder="1" applyAlignment="1">
      <alignment/>
    </xf>
    <xf numFmtId="168" fontId="56" fillId="42" borderId="11" xfId="0" applyNumberFormat="1" applyFont="1" applyFill="1" applyBorder="1" applyAlignment="1" applyProtection="1" quotePrefix="1">
      <alignment horizontal="center"/>
      <protection/>
    </xf>
    <xf numFmtId="0" fontId="56" fillId="42" borderId="13" xfId="0" applyFont="1" applyFill="1" applyBorder="1" applyAlignment="1">
      <alignment/>
    </xf>
    <xf numFmtId="7" fontId="56" fillId="42" borderId="27" xfId="0" applyNumberFormat="1" applyFont="1" applyFill="1" applyBorder="1" applyAlignment="1">
      <alignment horizontal="center"/>
    </xf>
    <xf numFmtId="0" fontId="40" fillId="33" borderId="27" xfId="0" applyFont="1" applyFill="1" applyBorder="1" applyAlignment="1" applyProtection="1">
      <alignment horizontal="center" vertical="center"/>
      <protection/>
    </xf>
    <xf numFmtId="0" fontId="49" fillId="43" borderId="27" xfId="0" applyFont="1" applyFill="1" applyBorder="1" applyAlignment="1">
      <alignment horizontal="center" vertical="center" wrapText="1"/>
    </xf>
    <xf numFmtId="0" fontId="57" fillId="44" borderId="20" xfId="0" applyFont="1" applyFill="1" applyBorder="1" applyAlignment="1" applyProtection="1">
      <alignment horizontal="centerContinuous" vertical="center" wrapText="1"/>
      <protection/>
    </xf>
    <xf numFmtId="0" fontId="57" fillId="44" borderId="21" xfId="0" applyFont="1" applyFill="1" applyBorder="1" applyAlignment="1">
      <alignment horizontal="centerContinuous" vertical="center"/>
    </xf>
    <xf numFmtId="2" fontId="51" fillId="43" borderId="27" xfId="0" applyNumberFormat="1" applyFont="1" applyFill="1" applyBorder="1" applyAlignment="1">
      <alignment horizontal="center"/>
    </xf>
    <xf numFmtId="2" fontId="58" fillId="44" borderId="27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20" xfId="0" applyNumberFormat="1" applyFont="1" applyBorder="1" applyAlignment="1">
      <alignment horizontal="centerContinuous"/>
    </xf>
    <xf numFmtId="0" fontId="59" fillId="0" borderId="0" xfId="0" applyFont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5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/>
      <protection locked="0"/>
    </xf>
    <xf numFmtId="0" fontId="12" fillId="0" borderId="51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39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 quotePrefix="1">
      <alignment horizontal="center"/>
      <protection locked="0"/>
    </xf>
    <xf numFmtId="168" fontId="7" fillId="0" borderId="13" xfId="0" applyNumberFormat="1" applyFont="1" applyBorder="1" applyAlignment="1" applyProtection="1" quotePrefix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9" fillId="0" borderId="16" xfId="0" applyNumberFormat="1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Continuous"/>
      <protection locked="0"/>
    </xf>
    <xf numFmtId="0" fontId="7" fillId="0" borderId="4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165" fontId="7" fillId="0" borderId="12" xfId="0" applyNumberFormat="1" applyFont="1" applyBorder="1" applyAlignment="1" applyProtection="1" quotePrefix="1">
      <alignment horizontal="center"/>
      <protection locked="0"/>
    </xf>
    <xf numFmtId="2" fontId="7" fillId="0" borderId="12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 quotePrefix="1">
      <alignment horizontal="center"/>
      <protection locked="0"/>
    </xf>
    <xf numFmtId="0" fontId="12" fillId="0" borderId="49" xfId="0" applyFont="1" applyFill="1" applyBorder="1" applyAlignment="1" applyProtection="1" quotePrefix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172" fontId="9" fillId="0" borderId="11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2" fillId="0" borderId="51" xfId="0" applyFont="1" applyFill="1" applyBorder="1" applyAlignment="1" applyProtection="1">
      <alignment horizontal="center"/>
      <protection locked="0"/>
    </xf>
    <xf numFmtId="172" fontId="9" fillId="0" borderId="13" xfId="0" applyNumberFormat="1" applyFont="1" applyFill="1" applyBorder="1" applyAlignment="1" applyProtection="1">
      <alignment horizontal="center"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71" fontId="7" fillId="0" borderId="16" xfId="0" applyNumberFormat="1" applyFont="1" applyFill="1" applyBorder="1" applyAlignment="1" applyProtection="1">
      <alignment horizontal="center"/>
      <protection locked="0"/>
    </xf>
    <xf numFmtId="22" fontId="7" fillId="0" borderId="46" xfId="0" applyNumberFormat="1" applyFont="1" applyFill="1" applyBorder="1" applyAlignment="1" applyProtection="1">
      <alignment horizontal="center"/>
      <protection locked="0"/>
    </xf>
    <xf numFmtId="168" fontId="7" fillId="0" borderId="15" xfId="0" applyNumberFormat="1" applyFont="1" applyFill="1" applyBorder="1" applyAlignment="1" applyProtection="1">
      <alignment horizontal="center"/>
      <protection locked="0"/>
    </xf>
    <xf numFmtId="164" fontId="44" fillId="33" borderId="14" xfId="0" applyNumberFormat="1" applyFont="1" applyFill="1" applyBorder="1" applyAlignment="1" applyProtection="1">
      <alignment horizontal="center"/>
      <protection locked="0"/>
    </xf>
    <xf numFmtId="2" fontId="51" fillId="43" borderId="14" xfId="0" applyNumberFormat="1" applyFont="1" applyFill="1" applyBorder="1" applyAlignment="1" applyProtection="1">
      <alignment horizontal="center"/>
      <protection locked="0"/>
    </xf>
    <xf numFmtId="168" fontId="58" fillId="44" borderId="38" xfId="0" applyNumberFormat="1" applyFont="1" applyFill="1" applyBorder="1" applyAlignment="1" applyProtection="1" quotePrefix="1">
      <alignment horizontal="center"/>
      <protection locked="0"/>
    </xf>
    <xf numFmtId="168" fontId="58" fillId="44" borderId="44" xfId="0" applyNumberFormat="1" applyFont="1" applyFill="1" applyBorder="1" applyAlignment="1" applyProtection="1" quotePrefix="1">
      <alignment horizontal="center"/>
      <protection locked="0"/>
    </xf>
    <xf numFmtId="168" fontId="51" fillId="38" borderId="14" xfId="0" applyNumberFormat="1" applyFont="1" applyFill="1" applyBorder="1" applyAlignment="1" applyProtection="1" quotePrefix="1">
      <alignment horizontal="center"/>
      <protection locked="0"/>
    </xf>
    <xf numFmtId="168" fontId="7" fillId="0" borderId="14" xfId="0" applyNumberFormat="1" applyFont="1" applyFill="1" applyBorder="1" applyAlignment="1" applyProtection="1">
      <alignment horizontal="center"/>
      <protection locked="0"/>
    </xf>
    <xf numFmtId="164" fontId="44" fillId="33" borderId="11" xfId="0" applyNumberFormat="1" applyFont="1" applyFill="1" applyBorder="1" applyAlignment="1" applyProtection="1">
      <alignment horizontal="center"/>
      <protection locked="0"/>
    </xf>
    <xf numFmtId="2" fontId="51" fillId="43" borderId="11" xfId="0" applyNumberFormat="1" applyFont="1" applyFill="1" applyBorder="1" applyAlignment="1" applyProtection="1">
      <alignment horizontal="center"/>
      <protection locked="0"/>
    </xf>
    <xf numFmtId="168" fontId="58" fillId="44" borderId="32" xfId="0" applyNumberFormat="1" applyFont="1" applyFill="1" applyBorder="1" applyAlignment="1" applyProtection="1" quotePrefix="1">
      <alignment horizontal="center"/>
      <protection locked="0"/>
    </xf>
    <xf numFmtId="168" fontId="58" fillId="44" borderId="46" xfId="0" applyNumberFormat="1" applyFont="1" applyFill="1" applyBorder="1" applyAlignment="1" applyProtection="1" quotePrefix="1">
      <alignment horizontal="center"/>
      <protection locked="0"/>
    </xf>
    <xf numFmtId="168" fontId="51" fillId="38" borderId="11" xfId="0" applyNumberFormat="1" applyFont="1" applyFill="1" applyBorder="1" applyAlignment="1" applyProtection="1" quotePrefix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164" fontId="44" fillId="33" borderId="13" xfId="0" applyNumberFormat="1" applyFont="1" applyFill="1" applyBorder="1" applyAlignment="1" applyProtection="1">
      <alignment horizontal="center"/>
      <protection locked="0"/>
    </xf>
    <xf numFmtId="2" fontId="51" fillId="43" borderId="13" xfId="0" applyNumberFormat="1" applyFont="1" applyFill="1" applyBorder="1" applyAlignment="1" applyProtection="1">
      <alignment horizontal="center"/>
      <protection locked="0"/>
    </xf>
    <xf numFmtId="168" fontId="58" fillId="44" borderId="34" xfId="0" applyNumberFormat="1" applyFont="1" applyFill="1" applyBorder="1" applyAlignment="1" applyProtection="1" quotePrefix="1">
      <alignment horizontal="center"/>
      <protection locked="0"/>
    </xf>
    <xf numFmtId="168" fontId="58" fillId="44" borderId="47" xfId="0" applyNumberFormat="1" applyFont="1" applyFill="1" applyBorder="1" applyAlignment="1" applyProtection="1" quotePrefix="1">
      <alignment horizontal="center"/>
      <protection locked="0"/>
    </xf>
    <xf numFmtId="168" fontId="51" fillId="38" borderId="13" xfId="0" applyNumberFormat="1" applyFont="1" applyFill="1" applyBorder="1" applyAlignment="1" applyProtection="1" quotePrefix="1">
      <alignment horizontal="center"/>
      <protection locked="0"/>
    </xf>
    <xf numFmtId="168" fontId="7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62" fillId="0" borderId="0" xfId="54" applyNumberFormat="1" applyFont="1" applyBorder="1" applyAlignment="1">
      <alignment horizontal="left"/>
      <protection/>
    </xf>
    <xf numFmtId="0" fontId="0" fillId="33" borderId="41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Border="1" applyAlignment="1" quotePrefix="1">
      <alignment/>
    </xf>
    <xf numFmtId="0" fontId="0" fillId="45" borderId="0" xfId="0" applyFont="1" applyFill="1" applyAlignment="1">
      <alignment/>
    </xf>
    <xf numFmtId="0" fontId="0" fillId="45" borderId="0" xfId="0" applyNumberFormat="1" applyFont="1" applyFill="1" applyAlignment="1">
      <alignment/>
    </xf>
    <xf numFmtId="0" fontId="0" fillId="45" borderId="0" xfId="54" applyFont="1" applyFill="1" applyAlignment="1">
      <alignment/>
      <protection/>
    </xf>
    <xf numFmtId="0" fontId="43" fillId="0" borderId="41" xfId="0" applyFont="1" applyBorder="1" applyAlignment="1">
      <alignment/>
    </xf>
    <xf numFmtId="0" fontId="43" fillId="0" borderId="41" xfId="0" applyFont="1" applyFill="1" applyBorder="1" applyAlignment="1">
      <alignment/>
    </xf>
    <xf numFmtId="0" fontId="43" fillId="0" borderId="42" xfId="0" applyFont="1" applyBorder="1" applyAlignment="1">
      <alignment/>
    </xf>
    <xf numFmtId="0" fontId="63" fillId="0" borderId="17" xfId="0" applyFont="1" applyBorder="1" applyAlignment="1">
      <alignment/>
    </xf>
    <xf numFmtId="0" fontId="64" fillId="0" borderId="41" xfId="0" applyFont="1" applyFill="1" applyBorder="1" applyAlignment="1">
      <alignment/>
    </xf>
    <xf numFmtId="0" fontId="64" fillId="0" borderId="4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49" xfId="0" applyFont="1" applyBorder="1" applyAlignment="1" applyProtection="1">
      <alignment/>
      <protection locked="0"/>
    </xf>
    <xf numFmtId="0" fontId="7" fillId="0" borderId="51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left"/>
      <protection/>
    </xf>
    <xf numFmtId="0" fontId="65" fillId="33" borderId="41" xfId="0" applyFont="1" applyFill="1" applyBorder="1" applyAlignment="1">
      <alignment horizontal="center"/>
    </xf>
    <xf numFmtId="0" fontId="65" fillId="0" borderId="41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165" fontId="7" fillId="0" borderId="12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168" fontId="39" fillId="33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 quotePrefix="1">
      <alignment horizontal="center"/>
      <protection locked="0"/>
    </xf>
    <xf numFmtId="4" fontId="52" fillId="40" borderId="12" xfId="0" applyNumberFormat="1" applyFont="1" applyFill="1" applyBorder="1" applyAlignment="1" applyProtection="1">
      <alignment horizontal="center"/>
      <protection/>
    </xf>
    <xf numFmtId="2" fontId="51" fillId="34" borderId="12" xfId="0" applyNumberFormat="1" applyFont="1" applyFill="1" applyBorder="1" applyAlignment="1">
      <alignment horizontal="center"/>
    </xf>
    <xf numFmtId="2" fontId="51" fillId="41" borderId="12" xfId="0" applyNumberFormat="1" applyFont="1" applyFill="1" applyBorder="1" applyAlignment="1">
      <alignment horizontal="center"/>
    </xf>
    <xf numFmtId="168" fontId="41" fillId="36" borderId="39" xfId="0" applyNumberFormat="1" applyFont="1" applyFill="1" applyBorder="1" applyAlignment="1" applyProtection="1" quotePrefix="1">
      <alignment horizontal="center"/>
      <protection/>
    </xf>
    <xf numFmtId="168" fontId="41" fillId="36" borderId="45" xfId="0" applyNumberFormat="1" applyFont="1" applyFill="1" applyBorder="1" applyAlignment="1" applyProtection="1" quotePrefix="1">
      <alignment horizontal="center"/>
      <protection/>
    </xf>
    <xf numFmtId="168" fontId="54" fillId="37" borderId="39" xfId="0" applyNumberFormat="1" applyFont="1" applyFill="1" applyBorder="1" applyAlignment="1" applyProtection="1" quotePrefix="1">
      <alignment horizontal="center"/>
      <protection/>
    </xf>
    <xf numFmtId="168" fontId="54" fillId="37" borderId="45" xfId="0" applyNumberFormat="1" applyFont="1" applyFill="1" applyBorder="1" applyAlignment="1" applyProtection="1" quotePrefix="1">
      <alignment horizontal="center"/>
      <protection/>
    </xf>
    <xf numFmtId="168" fontId="54" fillId="38" borderId="12" xfId="0" applyNumberFormat="1" applyFont="1" applyFill="1" applyBorder="1" applyAlignment="1" applyProtection="1" quotePrefix="1">
      <alignment horizontal="center"/>
      <protection/>
    </xf>
    <xf numFmtId="168" fontId="56" fillId="42" borderId="12" xfId="0" applyNumberFormat="1" applyFont="1" applyFill="1" applyBorder="1" applyAlignment="1" applyProtection="1" quotePrefix="1">
      <alignment horizontal="center"/>
      <protection/>
    </xf>
    <xf numFmtId="168" fontId="7" fillId="0" borderId="12" xfId="0" applyNumberFormat="1" applyFont="1" applyFill="1" applyBorder="1" applyAlignment="1" applyProtection="1">
      <alignment horizontal="center"/>
      <protection/>
    </xf>
    <xf numFmtId="4" fontId="10" fillId="0" borderId="12" xfId="0" applyNumberFormat="1" applyFont="1" applyFill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6" fillId="0" borderId="29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69" fillId="0" borderId="0" xfId="0" applyFont="1" applyAlignment="1">
      <alignment horizontal="right" vertical="top"/>
    </xf>
    <xf numFmtId="0" fontId="70" fillId="0" borderId="0" xfId="0" applyFont="1" applyAlignment="1">
      <alignment/>
    </xf>
    <xf numFmtId="14" fontId="71" fillId="0" borderId="0" xfId="0" applyNumberFormat="1" applyFont="1" applyAlignment="1">
      <alignment horizontal="centerContinuous"/>
    </xf>
    <xf numFmtId="0" fontId="70" fillId="0" borderId="0" xfId="0" applyFont="1" applyAlignment="1">
      <alignment horizontal="centerContinuous"/>
    </xf>
    <xf numFmtId="0" fontId="72" fillId="0" borderId="0" xfId="0" applyFont="1" applyBorder="1" applyAlignment="1">
      <alignment horizontal="centerContinuous"/>
    </xf>
    <xf numFmtId="0" fontId="73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4" fillId="0" borderId="0" xfId="0" applyFont="1" applyAlignment="1">
      <alignment horizontal="centerContinuous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7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76" fillId="0" borderId="19" xfId="0" applyFont="1" applyBorder="1" applyAlignment="1">
      <alignment horizontal="centerContinuous"/>
    </xf>
    <xf numFmtId="0" fontId="76" fillId="0" borderId="0" xfId="0" applyFont="1" applyBorder="1" applyAlignment="1">
      <alignment horizontal="centerContinuous"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52" xfId="0" applyBorder="1" applyAlignment="1">
      <alignment/>
    </xf>
    <xf numFmtId="0" fontId="75" fillId="0" borderId="0" xfId="0" applyFont="1" applyBorder="1" applyAlignment="1" applyProtection="1">
      <alignment horizontal="center"/>
      <protection/>
    </xf>
    <xf numFmtId="0" fontId="75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0" fillId="0" borderId="53" xfId="0" applyFont="1" applyBorder="1" applyAlignment="1" applyProtection="1">
      <alignment horizontal="centerContinuous" vertical="center"/>
      <protection/>
    </xf>
    <xf numFmtId="0" fontId="30" fillId="0" borderId="53" xfId="0" applyFont="1" applyBorder="1" applyAlignment="1" applyProtection="1">
      <alignment horizontal="centerContinuous" vertical="center" wrapText="1"/>
      <protection/>
    </xf>
    <xf numFmtId="168" fontId="30" fillId="0" borderId="27" xfId="0" applyNumberFormat="1" applyFont="1" applyBorder="1" applyAlignment="1" applyProtection="1">
      <alignment horizontal="centerContinuous" vertical="center" wrapText="1"/>
      <protection/>
    </xf>
    <xf numFmtId="17" fontId="30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7" fillId="0" borderId="0" xfId="0" applyFont="1" applyAlignment="1">
      <alignment vertical="center"/>
    </xf>
    <xf numFmtId="0" fontId="77" fillId="0" borderId="19" xfId="0" applyFont="1" applyBorder="1" applyAlignment="1">
      <alignment vertical="center"/>
    </xf>
    <xf numFmtId="0" fontId="77" fillId="0" borderId="49" xfId="0" applyFont="1" applyBorder="1" applyAlignment="1">
      <alignment vertical="center"/>
    </xf>
    <xf numFmtId="0" fontId="77" fillId="0" borderId="54" xfId="0" applyFont="1" applyBorder="1" applyAlignment="1">
      <alignment vertical="center"/>
    </xf>
    <xf numFmtId="0" fontId="77" fillId="0" borderId="55" xfId="0" applyFont="1" applyBorder="1" applyAlignment="1">
      <alignment vertical="center"/>
    </xf>
    <xf numFmtId="0" fontId="77" fillId="46" borderId="37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77" fillId="1" borderId="49" xfId="0" applyFont="1" applyFill="1" applyBorder="1" applyAlignment="1">
      <alignment horizontal="center" vertical="center"/>
    </xf>
    <xf numFmtId="0" fontId="77" fillId="1" borderId="50" xfId="0" applyFont="1" applyFill="1" applyBorder="1" applyAlignment="1">
      <alignment horizontal="center" vertical="center"/>
    </xf>
    <xf numFmtId="0" fontId="77" fillId="1" borderId="12" xfId="0" applyFont="1" applyFill="1" applyBorder="1" applyAlignment="1">
      <alignment horizontal="center" vertical="center"/>
    </xf>
    <xf numFmtId="0" fontId="77" fillId="0" borderId="31" xfId="0" applyFont="1" applyBorder="1" applyAlignment="1">
      <alignment vertical="center"/>
    </xf>
    <xf numFmtId="0" fontId="77" fillId="1" borderId="11" xfId="0" applyFont="1" applyFill="1" applyBorder="1" applyAlignment="1">
      <alignment horizontal="center" vertical="center"/>
    </xf>
    <xf numFmtId="0" fontId="77" fillId="0" borderId="56" xfId="0" applyFont="1" applyFill="1" applyBorder="1" applyAlignment="1">
      <alignment horizontal="center" vertical="center"/>
    </xf>
    <xf numFmtId="0" fontId="77" fillId="0" borderId="57" xfId="0" applyFont="1" applyFill="1" applyBorder="1" applyAlignment="1" applyProtection="1">
      <alignment horizontal="center" vertical="center"/>
      <protection/>
    </xf>
    <xf numFmtId="0" fontId="77" fillId="0" borderId="39" xfId="0" applyFont="1" applyFill="1" applyBorder="1" applyAlignment="1" applyProtection="1">
      <alignment horizontal="center" vertical="center"/>
      <protection/>
    </xf>
    <xf numFmtId="2" fontId="7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right"/>
      <protection/>
    </xf>
    <xf numFmtId="2" fontId="13" fillId="0" borderId="27" xfId="0" applyNumberFormat="1" applyFont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5" fillId="0" borderId="0" xfId="0" applyFont="1" applyBorder="1" applyAlignment="1">
      <alignment horizontal="right"/>
    </xf>
    <xf numFmtId="2" fontId="77" fillId="46" borderId="27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2" fontId="78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7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2" fontId="80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21" xfId="0" applyBorder="1" applyAlignment="1">
      <alignment/>
    </xf>
    <xf numFmtId="0" fontId="79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left"/>
      <protection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9" fillId="0" borderId="0" xfId="0" applyFont="1" applyBorder="1" applyAlignment="1" applyProtection="1">
      <alignment horizontal="left"/>
      <protection/>
    </xf>
    <xf numFmtId="168" fontId="75" fillId="0" borderId="0" xfId="0" applyNumberFormat="1" applyFont="1" applyBorder="1" applyAlignment="1" applyProtection="1">
      <alignment horizontal="left"/>
      <protection/>
    </xf>
    <xf numFmtId="0" fontId="81" fillId="0" borderId="0" xfId="0" applyFont="1" applyAlignment="1">
      <alignment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75" fillId="0" borderId="0" xfId="0" applyFont="1" applyBorder="1" applyAlignment="1" applyProtection="1">
      <alignment horizontal="left"/>
      <protection/>
    </xf>
    <xf numFmtId="1" fontId="75" fillId="0" borderId="0" xfId="0" applyNumberFormat="1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fill"/>
      <protection/>
    </xf>
    <xf numFmtId="1" fontId="77" fillId="0" borderId="58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161925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409575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228600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5429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266700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266700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51435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2428875</xdr:colOff>
      <xdr:row>0</xdr:row>
      <xdr:rowOff>0</xdr:rowOff>
    </xdr:from>
    <xdr:to>
      <xdr:col>0</xdr:col>
      <xdr:colOff>2943225</xdr:colOff>
      <xdr:row>1</xdr:row>
      <xdr:rowOff>371475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5143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TBAS2NO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Transporte\ARCHIVOS.XLS\P-TRSNOA\TBAS2NO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HF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HC19" t="str">
            <v>XXXX</v>
          </cell>
          <cell r="HD19" t="str">
            <v>XXXX</v>
          </cell>
          <cell r="HE19" t="str">
            <v>XXXX</v>
          </cell>
          <cell r="HF19" t="str">
            <v>XXXX</v>
          </cell>
          <cell r="HG19" t="str">
            <v>XXXX</v>
          </cell>
          <cell r="HH19" t="str">
            <v>XXXX</v>
          </cell>
          <cell r="HI19" t="str">
            <v>XXXX</v>
          </cell>
          <cell r="HJ19" t="str">
            <v>XXXX</v>
          </cell>
          <cell r="HK19" t="str">
            <v>XXXX</v>
          </cell>
          <cell r="HL19" t="str">
            <v>XXXX</v>
          </cell>
          <cell r="HM19" t="str">
            <v>XXXX</v>
          </cell>
          <cell r="HN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  <cell r="HE20">
            <v>1</v>
          </cell>
          <cell r="HF20">
            <v>1</v>
          </cell>
          <cell r="HK20">
            <v>1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HC21" t="str">
            <v>XXXX</v>
          </cell>
          <cell r="HD21" t="str">
            <v>XXXX</v>
          </cell>
          <cell r="HE21" t="str">
            <v>XXXX</v>
          </cell>
          <cell r="HF21" t="str">
            <v>XXXX</v>
          </cell>
          <cell r="HG21" t="str">
            <v>XXXX</v>
          </cell>
          <cell r="HH21" t="str">
            <v>XXXX</v>
          </cell>
          <cell r="HI21" t="str">
            <v>XXXX</v>
          </cell>
          <cell r="HJ21" t="str">
            <v>XXXX</v>
          </cell>
          <cell r="HK21" t="str">
            <v>XXXX</v>
          </cell>
          <cell r="HL21" t="str">
            <v>XXXX</v>
          </cell>
          <cell r="HM21" t="str">
            <v>XXXX</v>
          </cell>
          <cell r="HN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HC22" t="str">
            <v>XXXX</v>
          </cell>
          <cell r="HD22" t="str">
            <v>XXXX</v>
          </cell>
          <cell r="HE22" t="str">
            <v>XXXX</v>
          </cell>
          <cell r="HF22" t="str">
            <v>XXXX</v>
          </cell>
          <cell r="HG22" t="str">
            <v>XXXX</v>
          </cell>
          <cell r="HH22" t="str">
            <v>XXXX</v>
          </cell>
          <cell r="HI22" t="str">
            <v>XXXX</v>
          </cell>
          <cell r="HJ22" t="str">
            <v>XXXX</v>
          </cell>
          <cell r="HK22" t="str">
            <v>XXXX</v>
          </cell>
          <cell r="HL22" t="str">
            <v>XXXX</v>
          </cell>
          <cell r="HM22" t="str">
            <v>XXXX</v>
          </cell>
          <cell r="HN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HC26" t="str">
            <v>XXXX</v>
          </cell>
          <cell r="HD26" t="str">
            <v>XXXX</v>
          </cell>
          <cell r="HE26" t="str">
            <v>XXXX</v>
          </cell>
          <cell r="HF26" t="str">
            <v>XXXX</v>
          </cell>
          <cell r="HG26" t="str">
            <v>XXXX</v>
          </cell>
          <cell r="HH26" t="str">
            <v>XXXX</v>
          </cell>
          <cell r="HI26" t="str">
            <v>XXXX</v>
          </cell>
          <cell r="HJ26" t="str">
            <v>XXXX</v>
          </cell>
          <cell r="HK26" t="str">
            <v>XXXX</v>
          </cell>
          <cell r="HL26" t="str">
            <v>XXXX</v>
          </cell>
          <cell r="HM26" t="str">
            <v>XXXX</v>
          </cell>
          <cell r="HN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HC27" t="str">
            <v>XXXX</v>
          </cell>
          <cell r="HD27" t="str">
            <v>XXXX</v>
          </cell>
          <cell r="HE27" t="str">
            <v>XXXX</v>
          </cell>
          <cell r="HF27" t="str">
            <v>XXXX</v>
          </cell>
          <cell r="HG27" t="str">
            <v>XXXX</v>
          </cell>
          <cell r="HH27" t="str">
            <v>XXXX</v>
          </cell>
          <cell r="HI27" t="str">
            <v>XXXX</v>
          </cell>
          <cell r="HJ27" t="str">
            <v>XXXX</v>
          </cell>
          <cell r="HK27" t="str">
            <v>XXXX</v>
          </cell>
          <cell r="HL27" t="str">
            <v>XXXX</v>
          </cell>
          <cell r="HM27" t="str">
            <v>XXXX</v>
          </cell>
          <cell r="HN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HD28">
            <v>1</v>
          </cell>
          <cell r="HI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HF30">
            <v>1</v>
          </cell>
          <cell r="HL30">
            <v>2</v>
          </cell>
          <cell r="HM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HD31">
            <v>1</v>
          </cell>
          <cell r="HF31">
            <v>1</v>
          </cell>
          <cell r="HL31">
            <v>2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  <cell r="HJ32">
            <v>1</v>
          </cell>
          <cell r="HK32">
            <v>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HL34">
            <v>2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HH36">
            <v>1</v>
          </cell>
          <cell r="HJ36">
            <v>1</v>
          </cell>
          <cell r="HK36">
            <v>2</v>
          </cell>
          <cell r="HN36">
            <v>2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HC37" t="str">
            <v>XXXX</v>
          </cell>
          <cell r="HD37" t="str">
            <v>XXXX</v>
          </cell>
          <cell r="HE37" t="str">
            <v>XXXX</v>
          </cell>
          <cell r="HF37" t="str">
            <v>XXXX</v>
          </cell>
          <cell r="HG37" t="str">
            <v>XXXX</v>
          </cell>
          <cell r="HH37" t="str">
            <v>XXXX</v>
          </cell>
          <cell r="HI37" t="str">
            <v>XXXX</v>
          </cell>
          <cell r="HJ37" t="str">
            <v>XXXX</v>
          </cell>
          <cell r="HK37" t="str">
            <v>XXXX</v>
          </cell>
          <cell r="HL37" t="str">
            <v>XXXX</v>
          </cell>
          <cell r="HM37" t="str">
            <v>XXXX</v>
          </cell>
          <cell r="HN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  <cell r="HL38">
            <v>1</v>
          </cell>
          <cell r="HM38">
            <v>1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HC39" t="str">
            <v>XXXX</v>
          </cell>
          <cell r="HD39" t="str">
            <v>XXXX</v>
          </cell>
          <cell r="HE39" t="str">
            <v>XXXX</v>
          </cell>
          <cell r="HF39" t="str">
            <v>XXXX</v>
          </cell>
          <cell r="HG39" t="str">
            <v>XXXX</v>
          </cell>
          <cell r="HH39" t="str">
            <v>XXXX</v>
          </cell>
          <cell r="HI39" t="str">
            <v>XXXX</v>
          </cell>
          <cell r="HJ39" t="str">
            <v>XXXX</v>
          </cell>
          <cell r="HK39" t="str">
            <v>XXXX</v>
          </cell>
          <cell r="HL39" t="str">
            <v>XXXX</v>
          </cell>
          <cell r="HM39" t="str">
            <v>XXXX</v>
          </cell>
          <cell r="HN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HI40">
            <v>1</v>
          </cell>
          <cell r="HJ40" t="str">
            <v>XXXX</v>
          </cell>
          <cell r="HK40" t="str">
            <v>XXXX</v>
          </cell>
          <cell r="HL40" t="str">
            <v>XXXX</v>
          </cell>
          <cell r="HM40" t="str">
            <v>XXXX</v>
          </cell>
          <cell r="HN40" t="str">
            <v>XXXX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HE42">
            <v>1</v>
          </cell>
          <cell r="HF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HC43" t="str">
            <v>XXXX</v>
          </cell>
          <cell r="HD43" t="str">
            <v>XXXX</v>
          </cell>
          <cell r="HE43" t="str">
            <v>XXXX</v>
          </cell>
          <cell r="HF43" t="str">
            <v>XXXX</v>
          </cell>
          <cell r="HG43" t="str">
            <v>XXXX</v>
          </cell>
          <cell r="HH43" t="str">
            <v>XXXX</v>
          </cell>
          <cell r="HI43" t="str">
            <v>XXXX</v>
          </cell>
          <cell r="HJ43" t="str">
            <v>XXXX</v>
          </cell>
          <cell r="HK43" t="str">
            <v>XXXX</v>
          </cell>
          <cell r="HL43" t="str">
            <v>XXXX</v>
          </cell>
          <cell r="HM43" t="str">
            <v>XXXX</v>
          </cell>
          <cell r="HN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HC44" t="str">
            <v>XXXX</v>
          </cell>
          <cell r="HD44" t="str">
            <v>XXXX</v>
          </cell>
          <cell r="HE44" t="str">
            <v>XXXX</v>
          </cell>
          <cell r="HF44" t="str">
            <v>XXXX</v>
          </cell>
          <cell r="HG44" t="str">
            <v>XXXX</v>
          </cell>
          <cell r="HH44" t="str">
            <v>XXXX</v>
          </cell>
          <cell r="HI44" t="str">
            <v>XXXX</v>
          </cell>
          <cell r="HJ44" t="str">
            <v>XXXX</v>
          </cell>
          <cell r="HK44" t="str">
            <v>XXXX</v>
          </cell>
          <cell r="HL44" t="str">
            <v>XXXX</v>
          </cell>
          <cell r="HM44" t="str">
            <v>XXXX</v>
          </cell>
          <cell r="HN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HD45">
            <v>2</v>
          </cell>
          <cell r="HE45">
            <v>1</v>
          </cell>
          <cell r="HK45">
            <v>1</v>
          </cell>
          <cell r="HM45">
            <v>1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HH46">
            <v>2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HC47" t="str">
            <v>XXXX</v>
          </cell>
          <cell r="HD47" t="str">
            <v>XXXX</v>
          </cell>
          <cell r="HE47" t="str">
            <v>XXXX</v>
          </cell>
          <cell r="HF47" t="str">
            <v>XXXX</v>
          </cell>
          <cell r="HG47" t="str">
            <v>XXXX</v>
          </cell>
          <cell r="HH47" t="str">
            <v>XXXX</v>
          </cell>
          <cell r="HI47" t="str">
            <v>XXXX</v>
          </cell>
          <cell r="HJ47" t="str">
            <v>XXXX</v>
          </cell>
          <cell r="HK47" t="str">
            <v>XXXX</v>
          </cell>
          <cell r="HL47" t="str">
            <v>XXXX</v>
          </cell>
          <cell r="HM47" t="str">
            <v>XXXX</v>
          </cell>
          <cell r="HN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HC48" t="str">
            <v>XXXX</v>
          </cell>
          <cell r="HD48" t="str">
            <v>XXXX</v>
          </cell>
          <cell r="HE48" t="str">
            <v>XXXX</v>
          </cell>
          <cell r="HF48" t="str">
            <v>XXXX</v>
          </cell>
          <cell r="HG48" t="str">
            <v>XXXX</v>
          </cell>
          <cell r="HH48" t="str">
            <v>XXXX</v>
          </cell>
          <cell r="HI48" t="str">
            <v>XXXX</v>
          </cell>
          <cell r="HJ48" t="str">
            <v>XXXX</v>
          </cell>
          <cell r="HK48" t="str">
            <v>XXXX</v>
          </cell>
          <cell r="HL48" t="str">
            <v>XXXX</v>
          </cell>
          <cell r="HM48" t="str">
            <v>XXXX</v>
          </cell>
          <cell r="HN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HC49" t="str">
            <v>XXXX</v>
          </cell>
          <cell r="HD49" t="str">
            <v>XXXX</v>
          </cell>
          <cell r="HE49" t="str">
            <v>XXXX</v>
          </cell>
          <cell r="HF49" t="str">
            <v>XXXX</v>
          </cell>
          <cell r="HG49" t="str">
            <v>XXXX</v>
          </cell>
          <cell r="HH49" t="str">
            <v>XXXX</v>
          </cell>
          <cell r="HI49" t="str">
            <v>XXXX</v>
          </cell>
          <cell r="HJ49" t="str">
            <v>XXXX</v>
          </cell>
          <cell r="HK49" t="str">
            <v>XXXX</v>
          </cell>
          <cell r="HL49" t="str">
            <v>XXXX</v>
          </cell>
          <cell r="HM49" t="str">
            <v>XXXX</v>
          </cell>
          <cell r="HN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HF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HJ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HC53" t="str">
            <v>XXXX</v>
          </cell>
          <cell r="HD53" t="str">
            <v>XXXX</v>
          </cell>
          <cell r="HE53" t="str">
            <v>XXXX</v>
          </cell>
          <cell r="HF53" t="str">
            <v>XXXX</v>
          </cell>
          <cell r="HG53" t="str">
            <v>XXXX</v>
          </cell>
          <cell r="HH53" t="str">
            <v>XXXX</v>
          </cell>
          <cell r="HI53" t="str">
            <v>XXXX</v>
          </cell>
          <cell r="HJ53" t="str">
            <v>XXXX</v>
          </cell>
          <cell r="HK53" t="str">
            <v>XXXX</v>
          </cell>
          <cell r="HL53" t="str">
            <v>XXXX</v>
          </cell>
          <cell r="HM53" t="str">
            <v>XXXX</v>
          </cell>
          <cell r="HN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HK54">
            <v>1</v>
          </cell>
          <cell r="HL54">
            <v>1</v>
          </cell>
          <cell r="HM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HF57">
            <v>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HN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HL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HC60" t="str">
            <v>XXXX</v>
          </cell>
          <cell r="HD60" t="str">
            <v>XXXX</v>
          </cell>
          <cell r="HE60" t="str">
            <v>XXXX</v>
          </cell>
          <cell r="HF60" t="str">
            <v>XXXX</v>
          </cell>
          <cell r="HG60" t="str">
            <v>XXXX</v>
          </cell>
          <cell r="HH60" t="str">
            <v>XXXX</v>
          </cell>
          <cell r="HI60" t="str">
            <v>XXXX</v>
          </cell>
          <cell r="HJ60" t="str">
            <v>XXXX</v>
          </cell>
          <cell r="HK60" t="str">
            <v>XXXX</v>
          </cell>
          <cell r="HL60" t="str">
            <v>XXXX</v>
          </cell>
          <cell r="HM60" t="str">
            <v>XXXX</v>
          </cell>
          <cell r="HN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HJ61">
            <v>1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  <cell r="HF63">
            <v>1</v>
          </cell>
          <cell r="HG63">
            <v>1</v>
          </cell>
          <cell r="HJ63">
            <v>2</v>
          </cell>
          <cell r="HM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  <cell r="HE64">
            <v>1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HC65" t="str">
            <v>XXXX</v>
          </cell>
          <cell r="HD65" t="str">
            <v>XXXX</v>
          </cell>
          <cell r="HE65" t="str">
            <v>XXXX</v>
          </cell>
          <cell r="HF65" t="str">
            <v>XXXX</v>
          </cell>
          <cell r="HG65" t="str">
            <v>XXXX</v>
          </cell>
          <cell r="HH65" t="str">
            <v>XXXX</v>
          </cell>
          <cell r="HI65" t="str">
            <v>XXXX</v>
          </cell>
          <cell r="HJ65" t="str">
            <v>XXXX</v>
          </cell>
          <cell r="HK65" t="str">
            <v>XXXX</v>
          </cell>
          <cell r="HL65" t="str">
            <v>XXXX</v>
          </cell>
          <cell r="HM65" t="str">
            <v>XXXX</v>
          </cell>
          <cell r="HN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  <cell r="HI69">
            <v>1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  <cell r="HD71">
            <v>1</v>
          </cell>
          <cell r="HG71">
            <v>2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  <cell r="HL73">
            <v>1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HC75">
            <v>1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HK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HC80" t="str">
            <v>XXXX</v>
          </cell>
          <cell r="HD80" t="str">
            <v>XXXX</v>
          </cell>
          <cell r="HE80" t="str">
            <v>XXXX</v>
          </cell>
          <cell r="HF80" t="str">
            <v>XXXX</v>
          </cell>
          <cell r="HG80" t="str">
            <v>XXXX</v>
          </cell>
          <cell r="HH80" t="str">
            <v>XXXX</v>
          </cell>
          <cell r="HI80" t="str">
            <v>XXXX</v>
          </cell>
          <cell r="HJ80" t="str">
            <v>XXXX</v>
          </cell>
          <cell r="HK80" t="str">
            <v>XXXX</v>
          </cell>
          <cell r="HL80" t="str">
            <v>XXXX</v>
          </cell>
          <cell r="HM80" t="str">
            <v>XXXX</v>
          </cell>
          <cell r="HN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HG81">
            <v>1</v>
          </cell>
          <cell r="HL81">
            <v>1</v>
          </cell>
          <cell r="HM81">
            <v>1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HK82">
            <v>1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HF83">
            <v>1</v>
          </cell>
          <cell r="HG83">
            <v>1</v>
          </cell>
          <cell r="HJ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HC84" t="str">
            <v>XXXX</v>
          </cell>
          <cell r="HD84" t="str">
            <v>XXXX</v>
          </cell>
          <cell r="HE84" t="str">
            <v>XXXX</v>
          </cell>
          <cell r="HF84" t="str">
            <v>XXXX</v>
          </cell>
          <cell r="HG84" t="str">
            <v>XXXX</v>
          </cell>
          <cell r="HH84" t="str">
            <v>XXXX</v>
          </cell>
          <cell r="HI84" t="str">
            <v>XXXX</v>
          </cell>
          <cell r="HJ84" t="str">
            <v>XXXX</v>
          </cell>
          <cell r="HK84" t="str">
            <v>XXXX</v>
          </cell>
          <cell r="HL84" t="str">
            <v>XXXX</v>
          </cell>
          <cell r="HM84" t="str">
            <v>XXXX</v>
          </cell>
          <cell r="HN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  <cell r="HD87">
            <v>1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  <cell r="HC88">
            <v>1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33.55</v>
          </cell>
          <cell r="HE89">
            <v>1</v>
          </cell>
          <cell r="HF89">
            <v>1</v>
          </cell>
          <cell r="HJ89">
            <v>1</v>
          </cell>
          <cell r="HK89">
            <v>1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HE90">
            <v>1</v>
          </cell>
          <cell r="HF90">
            <v>1</v>
          </cell>
          <cell r="HH90">
            <v>1</v>
          </cell>
          <cell r="HK90">
            <v>1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  <cell r="HE91">
            <v>1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  <cell r="HE92">
            <v>1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HE93">
            <v>2</v>
          </cell>
          <cell r="HJ93">
            <v>2</v>
          </cell>
          <cell r="HL93">
            <v>1</v>
          </cell>
          <cell r="HM93">
            <v>1</v>
          </cell>
        </row>
        <row r="94">
          <cell r="C94">
            <v>76</v>
          </cell>
          <cell r="D94" t="str">
            <v>SUNCHO CORRAL - ANATUYA</v>
          </cell>
          <cell r="E94">
            <v>132</v>
          </cell>
          <cell r="F94">
            <v>81</v>
          </cell>
        </row>
        <row r="95">
          <cell r="C95">
            <v>77</v>
          </cell>
          <cell r="D95" t="str">
            <v>LAS MADERAS - GÜEMES SALTA</v>
          </cell>
          <cell r="E95">
            <v>132</v>
          </cell>
          <cell r="F95">
            <v>42</v>
          </cell>
        </row>
        <row r="96">
          <cell r="C96">
            <v>78</v>
          </cell>
          <cell r="D96" t="str">
            <v>INDEPENDENCIA - EL BRACHO 2</v>
          </cell>
          <cell r="E96">
            <v>132</v>
          </cell>
          <cell r="F96">
            <v>17.1</v>
          </cell>
          <cell r="HC96">
            <v>1</v>
          </cell>
          <cell r="HH96">
            <v>1</v>
          </cell>
          <cell r="HJ96">
            <v>1</v>
          </cell>
          <cell r="HK96">
            <v>1</v>
          </cell>
        </row>
        <row r="97">
          <cell r="C97">
            <v>79</v>
          </cell>
          <cell r="D97" t="str">
            <v>GÜEMES - SALTA SUR</v>
          </cell>
          <cell r="E97">
            <v>132</v>
          </cell>
          <cell r="F97">
            <v>47.6</v>
          </cell>
        </row>
        <row r="98">
          <cell r="C98">
            <v>80</v>
          </cell>
          <cell r="D98" t="str">
            <v>BURRUYACU - COBOS</v>
          </cell>
          <cell r="E98">
            <v>132</v>
          </cell>
          <cell r="F98">
            <v>229.5</v>
          </cell>
          <cell r="HC98" t="str">
            <v>XXXX</v>
          </cell>
          <cell r="HD98" t="str">
            <v>XXXX</v>
          </cell>
          <cell r="HE98" t="str">
            <v>XXXX</v>
          </cell>
          <cell r="HF98" t="str">
            <v>XXXX</v>
          </cell>
          <cell r="HG98" t="str">
            <v>XXXX</v>
          </cell>
          <cell r="HH98" t="str">
            <v>XXXX</v>
          </cell>
          <cell r="HI98" t="str">
            <v>XXXX</v>
          </cell>
          <cell r="HJ98" t="str">
            <v>XXXX</v>
          </cell>
          <cell r="HK98" t="str">
            <v>XXXX</v>
          </cell>
          <cell r="HL98" t="str">
            <v>XXXX</v>
          </cell>
          <cell r="HM98" t="str">
            <v>XXXX</v>
          </cell>
          <cell r="HN98" t="str">
            <v>XXXX</v>
          </cell>
        </row>
        <row r="99">
          <cell r="C99">
            <v>81</v>
          </cell>
          <cell r="D99" t="str">
            <v>METAN - COBOS</v>
          </cell>
          <cell r="E99">
            <v>132</v>
          </cell>
          <cell r="F99">
            <v>89.2</v>
          </cell>
        </row>
        <row r="100">
          <cell r="C100">
            <v>82</v>
          </cell>
          <cell r="D100" t="str">
            <v>AÑATUYA - BANDERA</v>
          </cell>
          <cell r="E100">
            <v>132</v>
          </cell>
          <cell r="F100">
            <v>76</v>
          </cell>
          <cell r="HI100">
            <v>1</v>
          </cell>
          <cell r="HL100">
            <v>1</v>
          </cell>
        </row>
        <row r="101">
          <cell r="C101">
            <v>84</v>
          </cell>
          <cell r="D101" t="str">
            <v>GÜEMES SALTA - COBOS 1</v>
          </cell>
          <cell r="E101">
            <v>132</v>
          </cell>
          <cell r="F101">
            <v>12.1</v>
          </cell>
          <cell r="HC101">
            <v>2</v>
          </cell>
          <cell r="HK101">
            <v>1</v>
          </cell>
        </row>
        <row r="102">
          <cell r="C102">
            <v>85</v>
          </cell>
          <cell r="D102" t="str">
            <v>GÜEMES SALTA - COBOS 2</v>
          </cell>
          <cell r="E102">
            <v>132</v>
          </cell>
          <cell r="F102">
            <v>12.1</v>
          </cell>
        </row>
        <row r="103">
          <cell r="C103">
            <v>86</v>
          </cell>
          <cell r="D103" t="str">
            <v>EL BRACHO - LA BANDA</v>
          </cell>
          <cell r="E103">
            <v>132</v>
          </cell>
          <cell r="F103">
            <v>133.5</v>
          </cell>
          <cell r="HJ103">
            <v>2</v>
          </cell>
        </row>
        <row r="104">
          <cell r="C104">
            <v>87</v>
          </cell>
          <cell r="D104" t="str">
            <v>SANTIAGO OESTE - SANTIAGO SUR </v>
          </cell>
          <cell r="E104">
            <v>132</v>
          </cell>
          <cell r="F104">
            <v>10.6</v>
          </cell>
        </row>
        <row r="105">
          <cell r="C105">
            <v>88</v>
          </cell>
          <cell r="D105" t="str">
            <v>SANTIAGO SUR - SANTIAGO CENTRO</v>
          </cell>
          <cell r="E105">
            <v>132</v>
          </cell>
          <cell r="F105">
            <v>4</v>
          </cell>
        </row>
        <row r="106">
          <cell r="C106">
            <v>89</v>
          </cell>
          <cell r="D106" t="str">
            <v>C.H. RIO HONDO - SANTIAGO OESTE</v>
          </cell>
          <cell r="E106">
            <v>132</v>
          </cell>
          <cell r="F106">
            <v>69.8</v>
          </cell>
          <cell r="HF106">
            <v>1</v>
          </cell>
          <cell r="HJ106">
            <v>1</v>
          </cell>
        </row>
        <row r="107">
          <cell r="C107">
            <v>90</v>
          </cell>
          <cell r="D107" t="str">
            <v>GÜEMES - MINETTI</v>
          </cell>
          <cell r="E107">
            <v>132</v>
          </cell>
          <cell r="F107">
            <v>41.4</v>
          </cell>
          <cell r="HH107">
            <v>1</v>
          </cell>
          <cell r="HL107">
            <v>1</v>
          </cell>
        </row>
        <row r="108">
          <cell r="C108">
            <v>91</v>
          </cell>
          <cell r="D108" t="str">
            <v>GÜEMES - SALTA NORTE</v>
          </cell>
          <cell r="E108">
            <v>132</v>
          </cell>
          <cell r="F108">
            <v>38.97</v>
          </cell>
        </row>
        <row r="109">
          <cell r="C109">
            <v>92</v>
          </cell>
          <cell r="D109" t="str">
            <v>BURRUYACU - R. DE LA FRONTERA</v>
          </cell>
          <cell r="E109">
            <v>132</v>
          </cell>
          <cell r="F109">
            <v>99.1</v>
          </cell>
          <cell r="HG109">
            <v>1</v>
          </cell>
        </row>
        <row r="110">
          <cell r="C110">
            <v>93</v>
          </cell>
          <cell r="D110" t="str">
            <v>R. DE LA FRONTERA - COBOS</v>
          </cell>
          <cell r="E110">
            <v>132</v>
          </cell>
          <cell r="F110">
            <v>130.4</v>
          </cell>
          <cell r="HG110">
            <v>1</v>
          </cell>
        </row>
        <row r="111">
          <cell r="C111">
            <v>94</v>
          </cell>
          <cell r="D111" t="str">
            <v>J.V. GONZALEZ - APOLINARIO SARAVIA</v>
          </cell>
          <cell r="E111">
            <v>132</v>
          </cell>
          <cell r="F111">
            <v>94</v>
          </cell>
          <cell r="HL111">
            <v>1</v>
          </cell>
        </row>
        <row r="112">
          <cell r="C112">
            <v>95</v>
          </cell>
          <cell r="D112" t="str">
            <v>ANDALGALA - SAULIL</v>
          </cell>
          <cell r="E112">
            <v>132</v>
          </cell>
          <cell r="F112">
            <v>76</v>
          </cell>
        </row>
        <row r="113">
          <cell r="C113">
            <v>96</v>
          </cell>
          <cell r="D113" t="str">
            <v>SANTIAGO OESTE - SANT. SUR  - SANT. CENTRO</v>
          </cell>
          <cell r="E113">
            <v>132</v>
          </cell>
          <cell r="F113">
            <v>14.6</v>
          </cell>
          <cell r="HC113" t="str">
            <v>XXXX</v>
          </cell>
          <cell r="HD113" t="str">
            <v>XXXX</v>
          </cell>
          <cell r="HE113" t="str">
            <v>XXXX</v>
          </cell>
          <cell r="HF113" t="str">
            <v>XXXX</v>
          </cell>
          <cell r="HG113" t="str">
            <v>XXXX</v>
          </cell>
          <cell r="HH113" t="str">
            <v>XXXX</v>
          </cell>
          <cell r="HI113" t="str">
            <v>XXXX</v>
          </cell>
          <cell r="HJ113" t="str">
            <v>XXXX</v>
          </cell>
          <cell r="HK113" t="str">
            <v>XXXX</v>
          </cell>
          <cell r="HL113" t="str">
            <v>XXXX</v>
          </cell>
          <cell r="HM113" t="str">
            <v>XXXX</v>
          </cell>
          <cell r="HN113" t="str">
            <v>XXXX</v>
          </cell>
        </row>
        <row r="114">
          <cell r="C114">
            <v>97</v>
          </cell>
          <cell r="D114" t="str">
            <v>LA RIOJA SUR - PI LA RIOJA  </v>
          </cell>
          <cell r="E114">
            <v>132</v>
          </cell>
          <cell r="F114">
            <v>40</v>
          </cell>
        </row>
        <row r="115">
          <cell r="C115">
            <v>98</v>
          </cell>
          <cell r="D115" t="str">
            <v>LA RIOJA SUR - PI. PATQUIA</v>
          </cell>
          <cell r="E115">
            <v>132</v>
          </cell>
          <cell r="F115">
            <v>40</v>
          </cell>
        </row>
        <row r="116">
          <cell r="C116">
            <v>99</v>
          </cell>
          <cell r="D116" t="str">
            <v>SUNCHO CORRAL - QUIMILI</v>
          </cell>
          <cell r="E116">
            <v>132</v>
          </cell>
          <cell r="F116">
            <v>108</v>
          </cell>
          <cell r="HE116">
            <v>1</v>
          </cell>
          <cell r="HF116">
            <v>1</v>
          </cell>
        </row>
        <row r="117">
          <cell r="C117">
            <v>100</v>
          </cell>
          <cell r="D117" t="str">
            <v>EL BRACHO - LA BANDA ESTE</v>
          </cell>
          <cell r="E117">
            <v>132</v>
          </cell>
          <cell r="F117">
            <v>140.9</v>
          </cell>
          <cell r="HC117" t="str">
            <v>XXXX</v>
          </cell>
          <cell r="HD117" t="str">
            <v>XXXX</v>
          </cell>
          <cell r="HE117" t="str">
            <v>XXXX</v>
          </cell>
          <cell r="HF117" t="str">
            <v>XXXX</v>
          </cell>
          <cell r="HG117" t="str">
            <v>XXXX</v>
          </cell>
          <cell r="HH117" t="str">
            <v>XXXX</v>
          </cell>
          <cell r="HI117" t="str">
            <v>XXXX</v>
          </cell>
          <cell r="HJ117" t="str">
            <v>XXXX</v>
          </cell>
          <cell r="HK117" t="str">
            <v>XXXX</v>
          </cell>
          <cell r="HL117" t="str">
            <v>XXXX</v>
          </cell>
          <cell r="HM117" t="str">
            <v>XXXX</v>
          </cell>
          <cell r="HN117" t="str">
            <v>XXXX</v>
          </cell>
        </row>
        <row r="118">
          <cell r="C118">
            <v>101</v>
          </cell>
          <cell r="D118" t="str">
            <v>LA BANDA ESTE - LA BANDA</v>
          </cell>
          <cell r="E118">
            <v>132</v>
          </cell>
          <cell r="F118">
            <v>16.2</v>
          </cell>
          <cell r="HC118" t="str">
            <v>XXXX</v>
          </cell>
          <cell r="HD118" t="str">
            <v>XXXX</v>
          </cell>
          <cell r="HE118" t="str">
            <v>XXXX</v>
          </cell>
          <cell r="HF118" t="str">
            <v>XXXX</v>
          </cell>
          <cell r="HG118" t="str">
            <v>XXXX</v>
          </cell>
          <cell r="HH118" t="str">
            <v>XXXX</v>
          </cell>
          <cell r="HI118" t="str">
            <v>XXXX</v>
          </cell>
          <cell r="HJ118" t="str">
            <v>XXXX</v>
          </cell>
          <cell r="HK118" t="str">
            <v>XXXX</v>
          </cell>
          <cell r="HL118" t="str">
            <v>XXXX</v>
          </cell>
          <cell r="HM118" t="str">
            <v>XXXX</v>
          </cell>
          <cell r="HN118" t="str">
            <v>XXXX</v>
          </cell>
        </row>
        <row r="119">
          <cell r="C119">
            <v>102</v>
          </cell>
          <cell r="D119" t="str">
            <v>TABACAL - PICHANAL</v>
          </cell>
          <cell r="E119">
            <v>132</v>
          </cell>
          <cell r="F119">
            <v>7</v>
          </cell>
          <cell r="HC119" t="str">
            <v>XXXX</v>
          </cell>
          <cell r="HD119" t="str">
            <v>XXXX</v>
          </cell>
          <cell r="HE119" t="str">
            <v>XXXX</v>
          </cell>
          <cell r="HF119" t="str">
            <v>XXXX</v>
          </cell>
          <cell r="HG119" t="str">
            <v>XXXX</v>
          </cell>
          <cell r="HH119" t="str">
            <v>XXXX</v>
          </cell>
          <cell r="HI119" t="str">
            <v>XXXX</v>
          </cell>
        </row>
        <row r="120">
          <cell r="C120">
            <v>103</v>
          </cell>
          <cell r="D120" t="str">
            <v>ORAN - TABACAL</v>
          </cell>
          <cell r="E120">
            <v>132</v>
          </cell>
          <cell r="F120">
            <v>10</v>
          </cell>
          <cell r="HC120" t="str">
            <v>XXXX</v>
          </cell>
          <cell r="HD120" t="str">
            <v>XXXX</v>
          </cell>
          <cell r="HE120" t="str">
            <v>XXXX</v>
          </cell>
          <cell r="HF120" t="str">
            <v>XXXX</v>
          </cell>
          <cell r="HG120" t="str">
            <v>XXXX</v>
          </cell>
          <cell r="HH120" t="str">
            <v>XXXX</v>
          </cell>
          <cell r="HI120" t="str">
            <v>XXXX</v>
          </cell>
        </row>
        <row r="121">
          <cell r="C121">
            <v>104</v>
          </cell>
          <cell r="D121" t="str">
            <v>MONTE QUEMADO -COPO - QUIMILI</v>
          </cell>
          <cell r="E121">
            <v>132</v>
          </cell>
          <cell r="F121">
            <v>218</v>
          </cell>
          <cell r="HC121" t="str">
            <v>XXXX</v>
          </cell>
          <cell r="HD121" t="str">
            <v>XXXX</v>
          </cell>
          <cell r="HE121" t="str">
            <v>XXXX</v>
          </cell>
          <cell r="HF121" t="str">
            <v>XXXX</v>
          </cell>
          <cell r="HG121" t="str">
            <v>XXXX</v>
          </cell>
          <cell r="HH121" t="str">
            <v>XXXX</v>
          </cell>
          <cell r="HI121" t="str">
            <v>XXXX</v>
          </cell>
          <cell r="HJ121" t="str">
            <v>XXXX</v>
          </cell>
          <cell r="HK121" t="str">
            <v>XXXX</v>
          </cell>
          <cell r="HL121" t="str">
            <v>XXXX</v>
          </cell>
          <cell r="HM121" t="str">
            <v>XXXX</v>
          </cell>
          <cell r="HN121" t="str">
            <v>XXXX</v>
          </cell>
        </row>
        <row r="129">
          <cell r="HC129">
            <v>2.04</v>
          </cell>
          <cell r="HD129">
            <v>1.95</v>
          </cell>
          <cell r="HE129">
            <v>1.92</v>
          </cell>
          <cell r="HF129">
            <v>1.99</v>
          </cell>
          <cell r="HG129">
            <v>2.14</v>
          </cell>
          <cell r="HH129">
            <v>2.21</v>
          </cell>
          <cell r="HI129">
            <v>2.04</v>
          </cell>
          <cell r="HJ129">
            <v>1.85</v>
          </cell>
          <cell r="HK129">
            <v>1.92</v>
          </cell>
          <cell r="HL129">
            <v>2.04</v>
          </cell>
          <cell r="HM129">
            <v>2.35</v>
          </cell>
          <cell r="HN129">
            <v>2.37</v>
          </cell>
          <cell r="HO129">
            <v>2.44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4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8" customWidth="1"/>
    <col min="2" max="2" width="7.7109375" style="8" customWidth="1"/>
    <col min="3" max="3" width="10.421875" style="8" customWidth="1"/>
    <col min="4" max="5" width="9.00390625" style="8" customWidth="1"/>
    <col min="6" max="6" width="3.7109375" style="8" customWidth="1"/>
    <col min="7" max="8" width="20.7109375" style="8" customWidth="1"/>
    <col min="9" max="9" width="6.28125" style="8" customWidth="1"/>
    <col min="10" max="10" width="15.7109375" style="8" customWidth="1"/>
    <col min="11" max="11" width="14.8515625" style="8" customWidth="1"/>
    <col min="12" max="12" width="15.7109375" style="8" customWidth="1"/>
    <col min="13" max="14" width="11.421875" style="8" customWidth="1"/>
    <col min="15" max="15" width="14.140625" style="8" customWidth="1"/>
    <col min="16" max="16" width="11.421875" style="8" customWidth="1"/>
    <col min="17" max="17" width="14.7109375" style="8" customWidth="1"/>
    <col min="18" max="18" width="11.421875" style="8" customWidth="1"/>
    <col min="19" max="19" width="12.00390625" style="8" customWidth="1"/>
    <col min="20" max="16384" width="11.421875" style="8" customWidth="1"/>
  </cols>
  <sheetData>
    <row r="1" spans="2:12" s="33" customFormat="1" ht="26.25">
      <c r="B1" s="34"/>
      <c r="L1" s="319"/>
    </row>
    <row r="2" spans="2:11" s="33" customFormat="1" ht="26.25">
      <c r="B2" s="34" t="s">
        <v>227</v>
      </c>
      <c r="C2" s="35"/>
      <c r="D2" s="36"/>
      <c r="E2" s="36"/>
      <c r="F2" s="36"/>
      <c r="G2" s="36"/>
      <c r="H2" s="36"/>
      <c r="I2" s="36"/>
      <c r="J2" s="36"/>
      <c r="K2" s="36"/>
    </row>
    <row r="3" spans="3:20" ht="12.75">
      <c r="C3"/>
      <c r="D3" s="37"/>
      <c r="E3" s="37"/>
      <c r="F3" s="37"/>
      <c r="G3" s="37"/>
      <c r="H3" s="37"/>
      <c r="I3" s="37"/>
      <c r="J3" s="37"/>
      <c r="K3" s="37"/>
      <c r="Q3" s="7"/>
      <c r="R3" s="7"/>
      <c r="S3" s="7"/>
      <c r="T3" s="7"/>
    </row>
    <row r="4" spans="1:20" s="40" customFormat="1" ht="11.25">
      <c r="A4" s="38" t="s">
        <v>3</v>
      </c>
      <c r="B4" s="39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40" customFormat="1" ht="11.25">
      <c r="A5" s="38" t="s">
        <v>4</v>
      </c>
      <c r="B5" s="3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20" s="33" customFormat="1" ht="6" customHeight="1">
      <c r="B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2:20" s="51" customFormat="1" ht="19.5">
      <c r="B7" s="108" t="s">
        <v>0</v>
      </c>
      <c r="C7" s="182"/>
      <c r="D7" s="183"/>
      <c r="E7" s="183"/>
      <c r="F7" s="183"/>
      <c r="G7" s="56"/>
      <c r="H7" s="56"/>
      <c r="I7" s="56"/>
      <c r="J7" s="56"/>
      <c r="K7" s="56"/>
      <c r="L7" s="58"/>
      <c r="M7" s="58"/>
      <c r="N7" s="58"/>
      <c r="O7" s="58"/>
      <c r="P7" s="58"/>
      <c r="Q7" s="58"/>
      <c r="R7" s="58"/>
      <c r="S7" s="58"/>
      <c r="T7" s="58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51" customFormat="1" ht="19.5">
      <c r="B9" s="108" t="s">
        <v>1</v>
      </c>
      <c r="C9" s="182"/>
      <c r="D9" s="183"/>
      <c r="E9" s="183"/>
      <c r="F9" s="183"/>
      <c r="G9" s="56"/>
      <c r="H9" s="56"/>
      <c r="I9" s="56"/>
      <c r="J9" s="56"/>
      <c r="K9" s="56"/>
      <c r="L9" s="58"/>
      <c r="M9" s="58"/>
      <c r="N9" s="58"/>
      <c r="O9" s="58"/>
      <c r="P9" s="58"/>
      <c r="Q9" s="58"/>
      <c r="R9" s="58"/>
      <c r="S9" s="58"/>
      <c r="T9" s="58"/>
    </row>
    <row r="10" spans="4:20" ht="12.75">
      <c r="D10" s="46"/>
      <c r="E10" s="46"/>
      <c r="F10" s="4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51" customFormat="1" ht="19.5">
      <c r="B11" s="108" t="s">
        <v>224</v>
      </c>
      <c r="C11" s="182"/>
      <c r="D11" s="183"/>
      <c r="E11" s="183"/>
      <c r="F11" s="183"/>
      <c r="G11" s="56"/>
      <c r="H11" s="56"/>
      <c r="I11" s="56"/>
      <c r="J11" s="56"/>
      <c r="K11" s="56"/>
      <c r="L11" s="58"/>
      <c r="M11" s="58"/>
      <c r="N11" s="58"/>
      <c r="O11" s="58"/>
      <c r="P11" s="58"/>
      <c r="Q11" s="58"/>
      <c r="R11" s="58"/>
      <c r="S11" s="58"/>
      <c r="T11" s="58"/>
    </row>
    <row r="12" spans="4:20" s="47" customFormat="1" ht="16.5" thickBot="1">
      <c r="D12" s="6"/>
      <c r="E12" s="6"/>
      <c r="F12" s="6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2:20" s="47" customFormat="1" ht="16.5" thickTop="1">
      <c r="B13" s="435">
        <v>1</v>
      </c>
      <c r="C13" s="403"/>
      <c r="D13" s="49"/>
      <c r="E13" s="49"/>
      <c r="F13" s="49"/>
      <c r="G13" s="49"/>
      <c r="H13" s="49"/>
      <c r="I13" s="49"/>
      <c r="J13" s="49"/>
      <c r="K13" s="50"/>
      <c r="L13" s="48"/>
      <c r="M13" s="48"/>
      <c r="N13" s="48"/>
      <c r="O13" s="48"/>
      <c r="P13" s="48"/>
      <c r="Q13" s="48"/>
      <c r="R13" s="48"/>
      <c r="S13" s="48"/>
      <c r="T13" s="48"/>
    </row>
    <row r="14" spans="2:20" s="51" customFormat="1" ht="19.5">
      <c r="B14" s="52" t="s">
        <v>142</v>
      </c>
      <c r="C14" s="53"/>
      <c r="D14" s="54"/>
      <c r="E14" s="55"/>
      <c r="F14" s="55"/>
      <c r="G14" s="55"/>
      <c r="H14" s="55"/>
      <c r="I14" s="55"/>
      <c r="J14" s="56"/>
      <c r="K14" s="57"/>
      <c r="L14" s="58"/>
      <c r="M14" s="58"/>
      <c r="N14" s="58"/>
      <c r="O14" s="58"/>
      <c r="P14" s="58"/>
      <c r="Q14" s="58"/>
      <c r="R14" s="58"/>
      <c r="S14" s="58"/>
      <c r="T14" s="58"/>
    </row>
    <row r="15" spans="2:20" s="51" customFormat="1" ht="19.5" hidden="1">
      <c r="B15" s="59"/>
      <c r="C15" s="60"/>
      <c r="D15" s="60"/>
      <c r="E15" s="58"/>
      <c r="F15" s="58"/>
      <c r="G15" s="61"/>
      <c r="H15" s="61"/>
      <c r="I15" s="61"/>
      <c r="J15" s="58"/>
      <c r="K15" s="62"/>
      <c r="L15" s="58"/>
      <c r="M15" s="58"/>
      <c r="N15" s="58"/>
      <c r="O15" s="58"/>
      <c r="P15" s="58"/>
      <c r="Q15" s="58"/>
      <c r="R15" s="58"/>
      <c r="S15" s="58"/>
      <c r="T15" s="58"/>
    </row>
    <row r="16" spans="2:20" s="51" customFormat="1" ht="19.5" hidden="1">
      <c r="B16" s="52" t="s">
        <v>5</v>
      </c>
      <c r="C16" s="180"/>
      <c r="D16" s="180"/>
      <c r="E16" s="56"/>
      <c r="F16" s="56"/>
      <c r="G16" s="55"/>
      <c r="H16" s="55"/>
      <c r="I16" s="55"/>
      <c r="J16" s="56"/>
      <c r="K16" s="57"/>
      <c r="L16"/>
      <c r="M16" s="58"/>
      <c r="N16" s="58"/>
      <c r="O16" s="58"/>
      <c r="P16" s="58"/>
      <c r="Q16" s="58"/>
      <c r="R16" s="58"/>
      <c r="S16" s="58"/>
      <c r="T16" s="58"/>
    </row>
    <row r="17" spans="2:20" s="51" customFormat="1" ht="19.5">
      <c r="B17" s="59"/>
      <c r="C17" s="60"/>
      <c r="D17" s="60"/>
      <c r="E17" s="58"/>
      <c r="F17" s="58"/>
      <c r="G17" s="61"/>
      <c r="H17" s="61"/>
      <c r="I17" s="61"/>
      <c r="J17" s="58"/>
      <c r="K17" s="62"/>
      <c r="L17"/>
      <c r="M17" s="58"/>
      <c r="N17" s="58"/>
      <c r="O17" s="58"/>
      <c r="P17" s="58"/>
      <c r="Q17" s="58"/>
      <c r="R17" s="58"/>
      <c r="S17" s="58"/>
      <c r="T17" s="58"/>
    </row>
    <row r="18" spans="2:20" s="51" customFormat="1" ht="19.5">
      <c r="B18" s="59"/>
      <c r="C18" s="63" t="s">
        <v>6</v>
      </c>
      <c r="D18" s="64" t="s">
        <v>2</v>
      </c>
      <c r="E18" s="58"/>
      <c r="F18" s="58"/>
      <c r="G18" s="61"/>
      <c r="H18" s="61"/>
      <c r="I18" s="61"/>
      <c r="J18" s="65"/>
      <c r="K18" s="62"/>
      <c r="L18" s="58"/>
      <c r="M18" s="58"/>
      <c r="N18" s="58"/>
      <c r="O18" s="58"/>
      <c r="P18" s="58"/>
      <c r="Q18" s="58"/>
      <c r="R18" s="58"/>
      <c r="S18" s="58"/>
      <c r="T18" s="58"/>
    </row>
    <row r="19" spans="2:20" s="51" customFormat="1" ht="19.5">
      <c r="B19" s="59"/>
      <c r="C19" s="63"/>
      <c r="D19" s="63" t="s">
        <v>7</v>
      </c>
      <c r="E19" s="72" t="s">
        <v>8</v>
      </c>
      <c r="F19" s="72"/>
      <c r="G19" s="61"/>
      <c r="H19" s="61"/>
      <c r="I19" s="61"/>
      <c r="J19" s="65">
        <f>'LI-06 (2)'!AA42</f>
        <v>24641.75</v>
      </c>
      <c r="K19" s="62"/>
      <c r="L19" s="58"/>
      <c r="M19" s="58"/>
      <c r="N19" s="58"/>
      <c r="O19" s="58"/>
      <c r="P19" s="58"/>
      <c r="Q19" s="58"/>
      <c r="R19" s="58"/>
      <c r="S19" s="58"/>
      <c r="T19" s="58"/>
    </row>
    <row r="20" spans="2:20" ht="7.5" customHeight="1">
      <c r="B20" s="66"/>
      <c r="C20" s="67"/>
      <c r="D20" s="68"/>
      <c r="E20" s="7"/>
      <c r="F20" s="7"/>
      <c r="G20" s="69"/>
      <c r="H20" s="69"/>
      <c r="I20" s="69"/>
      <c r="J20" s="70"/>
      <c r="K20" s="9"/>
      <c r="L20" s="7"/>
      <c r="M20" s="7"/>
      <c r="N20" s="7"/>
      <c r="O20" s="7"/>
      <c r="P20" s="7"/>
      <c r="Q20" s="7"/>
      <c r="R20" s="7"/>
      <c r="S20" s="7"/>
      <c r="T20" s="7"/>
    </row>
    <row r="21" spans="2:20" s="51" customFormat="1" ht="19.5">
      <c r="B21" s="59"/>
      <c r="C21" s="63" t="s">
        <v>9</v>
      </c>
      <c r="D21" s="64" t="s">
        <v>10</v>
      </c>
      <c r="E21" s="58"/>
      <c r="F21" s="58"/>
      <c r="G21" s="61"/>
      <c r="H21" s="61"/>
      <c r="I21" s="61"/>
      <c r="J21" s="65"/>
      <c r="K21" s="62"/>
      <c r="L21" s="58"/>
      <c r="M21" s="58"/>
      <c r="N21" s="58"/>
      <c r="O21" s="58"/>
      <c r="P21" s="58"/>
      <c r="Q21" s="58"/>
      <c r="R21" s="58"/>
      <c r="S21" s="58"/>
      <c r="T21" s="58"/>
    </row>
    <row r="22" spans="2:20" s="51" customFormat="1" ht="19.5">
      <c r="B22" s="59"/>
      <c r="C22" s="63"/>
      <c r="D22" s="63" t="s">
        <v>11</v>
      </c>
      <c r="E22" s="72" t="s">
        <v>12</v>
      </c>
      <c r="F22" s="72"/>
      <c r="G22" s="61"/>
      <c r="H22" s="61"/>
      <c r="I22" s="61"/>
      <c r="J22" s="65"/>
      <c r="K22" s="62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51" customFormat="1" ht="19.5">
      <c r="B23" s="59"/>
      <c r="C23" s="63"/>
      <c r="D23"/>
      <c r="E23" s="63" t="s">
        <v>13</v>
      </c>
      <c r="F23" s="72" t="s">
        <v>8</v>
      </c>
      <c r="G23"/>
      <c r="H23" s="61"/>
      <c r="I23" s="61"/>
      <c r="J23" s="65">
        <f>'T-06 (2)'!AC44</f>
        <v>25467.79</v>
      </c>
      <c r="K23" s="62"/>
      <c r="L23" s="58"/>
      <c r="M23" s="58"/>
      <c r="N23" s="58"/>
      <c r="O23" s="58"/>
      <c r="P23" s="58"/>
      <c r="Q23" s="58"/>
      <c r="R23" s="58"/>
      <c r="S23" s="58"/>
      <c r="T23" s="58"/>
    </row>
    <row r="24" spans="2:20" ht="8.25" customHeight="1">
      <c r="B24" s="66"/>
      <c r="C24" s="67"/>
      <c r="D24" s="67"/>
      <c r="E24" s="7"/>
      <c r="F24" s="7"/>
      <c r="G24" s="69"/>
      <c r="H24" s="69"/>
      <c r="I24" s="69"/>
      <c r="J24" s="71"/>
      <c r="K24" s="9"/>
      <c r="L24" s="7"/>
      <c r="M24" s="7"/>
      <c r="N24" s="7"/>
      <c r="O24" s="7"/>
      <c r="P24" s="7"/>
      <c r="Q24" s="7"/>
      <c r="R24" s="7"/>
      <c r="S24" s="7"/>
      <c r="T24" s="7"/>
    </row>
    <row r="25" spans="2:20" s="51" customFormat="1" ht="19.5">
      <c r="B25" s="59"/>
      <c r="C25" s="63"/>
      <c r="D25" s="63" t="s">
        <v>14</v>
      </c>
      <c r="E25" s="72" t="s">
        <v>15</v>
      </c>
      <c r="F25" s="72"/>
      <c r="G25" s="61"/>
      <c r="H25" s="61"/>
      <c r="I25" s="61"/>
      <c r="J25" s="65"/>
      <c r="K25" s="62"/>
      <c r="L25" s="58"/>
      <c r="M25" s="58"/>
      <c r="N25" s="58"/>
      <c r="O25" s="58"/>
      <c r="P25" s="58"/>
      <c r="Q25" s="58"/>
      <c r="R25" s="58"/>
      <c r="S25" s="58"/>
      <c r="T25" s="58"/>
    </row>
    <row r="26" spans="2:20" s="51" customFormat="1" ht="19.5">
      <c r="B26" s="59"/>
      <c r="C26" s="63"/>
      <c r="D26"/>
      <c r="E26" s="63" t="s">
        <v>16</v>
      </c>
      <c r="F26" s="72" t="s">
        <v>8</v>
      </c>
      <c r="G26"/>
      <c r="H26" s="61"/>
      <c r="I26" s="61"/>
      <c r="J26" s="65">
        <f>'SA-06 (1)'!V41</f>
        <v>1892.77</v>
      </c>
      <c r="K26" s="62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51" customFormat="1" ht="9" customHeight="1">
      <c r="B27" s="59"/>
      <c r="C27" s="60"/>
      <c r="D27" s="60"/>
      <c r="E27" s="72"/>
      <c r="F27" s="72"/>
      <c r="G27" s="61"/>
      <c r="H27" s="61"/>
      <c r="I27" s="61"/>
      <c r="J27" s="65"/>
      <c r="K27" s="62"/>
      <c r="L27" s="58"/>
      <c r="M27" s="58"/>
      <c r="N27" s="58"/>
      <c r="O27" s="58"/>
      <c r="P27" s="58"/>
      <c r="Q27" s="58"/>
      <c r="R27" s="58"/>
      <c r="S27" s="58"/>
      <c r="T27" s="58"/>
    </row>
    <row r="28" spans="2:20" s="51" customFormat="1" ht="19.5">
      <c r="B28" s="59"/>
      <c r="C28" s="63"/>
      <c r="D28" s="63"/>
      <c r="E28" s="72"/>
      <c r="F28" s="72"/>
      <c r="G28" s="61"/>
      <c r="H28" s="61"/>
      <c r="I28" s="61"/>
      <c r="J28" s="65"/>
      <c r="K28" s="62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51" customFormat="1" ht="20.25" thickBot="1">
      <c r="B29" s="59"/>
      <c r="C29" s="60"/>
      <c r="D29" s="60"/>
      <c r="E29" s="58"/>
      <c r="F29" s="58"/>
      <c r="G29" s="61"/>
      <c r="H29" s="61"/>
      <c r="I29" s="61"/>
      <c r="J29" s="58"/>
      <c r="K29" s="62"/>
      <c r="L29" s="58"/>
      <c r="M29" s="58"/>
      <c r="N29" s="58"/>
      <c r="O29" s="58"/>
      <c r="P29" s="58"/>
      <c r="Q29" s="58"/>
      <c r="R29" s="58"/>
      <c r="S29" s="58"/>
      <c r="T29" s="58"/>
    </row>
    <row r="30" spans="2:20" s="51" customFormat="1" ht="20.25" thickBot="1" thickTop="1">
      <c r="B30" s="59"/>
      <c r="C30" s="63"/>
      <c r="D30" s="63"/>
      <c r="G30" s="73" t="s">
        <v>17</v>
      </c>
      <c r="H30" s="74">
        <f>SUM(J19:J26)</f>
        <v>52002.31</v>
      </c>
      <c r="I30" s="181"/>
      <c r="K30" s="62"/>
      <c r="L30" s="58"/>
      <c r="M30" s="58"/>
      <c r="N30" s="58"/>
      <c r="O30" s="58"/>
      <c r="P30" s="58"/>
      <c r="Q30" s="58"/>
      <c r="R30" s="58"/>
      <c r="S30" s="58"/>
      <c r="T30" s="58"/>
    </row>
    <row r="31" spans="2:20" s="51" customFormat="1" ht="13.5" customHeight="1" thickTop="1">
      <c r="B31" s="59"/>
      <c r="C31" s="63"/>
      <c r="D31" s="63"/>
      <c r="G31" s="392"/>
      <c r="H31" s="181"/>
      <c r="I31" s="181"/>
      <c r="K31" s="62"/>
      <c r="L31" s="58"/>
      <c r="M31" s="58"/>
      <c r="N31" s="58"/>
      <c r="O31" s="58"/>
      <c r="P31" s="58"/>
      <c r="Q31" s="58"/>
      <c r="R31" s="58"/>
      <c r="S31" s="58"/>
      <c r="T31" s="58"/>
    </row>
    <row r="32" spans="2:20" s="51" customFormat="1" ht="15.75" customHeight="1">
      <c r="B32" s="59"/>
      <c r="C32" s="393" t="s">
        <v>225</v>
      </c>
      <c r="D32" s="63"/>
      <c r="G32" s="392"/>
      <c r="H32" s="181"/>
      <c r="I32" s="181"/>
      <c r="K32" s="62"/>
      <c r="L32" s="58"/>
      <c r="M32" s="58"/>
      <c r="N32" s="58"/>
      <c r="O32" s="58"/>
      <c r="P32" s="58"/>
      <c r="Q32" s="58"/>
      <c r="R32" s="58"/>
      <c r="S32" s="58"/>
      <c r="T32" s="58"/>
    </row>
    <row r="33" spans="2:20" s="47" customFormat="1" ht="12.75" customHeight="1" thickBot="1">
      <c r="B33" s="75"/>
      <c r="C33" s="76"/>
      <c r="D33" s="76"/>
      <c r="E33" s="77"/>
      <c r="F33" s="77"/>
      <c r="G33" s="77"/>
      <c r="H33" s="77"/>
      <c r="I33" s="77"/>
      <c r="J33" s="77"/>
      <c r="K33" s="78"/>
      <c r="L33" s="48"/>
      <c r="M33" s="48"/>
      <c r="N33" s="79"/>
      <c r="O33" s="80"/>
      <c r="P33" s="80"/>
      <c r="Q33" s="81"/>
      <c r="R33" s="82"/>
      <c r="S33" s="48"/>
      <c r="T33" s="48"/>
    </row>
    <row r="34" spans="4:20" ht="13.5" thickTop="1">
      <c r="D34" s="7"/>
      <c r="G34" s="7"/>
      <c r="H34" s="7"/>
      <c r="I34" s="7"/>
      <c r="J34" s="7"/>
      <c r="K34" s="7"/>
      <c r="L34" s="7"/>
      <c r="M34" s="7"/>
      <c r="N34" s="25"/>
      <c r="O34" s="83"/>
      <c r="P34" s="83"/>
      <c r="Q34" s="7"/>
      <c r="R34" s="84"/>
      <c r="S34" s="7"/>
      <c r="T34" s="7"/>
    </row>
    <row r="35" spans="4:20" ht="12.75">
      <c r="D35" s="7"/>
      <c r="G35" s="7"/>
      <c r="H35" s="7"/>
      <c r="I35" s="7"/>
      <c r="J35" s="7"/>
      <c r="K35" s="7"/>
      <c r="L35" s="7"/>
      <c r="M35" s="7"/>
      <c r="N35" s="7"/>
      <c r="O35" s="85"/>
      <c r="P35" s="85"/>
      <c r="Q35" s="86"/>
      <c r="R35" s="84"/>
      <c r="S35" s="7"/>
      <c r="T35" s="7"/>
    </row>
    <row r="36" spans="4:20" ht="12.75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5"/>
      <c r="P36" s="85"/>
      <c r="Q36" s="86"/>
      <c r="R36" s="84"/>
      <c r="S36" s="7"/>
      <c r="T36" s="7"/>
    </row>
    <row r="37" spans="4:20" ht="12.75">
      <c r="D37" s="7"/>
      <c r="E37" s="7"/>
      <c r="F37" s="7"/>
      <c r="M37" s="7"/>
      <c r="N37" s="7"/>
      <c r="O37" s="7"/>
      <c r="P37" s="7"/>
      <c r="Q37" s="7"/>
      <c r="R37" s="7"/>
      <c r="S37" s="7"/>
      <c r="T37" s="7"/>
    </row>
    <row r="38" spans="4:20" ht="12.75">
      <c r="D38" s="7"/>
      <c r="E38" s="7"/>
      <c r="F38" s="7"/>
      <c r="Q38" s="7"/>
      <c r="R38" s="7"/>
      <c r="S38" s="7"/>
      <c r="T38" s="7"/>
    </row>
    <row r="39" spans="4:20" ht="12.75">
      <c r="D39" s="7"/>
      <c r="E39" s="7"/>
      <c r="F39" s="7"/>
      <c r="Q39" s="7"/>
      <c r="R39" s="7"/>
      <c r="S39" s="7"/>
      <c r="T39" s="7"/>
    </row>
    <row r="40" spans="4:20" ht="12.75">
      <c r="D40" s="7"/>
      <c r="E40" s="7"/>
      <c r="F40" s="7"/>
      <c r="Q40" s="7"/>
      <c r="R40" s="7"/>
      <c r="S40" s="7"/>
      <c r="T40" s="7"/>
    </row>
    <row r="41" spans="4:20" ht="12.75">
      <c r="D41" s="7"/>
      <c r="E41" s="7"/>
      <c r="F41" s="7"/>
      <c r="Q41" s="7"/>
      <c r="R41" s="7"/>
      <c r="S41" s="7"/>
      <c r="T41" s="7"/>
    </row>
    <row r="42" spans="4:20" ht="12.75">
      <c r="D42" s="7"/>
      <c r="E42" s="7"/>
      <c r="F42" s="7"/>
      <c r="Q42" s="7"/>
      <c r="R42" s="7"/>
      <c r="S42" s="7"/>
      <c r="T42" s="7"/>
    </row>
    <row r="43" spans="17:20" ht="12.75">
      <c r="Q43" s="7"/>
      <c r="R43" s="7"/>
      <c r="S43" s="7"/>
      <c r="T43" s="7"/>
    </row>
    <row r="44" spans="17:20" ht="12.75">
      <c r="Q44" s="7"/>
      <c r="R44" s="7"/>
      <c r="S44" s="7"/>
      <c r="T44" s="7"/>
    </row>
  </sheetData>
  <sheetProtection/>
  <printOptions/>
  <pageMargins left="0.3937007874015748" right="0.1968503937007874" top="0.7874015748031497" bottom="1.27" header="0.5118110236220472" footer="0.5118110236220472"/>
  <pageSetup fitToHeight="1" fitToWidth="1" orientation="landscape" paperSize="9" scale="89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N45"/>
  <sheetViews>
    <sheetView zoomScale="75" zoomScaleNormal="75" zoomScalePageLayoutView="0" workbookViewId="0" topLeftCell="A13">
      <selection activeCell="B37" sqref="B37"/>
    </sheetView>
  </sheetViews>
  <sheetFormatPr defaultColWidth="11.421875" defaultRowHeight="12.75"/>
  <cols>
    <col min="1" max="1" width="5.00390625" style="0" customWidth="1"/>
    <col min="2" max="2" width="4.140625" style="0" customWidth="1"/>
    <col min="3" max="3" width="4.8515625" style="0" customWidth="1"/>
    <col min="4" max="5" width="13.7109375" style="0" customWidth="1"/>
    <col min="6" max="6" width="41.851562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3" customFormat="1" ht="26.25"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28" s="33" customFormat="1" ht="26.25">
      <c r="B2" s="409" t="str">
        <f>+'TOT-0612'!B2</f>
        <v>ANEXO III al Memorándum  D.T.E.E.  N°  1052 / 2013</v>
      </c>
      <c r="C2" s="36"/>
      <c r="D2" s="36"/>
      <c r="E2" s="36"/>
      <c r="F2" s="36"/>
      <c r="G2" s="11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12"/>
    </row>
    <row r="3" s="8" customFormat="1" ht="16.5" customHeight="1">
      <c r="AB3" s="7"/>
    </row>
    <row r="4" spans="1:28" s="40" customFormat="1" ht="11.25">
      <c r="A4" s="410" t="s">
        <v>130</v>
      </c>
      <c r="B4" s="113"/>
      <c r="C4" s="410"/>
      <c r="AB4" s="41"/>
    </row>
    <row r="5" spans="1:28" s="40" customFormat="1" ht="11.25">
      <c r="A5" s="410" t="s">
        <v>131</v>
      </c>
      <c r="B5" s="113"/>
      <c r="C5" s="113"/>
      <c r="AB5" s="41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90"/>
    </row>
    <row r="8" spans="1:28" s="44" customFormat="1" ht="20.25">
      <c r="A8" s="45"/>
      <c r="B8" s="100"/>
      <c r="C8" s="45"/>
      <c r="D8" s="45"/>
      <c r="E8" s="45"/>
      <c r="F8" s="17" t="s">
        <v>18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01"/>
    </row>
    <row r="9" spans="1:28" s="8" customFormat="1" ht="12.75">
      <c r="A9" s="7"/>
      <c r="B9" s="66"/>
      <c r="C9" s="7"/>
      <c r="D9" s="7"/>
      <c r="E9" s="7"/>
      <c r="F9" s="97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4" customFormat="1" ht="20.25">
      <c r="A10" s="45"/>
      <c r="B10" s="100"/>
      <c r="C10" s="45"/>
      <c r="D10" s="45"/>
      <c r="E10" s="45"/>
      <c r="F10" s="17" t="s">
        <v>19</v>
      </c>
      <c r="G10" s="17"/>
      <c r="H10" s="45"/>
      <c r="I10" s="102"/>
      <c r="J10" s="102"/>
      <c r="K10" s="102"/>
      <c r="L10" s="102"/>
      <c r="M10" s="102"/>
      <c r="N10" s="102"/>
      <c r="O10" s="10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01"/>
    </row>
    <row r="11" spans="1:28" s="8" customFormat="1" ht="12.75">
      <c r="A11" s="7"/>
      <c r="B11" s="66"/>
      <c r="C11" s="7"/>
      <c r="D11" s="7"/>
      <c r="E11" s="7"/>
      <c r="F11" s="97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4" customFormat="1" ht="20.25">
      <c r="A12" s="45"/>
      <c r="B12" s="100"/>
      <c r="C12" s="45"/>
      <c r="D12" s="45"/>
      <c r="E12" s="45"/>
      <c r="F12" s="17" t="s">
        <v>20</v>
      </c>
      <c r="G12" s="17"/>
      <c r="H12" s="45"/>
      <c r="I12" s="102"/>
      <c r="J12" s="102"/>
      <c r="K12" s="102"/>
      <c r="L12" s="102"/>
      <c r="M12" s="102"/>
      <c r="N12" s="102"/>
      <c r="O12" s="10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01"/>
    </row>
    <row r="13" spans="1:28" s="8" customFormat="1" ht="12.75">
      <c r="A13" s="7"/>
      <c r="B13" s="66"/>
      <c r="C13" s="7"/>
      <c r="D13" s="7"/>
      <c r="E13" s="7"/>
      <c r="F13" s="98"/>
      <c r="G13" s="96"/>
      <c r="H13" s="7"/>
      <c r="I13" s="91"/>
      <c r="J13" s="91"/>
      <c r="K13" s="91"/>
      <c r="L13" s="91"/>
      <c r="M13" s="91"/>
      <c r="N13" s="91"/>
      <c r="O13" s="9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1" customFormat="1" ht="19.5">
      <c r="A14" s="58"/>
      <c r="B14" s="351" t="str">
        <f>'TOT-0612'!B14</f>
        <v>Desde el 01 al 30 de junio de 2012</v>
      </c>
      <c r="C14" s="56"/>
      <c r="D14" s="56"/>
      <c r="E14" s="56"/>
      <c r="F14" s="56"/>
      <c r="G14" s="108"/>
      <c r="H14" s="109"/>
      <c r="I14" s="110"/>
      <c r="J14" s="110"/>
      <c r="K14" s="110"/>
      <c r="L14" s="110"/>
      <c r="M14" s="110"/>
      <c r="N14" s="110"/>
      <c r="O14" s="110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</row>
    <row r="15" spans="1:28" s="8" customFormat="1" ht="13.5" thickBot="1">
      <c r="A15" s="7"/>
      <c r="B15" s="66"/>
      <c r="C15" s="7"/>
      <c r="D15" s="7"/>
      <c r="E15" s="7"/>
      <c r="F15" s="7"/>
      <c r="G15" s="7"/>
      <c r="H15" s="99"/>
      <c r="I15" s="91"/>
      <c r="J15" s="91"/>
      <c r="K15" s="91"/>
      <c r="L15" s="91"/>
      <c r="M15" s="91"/>
      <c r="N15" s="91"/>
      <c r="O15" s="9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6"/>
      <c r="C16" s="7"/>
      <c r="D16" s="7"/>
      <c r="E16" s="7"/>
      <c r="F16" s="103" t="s">
        <v>21</v>
      </c>
      <c r="G16" s="318">
        <v>190.2</v>
      </c>
      <c r="H16" s="208"/>
      <c r="I16" s="7"/>
      <c r="J16"/>
      <c r="K16" s="104" t="s">
        <v>22</v>
      </c>
      <c r="L16" s="105">
        <f>30*'TOT-0612'!B13</f>
        <v>30</v>
      </c>
      <c r="M16" s="191" t="str">
        <f>IF(L16=30," ",IF(L16=60,"Coeficiente duplicado por tasa de falla &gt;4 Sal. x año/100 km.","REVISAR COEFICIENTE"))</f>
        <v> 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6"/>
      <c r="C17" s="413">
        <v>3</v>
      </c>
      <c r="D17" s="413">
        <v>4</v>
      </c>
      <c r="E17" s="413">
        <v>5</v>
      </c>
      <c r="F17" s="413">
        <v>6</v>
      </c>
      <c r="G17" s="413">
        <v>7</v>
      </c>
      <c r="H17" s="413">
        <v>8</v>
      </c>
      <c r="I17" s="413">
        <v>9</v>
      </c>
      <c r="J17" s="413">
        <v>10</v>
      </c>
      <c r="K17" s="413">
        <v>11</v>
      </c>
      <c r="L17" s="413">
        <v>12</v>
      </c>
      <c r="M17" s="413">
        <v>13</v>
      </c>
      <c r="N17" s="413">
        <v>14</v>
      </c>
      <c r="O17" s="413">
        <v>15</v>
      </c>
      <c r="P17" s="413">
        <v>16</v>
      </c>
      <c r="Q17" s="413">
        <v>17</v>
      </c>
      <c r="R17" s="413">
        <v>18</v>
      </c>
      <c r="S17" s="413">
        <v>19</v>
      </c>
      <c r="T17" s="413">
        <v>20</v>
      </c>
      <c r="U17" s="413">
        <v>21</v>
      </c>
      <c r="V17" s="413">
        <v>22</v>
      </c>
      <c r="W17" s="413">
        <v>23</v>
      </c>
      <c r="X17" s="413">
        <v>24</v>
      </c>
      <c r="Y17" s="413">
        <v>25</v>
      </c>
      <c r="Z17" s="413">
        <v>26</v>
      </c>
      <c r="AA17" s="413">
        <v>27</v>
      </c>
      <c r="AB17" s="9"/>
    </row>
    <row r="18" spans="1:28" s="8" customFormat="1" ht="33.75" customHeight="1" thickBot="1" thickTop="1">
      <c r="A18" s="7"/>
      <c r="B18" s="66"/>
      <c r="C18" s="114" t="s">
        <v>23</v>
      </c>
      <c r="D18" s="114" t="s">
        <v>129</v>
      </c>
      <c r="E18" s="114" t="s">
        <v>128</v>
      </c>
      <c r="F18" s="115" t="s">
        <v>2</v>
      </c>
      <c r="G18" s="116" t="s">
        <v>24</v>
      </c>
      <c r="H18" s="117" t="s">
        <v>25</v>
      </c>
      <c r="I18" s="195" t="s">
        <v>26</v>
      </c>
      <c r="J18" s="115" t="s">
        <v>27</v>
      </c>
      <c r="K18" s="115" t="s">
        <v>28</v>
      </c>
      <c r="L18" s="116" t="s">
        <v>29</v>
      </c>
      <c r="M18" s="116" t="s">
        <v>30</v>
      </c>
      <c r="N18" s="118" t="s">
        <v>31</v>
      </c>
      <c r="O18" s="116" t="s">
        <v>32</v>
      </c>
      <c r="P18" s="210" t="s">
        <v>33</v>
      </c>
      <c r="Q18" s="215" t="s">
        <v>34</v>
      </c>
      <c r="R18" s="220" t="s">
        <v>35</v>
      </c>
      <c r="S18" s="221"/>
      <c r="T18" s="222"/>
      <c r="U18" s="233" t="s">
        <v>36</v>
      </c>
      <c r="V18" s="234"/>
      <c r="W18" s="235"/>
      <c r="X18" s="248" t="s">
        <v>37</v>
      </c>
      <c r="Y18" s="253" t="s">
        <v>38</v>
      </c>
      <c r="Z18" s="119" t="s">
        <v>39</v>
      </c>
      <c r="AA18" s="206" t="s">
        <v>40</v>
      </c>
      <c r="AB18" s="9"/>
    </row>
    <row r="19" spans="1:28" s="8" customFormat="1" ht="15.75" thickTop="1">
      <c r="A19" s="7"/>
      <c r="B19" s="66"/>
      <c r="C19" s="327"/>
      <c r="D19" s="407"/>
      <c r="E19" s="407"/>
      <c r="F19" s="328"/>
      <c r="G19" s="335"/>
      <c r="H19" s="336"/>
      <c r="I19" s="209"/>
      <c r="J19" s="341"/>
      <c r="K19" s="341"/>
      <c r="L19" s="10"/>
      <c r="M19" s="10"/>
      <c r="N19" s="328"/>
      <c r="O19" s="331"/>
      <c r="P19" s="211"/>
      <c r="Q19" s="216"/>
      <c r="R19" s="223"/>
      <c r="S19" s="229"/>
      <c r="T19" s="230"/>
      <c r="U19" s="236"/>
      <c r="V19" s="240"/>
      <c r="W19" s="244"/>
      <c r="X19" s="249"/>
      <c r="Y19" s="254"/>
      <c r="Z19" s="347"/>
      <c r="AA19" s="207"/>
      <c r="AB19" s="9"/>
    </row>
    <row r="20" spans="1:28" s="8" customFormat="1" ht="15">
      <c r="A20" s="7"/>
      <c r="B20" s="66"/>
      <c r="C20" s="329"/>
      <c r="D20" s="330"/>
      <c r="E20" s="330"/>
      <c r="F20" s="330"/>
      <c r="G20" s="329"/>
      <c r="H20" s="329"/>
      <c r="I20" s="196"/>
      <c r="J20" s="329"/>
      <c r="K20" s="337"/>
      <c r="L20" s="11"/>
      <c r="M20" s="11"/>
      <c r="N20" s="330"/>
      <c r="O20" s="329"/>
      <c r="P20" s="212"/>
      <c r="Q20" s="217"/>
      <c r="R20" s="223"/>
      <c r="S20" s="229"/>
      <c r="T20" s="230"/>
      <c r="U20" s="237"/>
      <c r="V20" s="241"/>
      <c r="W20" s="245"/>
      <c r="X20" s="250"/>
      <c r="Y20" s="255"/>
      <c r="Z20" s="348"/>
      <c r="AA20" s="106"/>
      <c r="AB20" s="9"/>
    </row>
    <row r="21" spans="1:28" s="8" customFormat="1" ht="15">
      <c r="A21" s="7"/>
      <c r="B21" s="66"/>
      <c r="C21" s="331">
        <v>1</v>
      </c>
      <c r="D21" s="328">
        <v>248411</v>
      </c>
      <c r="E21" s="328">
        <v>4045</v>
      </c>
      <c r="F21" s="332" t="s">
        <v>143</v>
      </c>
      <c r="G21" s="337">
        <v>132</v>
      </c>
      <c r="H21" s="338">
        <v>33.75</v>
      </c>
      <c r="I21" s="197">
        <f aca="true" t="shared" si="0" ref="I21:I40">$G$16/100*IF(H21&gt;25,H21,25)</f>
        <v>64.1925</v>
      </c>
      <c r="J21" s="342">
        <v>41061.347916666666</v>
      </c>
      <c r="K21" s="342">
        <v>41061.558333333334</v>
      </c>
      <c r="L21" s="12">
        <f aca="true" t="shared" si="1" ref="L21:L40">IF(F21="","",(K21-J21)*24)</f>
        <v>5.050000000046566</v>
      </c>
      <c r="M21" s="13">
        <f aca="true" t="shared" si="2" ref="M21:M40">IF(F21="","",ROUND((K21-J21)*24*60,0))</f>
        <v>303</v>
      </c>
      <c r="N21" s="344" t="s">
        <v>144</v>
      </c>
      <c r="O21" s="345" t="str">
        <f aca="true" t="shared" si="3" ref="O21:O40">IF(F21="","","--")</f>
        <v>--</v>
      </c>
      <c r="P21" s="213">
        <f aca="true" t="shared" si="4" ref="P21:P40">IF(N21="P",ROUND(M21/60,2)*I21*$L$16*0.01,"--")</f>
        <v>97.25163749999999</v>
      </c>
      <c r="Q21" s="218" t="str">
        <f aca="true" t="shared" si="5" ref="Q21:Q40">IF(N21="RP",I21*O21*ROUND(L21/60,2)*0.01*M21/100,"--")</f>
        <v>--</v>
      </c>
      <c r="R21" s="223" t="str">
        <f aca="true" t="shared" si="6" ref="R21:R40">IF(N21="F",I21*$L$16,"--")</f>
        <v>--</v>
      </c>
      <c r="S21" s="224" t="str">
        <f aca="true" t="shared" si="7" ref="S21:S40">IF(AND(M21&gt;10,N21="F"),I21*$L$16*IF(M21&gt;180,3,ROUND((M21)/60,2)),"--")</f>
        <v>--</v>
      </c>
      <c r="T21" s="225" t="str">
        <f aca="true" t="shared" si="8" ref="T21:T40">IF(AND(M21&gt;180,N21="F"),(ROUND(M21/60,2)-3)*I21*$L$16*0.1,"--")</f>
        <v>--</v>
      </c>
      <c r="U21" s="238" t="str">
        <f aca="true" t="shared" si="9" ref="U21:U40">IF(N21="R",I21*$L$16*O21/100,"--")</f>
        <v>--</v>
      </c>
      <c r="V21" s="242" t="str">
        <f aca="true" t="shared" si="10" ref="V21:V40">IF(AND(M21&gt;10,N21="R"),I21*$L$16*O21/100*IF(M21&gt;180,3,ROUND(M21/60,2)),"--")</f>
        <v>--</v>
      </c>
      <c r="W21" s="246" t="str">
        <f aca="true" t="shared" si="11" ref="W21:W40">IF(AND(M21&gt;180,N21="R"),(ROUND(M21/60,2)-3)*I21*$L$16*0.1*O21/100,"--")</f>
        <v>--</v>
      </c>
      <c r="X21" s="251" t="str">
        <f aca="true" t="shared" si="12" ref="X21:X40">IF(N21="RF",ROUND(M21/60,2)*I21*$L$16*0.1,"--")</f>
        <v>--</v>
      </c>
      <c r="Y21" s="256" t="str">
        <f aca="true" t="shared" si="13" ref="Y21:Y40">IF(N21="RR",ROUND(M21/60,2)*I21*$L$16*0.1*O21/100,"--")</f>
        <v>--</v>
      </c>
      <c r="Z21" s="349" t="s">
        <v>145</v>
      </c>
      <c r="AA21" s="29">
        <f aca="true" t="shared" si="14" ref="AA21:AA40">IF(F21="","",SUM(P21:Y21)*IF(Z21="SI",1,2))</f>
        <v>97.25163749999999</v>
      </c>
      <c r="AB21" s="316"/>
    </row>
    <row r="22" spans="1:28" s="8" customFormat="1" ht="15">
      <c r="A22" s="7"/>
      <c r="B22" s="66"/>
      <c r="C22" s="331">
        <v>2</v>
      </c>
      <c r="D22" s="328">
        <v>248417</v>
      </c>
      <c r="E22" s="328">
        <v>307</v>
      </c>
      <c r="F22" s="332" t="s">
        <v>146</v>
      </c>
      <c r="G22" s="337">
        <v>132</v>
      </c>
      <c r="H22" s="338">
        <v>155.60000610351562</v>
      </c>
      <c r="I22" s="197">
        <f t="shared" si="0"/>
        <v>295.9512116088867</v>
      </c>
      <c r="J22" s="342">
        <v>41066.160416666666</v>
      </c>
      <c r="K22" s="342">
        <v>41066.16458333333</v>
      </c>
      <c r="L22" s="12">
        <f t="shared" si="1"/>
        <v>0.09999999997671694</v>
      </c>
      <c r="M22" s="13">
        <f t="shared" si="2"/>
        <v>6</v>
      </c>
      <c r="N22" s="344" t="s">
        <v>147</v>
      </c>
      <c r="O22" s="345" t="str">
        <f t="shared" si="3"/>
        <v>--</v>
      </c>
      <c r="P22" s="213" t="str">
        <f t="shared" si="4"/>
        <v>--</v>
      </c>
      <c r="Q22" s="218" t="str">
        <f t="shared" si="5"/>
        <v>--</v>
      </c>
      <c r="R22" s="223">
        <f t="shared" si="6"/>
        <v>8878.536348266602</v>
      </c>
      <c r="S22" s="224" t="str">
        <f t="shared" si="7"/>
        <v>--</v>
      </c>
      <c r="T22" s="225" t="str">
        <f t="shared" si="8"/>
        <v>--</v>
      </c>
      <c r="U22" s="238" t="str">
        <f t="shared" si="9"/>
        <v>--</v>
      </c>
      <c r="V22" s="242" t="str">
        <f t="shared" si="10"/>
        <v>--</v>
      </c>
      <c r="W22" s="246" t="str">
        <f t="shared" si="11"/>
        <v>--</v>
      </c>
      <c r="X22" s="251" t="str">
        <f t="shared" si="12"/>
        <v>--</v>
      </c>
      <c r="Y22" s="256" t="str">
        <f t="shared" si="13"/>
        <v>--</v>
      </c>
      <c r="Z22" s="349" t="s">
        <v>145</v>
      </c>
      <c r="AA22" s="29">
        <f t="shared" si="14"/>
        <v>8878.536348266602</v>
      </c>
      <c r="AB22" s="316"/>
    </row>
    <row r="23" spans="1:28" s="8" customFormat="1" ht="15">
      <c r="A23" s="7"/>
      <c r="B23" s="66"/>
      <c r="C23" s="331">
        <v>3</v>
      </c>
      <c r="D23" s="328">
        <v>248418</v>
      </c>
      <c r="E23" s="328">
        <v>312</v>
      </c>
      <c r="F23" s="332" t="s">
        <v>148</v>
      </c>
      <c r="G23" s="337">
        <v>132</v>
      </c>
      <c r="H23" s="338">
        <v>24.5</v>
      </c>
      <c r="I23" s="197">
        <f t="shared" si="0"/>
        <v>47.55</v>
      </c>
      <c r="J23" s="342">
        <v>41066.43125</v>
      </c>
      <c r="K23" s="342">
        <v>41066.55347222222</v>
      </c>
      <c r="L23" s="12">
        <f t="shared" si="1"/>
        <v>2.9333333332906477</v>
      </c>
      <c r="M23" s="13">
        <f t="shared" si="2"/>
        <v>176</v>
      </c>
      <c r="N23" s="344" t="s">
        <v>144</v>
      </c>
      <c r="O23" s="345" t="str">
        <f t="shared" si="3"/>
        <v>--</v>
      </c>
      <c r="P23" s="213">
        <f t="shared" si="4"/>
        <v>41.79644999999999</v>
      </c>
      <c r="Q23" s="218" t="str">
        <f t="shared" si="5"/>
        <v>--</v>
      </c>
      <c r="R23" s="223" t="str">
        <f t="shared" si="6"/>
        <v>--</v>
      </c>
      <c r="S23" s="224" t="str">
        <f t="shared" si="7"/>
        <v>--</v>
      </c>
      <c r="T23" s="225" t="str">
        <f t="shared" si="8"/>
        <v>--</v>
      </c>
      <c r="U23" s="238" t="str">
        <f t="shared" si="9"/>
        <v>--</v>
      </c>
      <c r="V23" s="242" t="str">
        <f t="shared" si="10"/>
        <v>--</v>
      </c>
      <c r="W23" s="246" t="str">
        <f t="shared" si="11"/>
        <v>--</v>
      </c>
      <c r="X23" s="251" t="str">
        <f t="shared" si="12"/>
        <v>--</v>
      </c>
      <c r="Y23" s="256" t="str">
        <f t="shared" si="13"/>
        <v>--</v>
      </c>
      <c r="Z23" s="349" t="s">
        <v>145</v>
      </c>
      <c r="AA23" s="29">
        <f t="shared" si="14"/>
        <v>41.79644999999999</v>
      </c>
      <c r="AB23" s="316"/>
    </row>
    <row r="24" spans="1:28" s="8" customFormat="1" ht="15">
      <c r="A24" s="7"/>
      <c r="B24" s="66"/>
      <c r="C24" s="331">
        <v>4</v>
      </c>
      <c r="D24" s="328">
        <v>248420</v>
      </c>
      <c r="E24" s="328">
        <v>312</v>
      </c>
      <c r="F24" s="332" t="s">
        <v>148</v>
      </c>
      <c r="G24" s="337">
        <v>132</v>
      </c>
      <c r="H24" s="338">
        <v>24.5</v>
      </c>
      <c r="I24" s="197">
        <f t="shared" si="0"/>
        <v>47.55</v>
      </c>
      <c r="J24" s="342">
        <v>41067.42222222222</v>
      </c>
      <c r="K24" s="342">
        <v>41067.55138888889</v>
      </c>
      <c r="L24" s="12">
        <f t="shared" si="1"/>
        <v>3.099999999976717</v>
      </c>
      <c r="M24" s="13">
        <f t="shared" si="2"/>
        <v>186</v>
      </c>
      <c r="N24" s="344" t="s">
        <v>144</v>
      </c>
      <c r="O24" s="345" t="str">
        <f t="shared" si="3"/>
        <v>--</v>
      </c>
      <c r="P24" s="213">
        <f t="shared" si="4"/>
        <v>44.2215</v>
      </c>
      <c r="Q24" s="218" t="str">
        <f t="shared" si="5"/>
        <v>--</v>
      </c>
      <c r="R24" s="223" t="str">
        <f t="shared" si="6"/>
        <v>--</v>
      </c>
      <c r="S24" s="224" t="str">
        <f t="shared" si="7"/>
        <v>--</v>
      </c>
      <c r="T24" s="225" t="str">
        <f t="shared" si="8"/>
        <v>--</v>
      </c>
      <c r="U24" s="238" t="str">
        <f t="shared" si="9"/>
        <v>--</v>
      </c>
      <c r="V24" s="242" t="str">
        <f t="shared" si="10"/>
        <v>--</v>
      </c>
      <c r="W24" s="246" t="str">
        <f t="shared" si="11"/>
        <v>--</v>
      </c>
      <c r="X24" s="251" t="str">
        <f t="shared" si="12"/>
        <v>--</v>
      </c>
      <c r="Y24" s="256" t="str">
        <f t="shared" si="13"/>
        <v>--</v>
      </c>
      <c r="Z24" s="349" t="s">
        <v>145</v>
      </c>
      <c r="AA24" s="29">
        <f t="shared" si="14"/>
        <v>44.2215</v>
      </c>
      <c r="AB24" s="316"/>
    </row>
    <row r="25" spans="1:28" s="8" customFormat="1" ht="15">
      <c r="A25" s="7"/>
      <c r="B25" s="66"/>
      <c r="C25" s="331">
        <v>5</v>
      </c>
      <c r="D25" s="328">
        <v>248422</v>
      </c>
      <c r="E25" s="328">
        <v>312</v>
      </c>
      <c r="F25" s="332" t="s">
        <v>148</v>
      </c>
      <c r="G25" s="337">
        <v>132</v>
      </c>
      <c r="H25" s="338">
        <v>24.5</v>
      </c>
      <c r="I25" s="197">
        <f t="shared" si="0"/>
        <v>47.55</v>
      </c>
      <c r="J25" s="342">
        <v>41068.47083333333</v>
      </c>
      <c r="K25" s="342">
        <v>41068.57777777778</v>
      </c>
      <c r="L25" s="12">
        <f t="shared" si="1"/>
        <v>2.5666666666511446</v>
      </c>
      <c r="M25" s="13">
        <f t="shared" si="2"/>
        <v>154</v>
      </c>
      <c r="N25" s="344" t="s">
        <v>144</v>
      </c>
      <c r="O25" s="345" t="str">
        <f t="shared" si="3"/>
        <v>--</v>
      </c>
      <c r="P25" s="213">
        <f t="shared" si="4"/>
        <v>36.661049999999996</v>
      </c>
      <c r="Q25" s="218" t="str">
        <f t="shared" si="5"/>
        <v>--</v>
      </c>
      <c r="R25" s="223" t="str">
        <f t="shared" si="6"/>
        <v>--</v>
      </c>
      <c r="S25" s="224" t="str">
        <f t="shared" si="7"/>
        <v>--</v>
      </c>
      <c r="T25" s="225" t="str">
        <f t="shared" si="8"/>
        <v>--</v>
      </c>
      <c r="U25" s="238" t="str">
        <f t="shared" si="9"/>
        <v>--</v>
      </c>
      <c r="V25" s="242" t="str">
        <f t="shared" si="10"/>
        <v>--</v>
      </c>
      <c r="W25" s="246" t="str">
        <f t="shared" si="11"/>
        <v>--</v>
      </c>
      <c r="X25" s="251" t="str">
        <f t="shared" si="12"/>
        <v>--</v>
      </c>
      <c r="Y25" s="256" t="str">
        <f t="shared" si="13"/>
        <v>--</v>
      </c>
      <c r="Z25" s="349" t="s">
        <v>145</v>
      </c>
      <c r="AA25" s="29">
        <f t="shared" si="14"/>
        <v>36.661049999999996</v>
      </c>
      <c r="AB25" s="316"/>
    </row>
    <row r="26" spans="1:28" s="8" customFormat="1" ht="15">
      <c r="A26" s="7"/>
      <c r="B26" s="66"/>
      <c r="C26" s="331">
        <v>6</v>
      </c>
      <c r="D26" s="328">
        <v>248424</v>
      </c>
      <c r="E26" s="328">
        <v>3579</v>
      </c>
      <c r="F26" s="332" t="s">
        <v>149</v>
      </c>
      <c r="G26" s="337">
        <v>132</v>
      </c>
      <c r="H26" s="338">
        <v>80.30000305175781</v>
      </c>
      <c r="I26" s="197">
        <f t="shared" si="0"/>
        <v>152.73060580444334</v>
      </c>
      <c r="J26" s="342">
        <v>41070.39444444444</v>
      </c>
      <c r="K26" s="342">
        <v>41070.59097222222</v>
      </c>
      <c r="L26" s="12">
        <f t="shared" si="1"/>
        <v>4.716666666674428</v>
      </c>
      <c r="M26" s="13">
        <f t="shared" si="2"/>
        <v>283</v>
      </c>
      <c r="N26" s="344" t="s">
        <v>144</v>
      </c>
      <c r="O26" s="345" t="str">
        <f t="shared" si="3"/>
        <v>--</v>
      </c>
      <c r="P26" s="213">
        <f t="shared" si="4"/>
        <v>216.26653781909175</v>
      </c>
      <c r="Q26" s="218" t="str">
        <f t="shared" si="5"/>
        <v>--</v>
      </c>
      <c r="R26" s="223" t="str">
        <f t="shared" si="6"/>
        <v>--</v>
      </c>
      <c r="S26" s="224" t="str">
        <f t="shared" si="7"/>
        <v>--</v>
      </c>
      <c r="T26" s="225" t="str">
        <f t="shared" si="8"/>
        <v>--</v>
      </c>
      <c r="U26" s="238" t="str">
        <f t="shared" si="9"/>
        <v>--</v>
      </c>
      <c r="V26" s="242" t="str">
        <f t="shared" si="10"/>
        <v>--</v>
      </c>
      <c r="W26" s="246" t="str">
        <f t="shared" si="11"/>
        <v>--</v>
      </c>
      <c r="X26" s="251" t="str">
        <f t="shared" si="12"/>
        <v>--</v>
      </c>
      <c r="Y26" s="256" t="str">
        <f t="shared" si="13"/>
        <v>--</v>
      </c>
      <c r="Z26" s="349" t="s">
        <v>145</v>
      </c>
      <c r="AA26" s="29">
        <f t="shared" si="14"/>
        <v>216.26653781909175</v>
      </c>
      <c r="AB26" s="316"/>
    </row>
    <row r="27" spans="1:28" s="8" customFormat="1" ht="15">
      <c r="A27" s="7"/>
      <c r="B27" s="66"/>
      <c r="C27" s="331">
        <v>7</v>
      </c>
      <c r="D27" s="328">
        <v>248438</v>
      </c>
      <c r="E27" s="328">
        <v>4691</v>
      </c>
      <c r="F27" s="332" t="s">
        <v>202</v>
      </c>
      <c r="G27" s="337">
        <v>132</v>
      </c>
      <c r="H27" s="338">
        <v>102</v>
      </c>
      <c r="I27" s="197">
        <f t="shared" si="0"/>
        <v>194.004</v>
      </c>
      <c r="J27" s="342">
        <v>41070.39722222222</v>
      </c>
      <c r="K27" s="342">
        <v>41070.58194444444</v>
      </c>
      <c r="L27" s="12">
        <f t="shared" si="1"/>
        <v>4.433333333290648</v>
      </c>
      <c r="M27" s="13">
        <f t="shared" si="2"/>
        <v>266</v>
      </c>
      <c r="N27" s="344" t="s">
        <v>144</v>
      </c>
      <c r="O27" s="345" t="str">
        <f t="shared" si="3"/>
        <v>--</v>
      </c>
      <c r="P27" s="213">
        <f t="shared" si="4"/>
        <v>257.83131599999996</v>
      </c>
      <c r="Q27" s="218" t="str">
        <f t="shared" si="5"/>
        <v>--</v>
      </c>
      <c r="R27" s="223" t="str">
        <f t="shared" si="6"/>
        <v>--</v>
      </c>
      <c r="S27" s="224" t="str">
        <f t="shared" si="7"/>
        <v>--</v>
      </c>
      <c r="T27" s="225" t="str">
        <f t="shared" si="8"/>
        <v>--</v>
      </c>
      <c r="U27" s="238" t="str">
        <f t="shared" si="9"/>
        <v>--</v>
      </c>
      <c r="V27" s="242" t="str">
        <f t="shared" si="10"/>
        <v>--</v>
      </c>
      <c r="W27" s="246" t="str">
        <f t="shared" si="11"/>
        <v>--</v>
      </c>
      <c r="X27" s="251" t="str">
        <f t="shared" si="12"/>
        <v>--</v>
      </c>
      <c r="Y27" s="256" t="str">
        <f t="shared" si="13"/>
        <v>--</v>
      </c>
      <c r="Z27" s="349" t="s">
        <v>145</v>
      </c>
      <c r="AA27" s="29">
        <f t="shared" si="14"/>
        <v>257.83131599999996</v>
      </c>
      <c r="AB27" s="316"/>
    </row>
    <row r="28" spans="1:28" s="8" customFormat="1" ht="15">
      <c r="A28" s="7"/>
      <c r="B28" s="66"/>
      <c r="C28" s="331">
        <v>8</v>
      </c>
      <c r="D28" s="328">
        <v>248581</v>
      </c>
      <c r="E28" s="328">
        <v>297</v>
      </c>
      <c r="F28" s="332" t="s">
        <v>150</v>
      </c>
      <c r="G28" s="337">
        <v>132</v>
      </c>
      <c r="H28" s="338">
        <v>76.5</v>
      </c>
      <c r="I28" s="197">
        <f t="shared" si="0"/>
        <v>145.503</v>
      </c>
      <c r="J28" s="342">
        <v>41073.404861111114</v>
      </c>
      <c r="K28" s="342">
        <v>41073.604166666664</v>
      </c>
      <c r="L28" s="12">
        <f t="shared" si="1"/>
        <v>4.783333333209157</v>
      </c>
      <c r="M28" s="13">
        <f t="shared" si="2"/>
        <v>287</v>
      </c>
      <c r="N28" s="344" t="s">
        <v>144</v>
      </c>
      <c r="O28" s="345" t="str">
        <f t="shared" si="3"/>
        <v>--</v>
      </c>
      <c r="P28" s="213">
        <f t="shared" si="4"/>
        <v>208.651302</v>
      </c>
      <c r="Q28" s="218" t="str">
        <f t="shared" si="5"/>
        <v>--</v>
      </c>
      <c r="R28" s="223" t="str">
        <f t="shared" si="6"/>
        <v>--</v>
      </c>
      <c r="S28" s="224" t="str">
        <f t="shared" si="7"/>
        <v>--</v>
      </c>
      <c r="T28" s="225" t="str">
        <f t="shared" si="8"/>
        <v>--</v>
      </c>
      <c r="U28" s="238" t="str">
        <f t="shared" si="9"/>
        <v>--</v>
      </c>
      <c r="V28" s="242" t="str">
        <f t="shared" si="10"/>
        <v>--</v>
      </c>
      <c r="W28" s="246" t="str">
        <f t="shared" si="11"/>
        <v>--</v>
      </c>
      <c r="X28" s="251" t="str">
        <f t="shared" si="12"/>
        <v>--</v>
      </c>
      <c r="Y28" s="256" t="str">
        <f t="shared" si="13"/>
        <v>--</v>
      </c>
      <c r="Z28" s="349" t="s">
        <v>145</v>
      </c>
      <c r="AA28" s="29">
        <f t="shared" si="14"/>
        <v>208.651302</v>
      </c>
      <c r="AB28" s="9"/>
    </row>
    <row r="29" spans="1:28" s="8" customFormat="1" ht="15">
      <c r="A29" s="7"/>
      <c r="B29" s="66"/>
      <c r="C29" s="331">
        <v>9</v>
      </c>
      <c r="D29" s="328">
        <v>248584</v>
      </c>
      <c r="E29" s="328">
        <v>297</v>
      </c>
      <c r="F29" s="332" t="s">
        <v>150</v>
      </c>
      <c r="G29" s="337">
        <v>132</v>
      </c>
      <c r="H29" s="338">
        <v>76.5</v>
      </c>
      <c r="I29" s="197">
        <f t="shared" si="0"/>
        <v>145.503</v>
      </c>
      <c r="J29" s="342">
        <v>41074.32708333333</v>
      </c>
      <c r="K29" s="342">
        <v>41074.61319444444</v>
      </c>
      <c r="L29" s="12">
        <f t="shared" si="1"/>
        <v>6.866666666697711</v>
      </c>
      <c r="M29" s="13">
        <f t="shared" si="2"/>
        <v>412</v>
      </c>
      <c r="N29" s="344" t="s">
        <v>144</v>
      </c>
      <c r="O29" s="345" t="str">
        <f t="shared" si="3"/>
        <v>--</v>
      </c>
      <c r="P29" s="213">
        <f t="shared" si="4"/>
        <v>299.881683</v>
      </c>
      <c r="Q29" s="218" t="str">
        <f t="shared" si="5"/>
        <v>--</v>
      </c>
      <c r="R29" s="223" t="str">
        <f t="shared" si="6"/>
        <v>--</v>
      </c>
      <c r="S29" s="224" t="str">
        <f t="shared" si="7"/>
        <v>--</v>
      </c>
      <c r="T29" s="225" t="str">
        <f t="shared" si="8"/>
        <v>--</v>
      </c>
      <c r="U29" s="238" t="str">
        <f t="shared" si="9"/>
        <v>--</v>
      </c>
      <c r="V29" s="242" t="str">
        <f t="shared" si="10"/>
        <v>--</v>
      </c>
      <c r="W29" s="246" t="str">
        <f t="shared" si="11"/>
        <v>--</v>
      </c>
      <c r="X29" s="251" t="str">
        <f t="shared" si="12"/>
        <v>--</v>
      </c>
      <c r="Y29" s="256" t="str">
        <f t="shared" si="13"/>
        <v>--</v>
      </c>
      <c r="Z29" s="349" t="s">
        <v>145</v>
      </c>
      <c r="AA29" s="29">
        <f t="shared" si="14"/>
        <v>299.881683</v>
      </c>
      <c r="AB29" s="9"/>
    </row>
    <row r="30" spans="1:28" s="8" customFormat="1" ht="15">
      <c r="A30" s="7"/>
      <c r="B30" s="66"/>
      <c r="C30" s="331">
        <v>10</v>
      </c>
      <c r="D30" s="328">
        <v>248586</v>
      </c>
      <c r="E30" s="328">
        <v>297</v>
      </c>
      <c r="F30" s="332" t="s">
        <v>150</v>
      </c>
      <c r="G30" s="337">
        <v>132</v>
      </c>
      <c r="H30" s="338">
        <v>76.5</v>
      </c>
      <c r="I30" s="197">
        <f t="shared" si="0"/>
        <v>145.503</v>
      </c>
      <c r="J30" s="342">
        <v>41075.33541666667</v>
      </c>
      <c r="K30" s="342">
        <v>41075.575694444444</v>
      </c>
      <c r="L30" s="12">
        <f t="shared" si="1"/>
        <v>5.7666666666045785</v>
      </c>
      <c r="M30" s="13">
        <f t="shared" si="2"/>
        <v>346</v>
      </c>
      <c r="N30" s="344" t="s">
        <v>144</v>
      </c>
      <c r="O30" s="345" t="str">
        <f t="shared" si="3"/>
        <v>--</v>
      </c>
      <c r="P30" s="213">
        <f t="shared" si="4"/>
        <v>251.86569299999996</v>
      </c>
      <c r="Q30" s="218" t="str">
        <f t="shared" si="5"/>
        <v>--</v>
      </c>
      <c r="R30" s="223" t="str">
        <f t="shared" si="6"/>
        <v>--</v>
      </c>
      <c r="S30" s="224" t="str">
        <f t="shared" si="7"/>
        <v>--</v>
      </c>
      <c r="T30" s="225" t="str">
        <f t="shared" si="8"/>
        <v>--</v>
      </c>
      <c r="U30" s="238" t="str">
        <f t="shared" si="9"/>
        <v>--</v>
      </c>
      <c r="V30" s="242" t="str">
        <f t="shared" si="10"/>
        <v>--</v>
      </c>
      <c r="W30" s="246" t="str">
        <f t="shared" si="11"/>
        <v>--</v>
      </c>
      <c r="X30" s="251" t="str">
        <f t="shared" si="12"/>
        <v>--</v>
      </c>
      <c r="Y30" s="256" t="str">
        <f t="shared" si="13"/>
        <v>--</v>
      </c>
      <c r="Z30" s="349" t="s">
        <v>145</v>
      </c>
      <c r="AA30" s="29">
        <f t="shared" si="14"/>
        <v>251.86569299999996</v>
      </c>
      <c r="AB30" s="9"/>
    </row>
    <row r="31" spans="1:28" s="8" customFormat="1" ht="15">
      <c r="A31" s="7"/>
      <c r="B31" s="66"/>
      <c r="C31" s="331">
        <v>11</v>
      </c>
      <c r="D31" s="328">
        <v>248588</v>
      </c>
      <c r="E31" s="328">
        <v>4810</v>
      </c>
      <c r="F31" s="332" t="s">
        <v>200</v>
      </c>
      <c r="G31" s="337">
        <v>132</v>
      </c>
      <c r="H31" s="338">
        <v>99.1</v>
      </c>
      <c r="I31" s="197">
        <f t="shared" si="0"/>
        <v>188.48819999999998</v>
      </c>
      <c r="J31" s="342">
        <v>41077.27569444444</v>
      </c>
      <c r="K31" s="342">
        <v>41077.27916666667</v>
      </c>
      <c r="L31" s="12">
        <f t="shared" si="1"/>
        <v>0.0833333334303461</v>
      </c>
      <c r="M31" s="13">
        <f t="shared" si="2"/>
        <v>5</v>
      </c>
      <c r="N31" s="344" t="s">
        <v>147</v>
      </c>
      <c r="O31" s="345" t="str">
        <f t="shared" si="3"/>
        <v>--</v>
      </c>
      <c r="P31" s="213" t="str">
        <f t="shared" si="4"/>
        <v>--</v>
      </c>
      <c r="Q31" s="218" t="str">
        <f t="shared" si="5"/>
        <v>--</v>
      </c>
      <c r="R31" s="223">
        <f t="shared" si="6"/>
        <v>5654.646</v>
      </c>
      <c r="S31" s="224" t="str">
        <f t="shared" si="7"/>
        <v>--</v>
      </c>
      <c r="T31" s="225" t="str">
        <f t="shared" si="8"/>
        <v>--</v>
      </c>
      <c r="U31" s="238" t="str">
        <f t="shared" si="9"/>
        <v>--</v>
      </c>
      <c r="V31" s="242" t="str">
        <f t="shared" si="10"/>
        <v>--</v>
      </c>
      <c r="W31" s="246" t="str">
        <f t="shared" si="11"/>
        <v>--</v>
      </c>
      <c r="X31" s="251" t="str">
        <f t="shared" si="12"/>
        <v>--</v>
      </c>
      <c r="Y31" s="256" t="str">
        <f t="shared" si="13"/>
        <v>--</v>
      </c>
      <c r="Z31" s="349" t="s">
        <v>145</v>
      </c>
      <c r="AA31" s="29">
        <f t="shared" si="14"/>
        <v>5654.646</v>
      </c>
      <c r="AB31" s="9"/>
    </row>
    <row r="32" spans="1:28" s="8" customFormat="1" ht="15">
      <c r="A32" s="7"/>
      <c r="B32" s="66"/>
      <c r="C32" s="331">
        <v>12</v>
      </c>
      <c r="D32" s="328">
        <v>248723</v>
      </c>
      <c r="E32" s="328">
        <v>4678</v>
      </c>
      <c r="F32" s="332" t="s">
        <v>151</v>
      </c>
      <c r="G32" s="337">
        <v>132</v>
      </c>
      <c r="H32" s="338">
        <v>47.599998474121094</v>
      </c>
      <c r="I32" s="197">
        <f t="shared" si="0"/>
        <v>90.53519709777832</v>
      </c>
      <c r="J32" s="342">
        <v>41080.34375</v>
      </c>
      <c r="K32" s="342">
        <v>41080.347916666666</v>
      </c>
      <c r="L32" s="12">
        <f t="shared" si="1"/>
        <v>0.09999999997671694</v>
      </c>
      <c r="M32" s="13">
        <f t="shared" si="2"/>
        <v>6</v>
      </c>
      <c r="N32" s="344" t="s">
        <v>144</v>
      </c>
      <c r="O32" s="345" t="str">
        <f t="shared" si="3"/>
        <v>--</v>
      </c>
      <c r="P32" s="213">
        <f t="shared" si="4"/>
        <v>2.7160559129333497</v>
      </c>
      <c r="Q32" s="218" t="str">
        <f t="shared" si="5"/>
        <v>--</v>
      </c>
      <c r="R32" s="223" t="str">
        <f t="shared" si="6"/>
        <v>--</v>
      </c>
      <c r="S32" s="224" t="str">
        <f t="shared" si="7"/>
        <v>--</v>
      </c>
      <c r="T32" s="225" t="str">
        <f t="shared" si="8"/>
        <v>--</v>
      </c>
      <c r="U32" s="238" t="str">
        <f t="shared" si="9"/>
        <v>--</v>
      </c>
      <c r="V32" s="242" t="str">
        <f t="shared" si="10"/>
        <v>--</v>
      </c>
      <c r="W32" s="246" t="str">
        <f t="shared" si="11"/>
        <v>--</v>
      </c>
      <c r="X32" s="251" t="str">
        <f t="shared" si="12"/>
        <v>--</v>
      </c>
      <c r="Y32" s="256" t="str">
        <f t="shared" si="13"/>
        <v>--</v>
      </c>
      <c r="Z32" s="349" t="s">
        <v>145</v>
      </c>
      <c r="AA32" s="29">
        <f t="shared" si="14"/>
        <v>2.7160559129333497</v>
      </c>
      <c r="AB32" s="9"/>
    </row>
    <row r="33" spans="1:28" s="8" customFormat="1" ht="15">
      <c r="A33" s="7"/>
      <c r="B33" s="66"/>
      <c r="C33" s="331">
        <v>13</v>
      </c>
      <c r="D33" s="328">
        <v>248724</v>
      </c>
      <c r="E33" s="328">
        <v>3566</v>
      </c>
      <c r="F33" s="332" t="s">
        <v>152</v>
      </c>
      <c r="G33" s="337">
        <v>132</v>
      </c>
      <c r="H33" s="338">
        <v>7</v>
      </c>
      <c r="I33" s="197">
        <f t="shared" si="0"/>
        <v>47.55</v>
      </c>
      <c r="J33" s="342">
        <v>41080.34444444445</v>
      </c>
      <c r="K33" s="342">
        <v>41080.34861111111</v>
      </c>
      <c r="L33" s="12">
        <f t="shared" si="1"/>
        <v>0.09999999997671694</v>
      </c>
      <c r="M33" s="13">
        <f t="shared" si="2"/>
        <v>6</v>
      </c>
      <c r="N33" s="344" t="s">
        <v>144</v>
      </c>
      <c r="O33" s="345" t="str">
        <f t="shared" si="3"/>
        <v>--</v>
      </c>
      <c r="P33" s="213">
        <f t="shared" si="4"/>
        <v>1.4265</v>
      </c>
      <c r="Q33" s="218" t="str">
        <f t="shared" si="5"/>
        <v>--</v>
      </c>
      <c r="R33" s="223" t="str">
        <f t="shared" si="6"/>
        <v>--</v>
      </c>
      <c r="S33" s="224" t="str">
        <f t="shared" si="7"/>
        <v>--</v>
      </c>
      <c r="T33" s="225" t="str">
        <f t="shared" si="8"/>
        <v>--</v>
      </c>
      <c r="U33" s="238" t="str">
        <f t="shared" si="9"/>
        <v>--</v>
      </c>
      <c r="V33" s="242" t="str">
        <f t="shared" si="10"/>
        <v>--</v>
      </c>
      <c r="W33" s="246" t="str">
        <f t="shared" si="11"/>
        <v>--</v>
      </c>
      <c r="X33" s="251" t="str">
        <f t="shared" si="12"/>
        <v>--</v>
      </c>
      <c r="Y33" s="256" t="str">
        <f t="shared" si="13"/>
        <v>--</v>
      </c>
      <c r="Z33" s="349" t="s">
        <v>145</v>
      </c>
      <c r="AA33" s="29">
        <f t="shared" si="14"/>
        <v>1.4265</v>
      </c>
      <c r="AB33" s="9"/>
    </row>
    <row r="34" spans="1:28" s="8" customFormat="1" ht="15">
      <c r="A34" s="7"/>
      <c r="B34" s="66"/>
      <c r="C34" s="331">
        <v>14</v>
      </c>
      <c r="D34" s="328">
        <v>248725</v>
      </c>
      <c r="E34" s="328">
        <v>2700</v>
      </c>
      <c r="F34" s="332" t="s">
        <v>153</v>
      </c>
      <c r="G34" s="337">
        <v>132</v>
      </c>
      <c r="H34" s="338">
        <v>10</v>
      </c>
      <c r="I34" s="197">
        <f t="shared" si="0"/>
        <v>47.55</v>
      </c>
      <c r="J34" s="342">
        <v>41080.34444444445</v>
      </c>
      <c r="K34" s="342">
        <v>41080.34861111111</v>
      </c>
      <c r="L34" s="12">
        <f t="shared" si="1"/>
        <v>0.09999999997671694</v>
      </c>
      <c r="M34" s="13">
        <f t="shared" si="2"/>
        <v>6</v>
      </c>
      <c r="N34" s="344" t="s">
        <v>144</v>
      </c>
      <c r="O34" s="345" t="str">
        <f t="shared" si="3"/>
        <v>--</v>
      </c>
      <c r="P34" s="213">
        <f t="shared" si="4"/>
        <v>1.4265</v>
      </c>
      <c r="Q34" s="218" t="str">
        <f t="shared" si="5"/>
        <v>--</v>
      </c>
      <c r="R34" s="223" t="str">
        <f t="shared" si="6"/>
        <v>--</v>
      </c>
      <c r="S34" s="224" t="str">
        <f t="shared" si="7"/>
        <v>--</v>
      </c>
      <c r="T34" s="225" t="str">
        <f t="shared" si="8"/>
        <v>--</v>
      </c>
      <c r="U34" s="238" t="str">
        <f t="shared" si="9"/>
        <v>--</v>
      </c>
      <c r="V34" s="242" t="str">
        <f t="shared" si="10"/>
        <v>--</v>
      </c>
      <c r="W34" s="246" t="str">
        <f t="shared" si="11"/>
        <v>--</v>
      </c>
      <c r="X34" s="251" t="str">
        <f t="shared" si="12"/>
        <v>--</v>
      </c>
      <c r="Y34" s="256" t="str">
        <f t="shared" si="13"/>
        <v>--</v>
      </c>
      <c r="Z34" s="349" t="s">
        <v>145</v>
      </c>
      <c r="AA34" s="29">
        <f t="shared" si="14"/>
        <v>1.4265</v>
      </c>
      <c r="AB34" s="9"/>
    </row>
    <row r="35" spans="1:28" s="8" customFormat="1" ht="15">
      <c r="A35" s="7"/>
      <c r="B35" s="66"/>
      <c r="C35" s="331">
        <v>15</v>
      </c>
      <c r="D35" s="328">
        <v>248744</v>
      </c>
      <c r="E35" s="328">
        <v>3566</v>
      </c>
      <c r="F35" s="332" t="s">
        <v>152</v>
      </c>
      <c r="G35" s="337">
        <v>132</v>
      </c>
      <c r="H35" s="338">
        <v>7</v>
      </c>
      <c r="I35" s="197">
        <f t="shared" si="0"/>
        <v>47.55</v>
      </c>
      <c r="J35" s="342">
        <v>41084.342361111114</v>
      </c>
      <c r="K35" s="342">
        <v>41084.34652777778</v>
      </c>
      <c r="L35" s="12">
        <f t="shared" si="1"/>
        <v>0.09999999997671694</v>
      </c>
      <c r="M35" s="13">
        <f t="shared" si="2"/>
        <v>6</v>
      </c>
      <c r="N35" s="344" t="s">
        <v>144</v>
      </c>
      <c r="O35" s="345" t="str">
        <f t="shared" si="3"/>
        <v>--</v>
      </c>
      <c r="P35" s="213">
        <f t="shared" si="4"/>
        <v>1.4265</v>
      </c>
      <c r="Q35" s="218" t="str">
        <f t="shared" si="5"/>
        <v>--</v>
      </c>
      <c r="R35" s="223" t="str">
        <f t="shared" si="6"/>
        <v>--</v>
      </c>
      <c r="S35" s="224" t="str">
        <f t="shared" si="7"/>
        <v>--</v>
      </c>
      <c r="T35" s="225" t="str">
        <f t="shared" si="8"/>
        <v>--</v>
      </c>
      <c r="U35" s="238" t="str">
        <f t="shared" si="9"/>
        <v>--</v>
      </c>
      <c r="V35" s="242" t="str">
        <f t="shared" si="10"/>
        <v>--</v>
      </c>
      <c r="W35" s="246" t="str">
        <f t="shared" si="11"/>
        <v>--</v>
      </c>
      <c r="X35" s="251" t="str">
        <f t="shared" si="12"/>
        <v>--</v>
      </c>
      <c r="Y35" s="256" t="str">
        <f t="shared" si="13"/>
        <v>--</v>
      </c>
      <c r="Z35" s="349" t="s">
        <v>145</v>
      </c>
      <c r="AA35" s="29">
        <f t="shared" si="14"/>
        <v>1.4265</v>
      </c>
      <c r="AB35" s="9"/>
    </row>
    <row r="36" spans="1:28" s="8" customFormat="1" ht="15">
      <c r="A36" s="7"/>
      <c r="B36" s="66"/>
      <c r="C36" s="331">
        <v>16</v>
      </c>
      <c r="D36" s="328">
        <v>248745</v>
      </c>
      <c r="E36" s="328">
        <v>2700</v>
      </c>
      <c r="F36" s="332" t="s">
        <v>153</v>
      </c>
      <c r="G36" s="337">
        <v>132</v>
      </c>
      <c r="H36" s="338">
        <v>10</v>
      </c>
      <c r="I36" s="197">
        <f t="shared" si="0"/>
        <v>47.55</v>
      </c>
      <c r="J36" s="342">
        <v>41084.34305555555</v>
      </c>
      <c r="K36" s="342">
        <v>41084.34583333333</v>
      </c>
      <c r="L36" s="12">
        <f t="shared" si="1"/>
        <v>0.06666666670935228</v>
      </c>
      <c r="M36" s="13">
        <f t="shared" si="2"/>
        <v>4</v>
      </c>
      <c r="N36" s="344" t="s">
        <v>144</v>
      </c>
      <c r="O36" s="345" t="str">
        <f t="shared" si="3"/>
        <v>--</v>
      </c>
      <c r="P36" s="213">
        <f t="shared" si="4"/>
        <v>0.99855</v>
      </c>
      <c r="Q36" s="218" t="str">
        <f t="shared" si="5"/>
        <v>--</v>
      </c>
      <c r="R36" s="223" t="str">
        <f t="shared" si="6"/>
        <v>--</v>
      </c>
      <c r="S36" s="224" t="str">
        <f t="shared" si="7"/>
        <v>--</v>
      </c>
      <c r="T36" s="225" t="str">
        <f t="shared" si="8"/>
        <v>--</v>
      </c>
      <c r="U36" s="238" t="str">
        <f t="shared" si="9"/>
        <v>--</v>
      </c>
      <c r="V36" s="242" t="str">
        <f t="shared" si="10"/>
        <v>--</v>
      </c>
      <c r="W36" s="246" t="str">
        <f t="shared" si="11"/>
        <v>--</v>
      </c>
      <c r="X36" s="251" t="str">
        <f t="shared" si="12"/>
        <v>--</v>
      </c>
      <c r="Y36" s="256" t="str">
        <f t="shared" si="13"/>
        <v>--</v>
      </c>
      <c r="Z36" s="349" t="s">
        <v>145</v>
      </c>
      <c r="AA36" s="29">
        <f t="shared" si="14"/>
        <v>0.99855</v>
      </c>
      <c r="AB36" s="9"/>
    </row>
    <row r="37" spans="1:28" s="8" customFormat="1" ht="15">
      <c r="A37" s="7"/>
      <c r="B37" s="66"/>
      <c r="C37" s="331">
        <v>17</v>
      </c>
      <c r="D37" s="328">
        <v>248746</v>
      </c>
      <c r="E37" s="328">
        <v>4678</v>
      </c>
      <c r="F37" s="332" t="s">
        <v>151</v>
      </c>
      <c r="G37" s="337">
        <v>132</v>
      </c>
      <c r="H37" s="338">
        <v>47.599998474121094</v>
      </c>
      <c r="I37" s="197">
        <f t="shared" si="0"/>
        <v>90.53519709777832</v>
      </c>
      <c r="J37" s="342">
        <v>41084.34375</v>
      </c>
      <c r="K37" s="342">
        <v>41084.34583333333</v>
      </c>
      <c r="L37" s="12">
        <f t="shared" si="1"/>
        <v>0.04999999998835847</v>
      </c>
      <c r="M37" s="13">
        <f t="shared" si="2"/>
        <v>3</v>
      </c>
      <c r="N37" s="344" t="s">
        <v>144</v>
      </c>
      <c r="O37" s="345" t="str">
        <f t="shared" si="3"/>
        <v>--</v>
      </c>
      <c r="P37" s="213">
        <f t="shared" si="4"/>
        <v>1.3580279564666748</v>
      </c>
      <c r="Q37" s="218" t="str">
        <f t="shared" si="5"/>
        <v>--</v>
      </c>
      <c r="R37" s="223" t="str">
        <f t="shared" si="6"/>
        <v>--</v>
      </c>
      <c r="S37" s="224" t="str">
        <f t="shared" si="7"/>
        <v>--</v>
      </c>
      <c r="T37" s="225" t="str">
        <f t="shared" si="8"/>
        <v>--</v>
      </c>
      <c r="U37" s="238" t="str">
        <f t="shared" si="9"/>
        <v>--</v>
      </c>
      <c r="V37" s="242" t="str">
        <f t="shared" si="10"/>
        <v>--</v>
      </c>
      <c r="W37" s="246" t="str">
        <f t="shared" si="11"/>
        <v>--</v>
      </c>
      <c r="X37" s="251" t="str">
        <f t="shared" si="12"/>
        <v>--</v>
      </c>
      <c r="Y37" s="256" t="str">
        <f t="shared" si="13"/>
        <v>--</v>
      </c>
      <c r="Z37" s="349" t="s">
        <v>145</v>
      </c>
      <c r="AA37" s="29">
        <f t="shared" si="14"/>
        <v>1.3580279564666748</v>
      </c>
      <c r="AB37" s="9"/>
    </row>
    <row r="38" spans="1:28" s="8" customFormat="1" ht="15">
      <c r="A38" s="7"/>
      <c r="B38" s="66"/>
      <c r="C38" s="331">
        <v>18</v>
      </c>
      <c r="D38" s="328">
        <v>249008</v>
      </c>
      <c r="E38" s="328">
        <v>2905</v>
      </c>
      <c r="F38" s="332" t="s">
        <v>154</v>
      </c>
      <c r="G38" s="337">
        <v>132</v>
      </c>
      <c r="H38" s="338">
        <v>28.5</v>
      </c>
      <c r="I38" s="197">
        <f t="shared" si="0"/>
        <v>54.207</v>
      </c>
      <c r="J38" s="342">
        <v>41088.33472222222</v>
      </c>
      <c r="K38" s="342">
        <v>41088.845138888886</v>
      </c>
      <c r="L38" s="12">
        <f t="shared" si="1"/>
        <v>12.249999999941792</v>
      </c>
      <c r="M38" s="13">
        <f t="shared" si="2"/>
        <v>735</v>
      </c>
      <c r="N38" s="344" t="s">
        <v>144</v>
      </c>
      <c r="O38" s="345" t="str">
        <f t="shared" si="3"/>
        <v>--</v>
      </c>
      <c r="P38" s="213">
        <f t="shared" si="4"/>
        <v>199.21072500000002</v>
      </c>
      <c r="Q38" s="218" t="str">
        <f t="shared" si="5"/>
        <v>--</v>
      </c>
      <c r="R38" s="223" t="str">
        <f t="shared" si="6"/>
        <v>--</v>
      </c>
      <c r="S38" s="224" t="str">
        <f t="shared" si="7"/>
        <v>--</v>
      </c>
      <c r="T38" s="225" t="str">
        <f t="shared" si="8"/>
        <v>--</v>
      </c>
      <c r="U38" s="238" t="str">
        <f t="shared" si="9"/>
        <v>--</v>
      </c>
      <c r="V38" s="242" t="str">
        <f t="shared" si="10"/>
        <v>--</v>
      </c>
      <c r="W38" s="246" t="str">
        <f t="shared" si="11"/>
        <v>--</v>
      </c>
      <c r="X38" s="251" t="str">
        <f t="shared" si="12"/>
        <v>--</v>
      </c>
      <c r="Y38" s="256" t="str">
        <f t="shared" si="13"/>
        <v>--</v>
      </c>
      <c r="Z38" s="349" t="s">
        <v>145</v>
      </c>
      <c r="AA38" s="29">
        <f t="shared" si="14"/>
        <v>199.21072500000002</v>
      </c>
      <c r="AB38" s="9"/>
    </row>
    <row r="39" spans="1:28" s="8" customFormat="1" ht="15">
      <c r="A39" s="7"/>
      <c r="B39" s="66"/>
      <c r="C39" s="331">
        <v>19</v>
      </c>
      <c r="D39" s="328">
        <v>249009</v>
      </c>
      <c r="E39" s="328">
        <v>4250</v>
      </c>
      <c r="F39" s="332" t="s">
        <v>155</v>
      </c>
      <c r="G39" s="337">
        <v>132</v>
      </c>
      <c r="H39" s="338">
        <v>55</v>
      </c>
      <c r="I39" s="197">
        <f t="shared" si="0"/>
        <v>104.61</v>
      </c>
      <c r="J39" s="342">
        <v>41088.37222222222</v>
      </c>
      <c r="K39" s="342">
        <v>41088.665972222225</v>
      </c>
      <c r="L39" s="12">
        <f t="shared" si="1"/>
        <v>7.050000000104774</v>
      </c>
      <c r="M39" s="13">
        <f t="shared" si="2"/>
        <v>423</v>
      </c>
      <c r="N39" s="344" t="s">
        <v>144</v>
      </c>
      <c r="O39" s="345" t="str">
        <f t="shared" si="3"/>
        <v>--</v>
      </c>
      <c r="P39" s="213">
        <f t="shared" si="4"/>
        <v>221.25015</v>
      </c>
      <c r="Q39" s="218" t="str">
        <f t="shared" si="5"/>
        <v>--</v>
      </c>
      <c r="R39" s="223" t="str">
        <f t="shared" si="6"/>
        <v>--</v>
      </c>
      <c r="S39" s="224" t="str">
        <f t="shared" si="7"/>
        <v>--</v>
      </c>
      <c r="T39" s="225" t="str">
        <f t="shared" si="8"/>
        <v>--</v>
      </c>
      <c r="U39" s="238" t="str">
        <f t="shared" si="9"/>
        <v>--</v>
      </c>
      <c r="V39" s="242" t="str">
        <f t="shared" si="10"/>
        <v>--</v>
      </c>
      <c r="W39" s="246" t="str">
        <f t="shared" si="11"/>
        <v>--</v>
      </c>
      <c r="X39" s="251" t="str">
        <f t="shared" si="12"/>
        <v>--</v>
      </c>
      <c r="Y39" s="256" t="str">
        <f t="shared" si="13"/>
        <v>--</v>
      </c>
      <c r="Z39" s="349" t="s">
        <v>145</v>
      </c>
      <c r="AA39" s="29">
        <f t="shared" si="14"/>
        <v>221.25015</v>
      </c>
      <c r="AB39" s="9"/>
    </row>
    <row r="40" spans="1:28" s="8" customFormat="1" ht="15">
      <c r="A40" s="7"/>
      <c r="B40" s="66"/>
      <c r="C40" s="331"/>
      <c r="D40" s="328"/>
      <c r="E40" s="328"/>
      <c r="F40" s="332"/>
      <c r="G40" s="337"/>
      <c r="H40" s="338"/>
      <c r="I40" s="197">
        <f t="shared" si="0"/>
        <v>47.55</v>
      </c>
      <c r="J40" s="342"/>
      <c r="K40" s="342"/>
      <c r="L40" s="12">
        <f t="shared" si="1"/>
      </c>
      <c r="M40" s="13">
        <f t="shared" si="2"/>
      </c>
      <c r="N40" s="344"/>
      <c r="O40" s="345">
        <f t="shared" si="3"/>
      </c>
      <c r="P40" s="213" t="str">
        <f t="shared" si="4"/>
        <v>--</v>
      </c>
      <c r="Q40" s="218" t="str">
        <f t="shared" si="5"/>
        <v>--</v>
      </c>
      <c r="R40" s="223" t="str">
        <f t="shared" si="6"/>
        <v>--</v>
      </c>
      <c r="S40" s="224" t="str">
        <f t="shared" si="7"/>
        <v>--</v>
      </c>
      <c r="T40" s="225" t="str">
        <f t="shared" si="8"/>
        <v>--</v>
      </c>
      <c r="U40" s="238" t="str">
        <f t="shared" si="9"/>
        <v>--</v>
      </c>
      <c r="V40" s="242" t="str">
        <f t="shared" si="10"/>
        <v>--</v>
      </c>
      <c r="W40" s="246" t="str">
        <f t="shared" si="11"/>
        <v>--</v>
      </c>
      <c r="X40" s="251" t="str">
        <f t="shared" si="12"/>
        <v>--</v>
      </c>
      <c r="Y40" s="256" t="str">
        <f t="shared" si="13"/>
        <v>--</v>
      </c>
      <c r="Z40" s="349">
        <f>IF(F40="","","SI")</f>
      </c>
      <c r="AA40" s="29">
        <f t="shared" si="14"/>
      </c>
      <c r="AB40" s="9"/>
    </row>
    <row r="41" spans="1:28" s="8" customFormat="1" ht="15.75" thickBot="1">
      <c r="A41" s="7"/>
      <c r="B41" s="66"/>
      <c r="C41" s="333"/>
      <c r="D41" s="333"/>
      <c r="E41" s="333"/>
      <c r="F41" s="334"/>
      <c r="G41" s="339"/>
      <c r="H41" s="340"/>
      <c r="I41" s="198"/>
      <c r="J41" s="343"/>
      <c r="K41" s="343"/>
      <c r="L41" s="14"/>
      <c r="M41" s="14"/>
      <c r="N41" s="343"/>
      <c r="O41" s="346"/>
      <c r="P41" s="214"/>
      <c r="Q41" s="219"/>
      <c r="R41" s="226"/>
      <c r="S41" s="227"/>
      <c r="T41" s="228"/>
      <c r="U41" s="239"/>
      <c r="V41" s="243"/>
      <c r="W41" s="247"/>
      <c r="X41" s="252"/>
      <c r="Y41" s="257"/>
      <c r="Z41" s="350"/>
      <c r="AA41" s="107"/>
      <c r="AB41" s="9"/>
    </row>
    <row r="42" spans="1:28" s="8" customFormat="1" ht="17.25" thickBot="1" thickTop="1">
      <c r="A42" s="7"/>
      <c r="B42" s="66"/>
      <c r="C42" s="434" t="s">
        <v>204</v>
      </c>
      <c r="D42" s="433" t="s">
        <v>203</v>
      </c>
      <c r="E42" s="185"/>
      <c r="F42" s="184"/>
      <c r="G42" s="7"/>
      <c r="H42" s="7"/>
      <c r="I42" s="7"/>
      <c r="J42" s="7"/>
      <c r="K42" s="7"/>
      <c r="L42" s="7"/>
      <c r="M42" s="7"/>
      <c r="N42" s="7"/>
      <c r="O42" s="7"/>
      <c r="P42" s="231">
        <f aca="true" t="shared" si="15" ref="P42:Y42">SUM(P19:P41)</f>
        <v>1884.240178188492</v>
      </c>
      <c r="Q42" s="232">
        <f t="shared" si="15"/>
        <v>0</v>
      </c>
      <c r="R42" s="258">
        <f t="shared" si="15"/>
        <v>14533.1823482666</v>
      </c>
      <c r="S42" s="258">
        <f t="shared" si="15"/>
        <v>0</v>
      </c>
      <c r="T42" s="258">
        <f t="shared" si="15"/>
        <v>0</v>
      </c>
      <c r="U42" s="259">
        <f t="shared" si="15"/>
        <v>0</v>
      </c>
      <c r="V42" s="259">
        <f t="shared" si="15"/>
        <v>0</v>
      </c>
      <c r="W42" s="259">
        <f t="shared" si="15"/>
        <v>0</v>
      </c>
      <c r="X42" s="260">
        <f t="shared" si="15"/>
        <v>0</v>
      </c>
      <c r="Y42" s="261">
        <f t="shared" si="15"/>
        <v>0</v>
      </c>
      <c r="Z42" s="7"/>
      <c r="AA42" s="194">
        <f>ROUND(SUM(AA19:AA41),2)</f>
        <v>16417.42</v>
      </c>
      <c r="AB42" s="9"/>
    </row>
    <row r="43" spans="1:28" s="189" customFormat="1" ht="13.5" thickTop="1">
      <c r="A43" s="187"/>
      <c r="B43" s="188"/>
      <c r="C43" s="185"/>
      <c r="D43" s="185"/>
      <c r="E43" s="185"/>
      <c r="F43" s="186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90"/>
    </row>
    <row r="44" spans="1:28" s="8" customFormat="1" ht="13.5" thickBot="1">
      <c r="A44" s="7"/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</row>
    <row r="45" spans="1:2" ht="13.5" thickTop="1">
      <c r="A45" s="1"/>
      <c r="B45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N45"/>
  <sheetViews>
    <sheetView zoomScale="75" zoomScaleNormal="75" zoomScalePageLayoutView="0" workbookViewId="0" topLeftCell="A4">
      <selection activeCell="B37" sqref="B37"/>
    </sheetView>
  </sheetViews>
  <sheetFormatPr defaultColWidth="11.421875" defaultRowHeight="12.75"/>
  <cols>
    <col min="1" max="1" width="1.28515625" style="0" customWidth="1"/>
    <col min="2" max="2" width="4.140625" style="0" customWidth="1"/>
    <col min="3" max="3" width="4.8515625" style="0" customWidth="1"/>
    <col min="4" max="4" width="13.7109375" style="0" customWidth="1"/>
    <col min="5" max="5" width="14.28125" style="0" customWidth="1"/>
    <col min="6" max="6" width="46.8515625" style="0" customWidth="1"/>
    <col min="7" max="8" width="8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3" customFormat="1" ht="26.25"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2:28" s="33" customFormat="1" ht="26.25">
      <c r="B2" s="409" t="str">
        <f>+'TOT-0612'!B2</f>
        <v>ANEXO III al Memorándum  D.T.E.E.  N°  1052 / 2013</v>
      </c>
      <c r="C2" s="36"/>
      <c r="D2" s="36"/>
      <c r="E2" s="36"/>
      <c r="F2" s="36"/>
      <c r="G2" s="11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12"/>
    </row>
    <row r="3" s="8" customFormat="1" ht="19.5" customHeight="1">
      <c r="AB3" s="7"/>
    </row>
    <row r="4" spans="1:28" s="40" customFormat="1" ht="11.25">
      <c r="A4" s="410" t="s">
        <v>130</v>
      </c>
      <c r="B4" s="113"/>
      <c r="C4" s="410"/>
      <c r="AB4" s="41"/>
    </row>
    <row r="5" spans="1:28" s="40" customFormat="1" ht="11.25">
      <c r="A5" s="410" t="s">
        <v>131</v>
      </c>
      <c r="B5" s="113"/>
      <c r="C5" s="113"/>
      <c r="AB5" s="41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90"/>
    </row>
    <row r="8" spans="1:28" s="44" customFormat="1" ht="20.25">
      <c r="A8" s="45"/>
      <c r="B8" s="100"/>
      <c r="C8" s="45"/>
      <c r="D8" s="45"/>
      <c r="E8" s="45"/>
      <c r="F8" s="17" t="s">
        <v>18</v>
      </c>
      <c r="G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101"/>
    </row>
    <row r="9" spans="1:28" s="8" customFormat="1" ht="12.75">
      <c r="A9" s="7"/>
      <c r="B9" s="66"/>
      <c r="C9" s="7"/>
      <c r="D9" s="7"/>
      <c r="E9" s="7"/>
      <c r="F9" s="97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4" customFormat="1" ht="20.25">
      <c r="A10" s="45"/>
      <c r="B10" s="100"/>
      <c r="C10" s="45"/>
      <c r="D10" s="45"/>
      <c r="E10" s="45"/>
      <c r="F10" s="17" t="s">
        <v>19</v>
      </c>
      <c r="G10" s="17"/>
      <c r="H10" s="45"/>
      <c r="I10" s="102"/>
      <c r="J10" s="102"/>
      <c r="K10" s="102"/>
      <c r="L10" s="102"/>
      <c r="M10" s="102"/>
      <c r="N10" s="102"/>
      <c r="O10" s="10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101"/>
    </row>
    <row r="11" spans="1:28" s="8" customFormat="1" ht="12.75">
      <c r="A11" s="7"/>
      <c r="B11" s="66"/>
      <c r="C11" s="7"/>
      <c r="D11" s="7"/>
      <c r="E11" s="7"/>
      <c r="F11" s="97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4" customFormat="1" ht="20.25">
      <c r="A12" s="45"/>
      <c r="B12" s="100"/>
      <c r="C12" s="45"/>
      <c r="D12" s="45"/>
      <c r="E12" s="45"/>
      <c r="F12" s="17" t="s">
        <v>20</v>
      </c>
      <c r="G12" s="17"/>
      <c r="H12" s="45"/>
      <c r="I12" s="102"/>
      <c r="J12" s="102"/>
      <c r="K12" s="102"/>
      <c r="L12" s="102"/>
      <c r="M12" s="102"/>
      <c r="N12" s="102"/>
      <c r="O12" s="10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01"/>
    </row>
    <row r="13" spans="1:28" s="8" customFormat="1" ht="12.75">
      <c r="A13" s="7"/>
      <c r="B13" s="66"/>
      <c r="C13" s="7"/>
      <c r="D13" s="7"/>
      <c r="E13" s="7"/>
      <c r="F13" s="98"/>
      <c r="G13" s="96"/>
      <c r="H13" s="7"/>
      <c r="I13" s="91"/>
      <c r="J13" s="91"/>
      <c r="K13" s="91"/>
      <c r="L13" s="91"/>
      <c r="M13" s="91"/>
      <c r="N13" s="91"/>
      <c r="O13" s="9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1" customFormat="1" ht="19.5">
      <c r="A14" s="58"/>
      <c r="B14" s="351" t="str">
        <f>'TOT-0612'!B14</f>
        <v>Desde el 01 al 30 de junio de 2012</v>
      </c>
      <c r="C14" s="56"/>
      <c r="D14" s="56"/>
      <c r="E14" s="56"/>
      <c r="F14" s="56"/>
      <c r="G14" s="108"/>
      <c r="H14" s="109"/>
      <c r="I14" s="110"/>
      <c r="J14" s="110"/>
      <c r="K14" s="110"/>
      <c r="L14" s="110"/>
      <c r="M14" s="110"/>
      <c r="N14" s="110"/>
      <c r="O14" s="110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</row>
    <row r="15" spans="1:28" s="8" customFormat="1" ht="13.5" thickBot="1">
      <c r="A15" s="7"/>
      <c r="B15" s="66"/>
      <c r="C15" s="7"/>
      <c r="D15" s="7"/>
      <c r="E15" s="7"/>
      <c r="F15" s="7"/>
      <c r="G15" s="7"/>
      <c r="H15" s="99"/>
      <c r="I15" s="91"/>
      <c r="J15" s="91"/>
      <c r="K15" s="91"/>
      <c r="L15" s="91"/>
      <c r="M15" s="91"/>
      <c r="N15" s="91"/>
      <c r="O15" s="9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6"/>
      <c r="C16" s="7"/>
      <c r="D16" s="7"/>
      <c r="E16" s="7"/>
      <c r="F16" s="103" t="s">
        <v>21</v>
      </c>
      <c r="G16" s="318">
        <v>190.2</v>
      </c>
      <c r="H16" s="208"/>
      <c r="I16" s="7"/>
      <c r="J16"/>
      <c r="K16" s="104" t="s">
        <v>22</v>
      </c>
      <c r="L16" s="105">
        <f>30*'TOT-0612'!B13</f>
        <v>30</v>
      </c>
      <c r="M16" s="191" t="str">
        <f>IF(L16=30," ",IF(L16=60,"Coeficiente duplicado por tasa de falla &gt;4 Sal. x año/100 km.","REVISAR COEFICIENTE"))</f>
        <v> 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6"/>
      <c r="C17" s="413">
        <v>3</v>
      </c>
      <c r="D17" s="413">
        <v>4</v>
      </c>
      <c r="E17" s="413">
        <v>5</v>
      </c>
      <c r="F17" s="413">
        <v>6</v>
      </c>
      <c r="G17" s="413">
        <v>7</v>
      </c>
      <c r="H17" s="413">
        <v>8</v>
      </c>
      <c r="I17" s="413">
        <v>9</v>
      </c>
      <c r="J17" s="413">
        <v>10</v>
      </c>
      <c r="K17" s="413">
        <v>11</v>
      </c>
      <c r="L17" s="413">
        <v>12</v>
      </c>
      <c r="M17" s="413">
        <v>13</v>
      </c>
      <c r="N17" s="413">
        <v>14</v>
      </c>
      <c r="O17" s="413">
        <v>15</v>
      </c>
      <c r="P17" s="413">
        <v>16</v>
      </c>
      <c r="Q17" s="413">
        <v>17</v>
      </c>
      <c r="R17" s="413">
        <v>18</v>
      </c>
      <c r="S17" s="413">
        <v>19</v>
      </c>
      <c r="T17" s="413">
        <v>20</v>
      </c>
      <c r="U17" s="413">
        <v>21</v>
      </c>
      <c r="V17" s="413">
        <v>22</v>
      </c>
      <c r="W17" s="413">
        <v>23</v>
      </c>
      <c r="X17" s="413">
        <v>24</v>
      </c>
      <c r="Y17" s="413">
        <v>25</v>
      </c>
      <c r="Z17" s="413">
        <v>26</v>
      </c>
      <c r="AA17" s="413">
        <v>27</v>
      </c>
      <c r="AB17" s="9"/>
    </row>
    <row r="18" spans="1:28" s="8" customFormat="1" ht="33.75" customHeight="1" thickBot="1" thickTop="1">
      <c r="A18" s="7"/>
      <c r="B18" s="66"/>
      <c r="C18" s="114" t="s">
        <v>23</v>
      </c>
      <c r="D18" s="114" t="s">
        <v>129</v>
      </c>
      <c r="E18" s="114" t="s">
        <v>128</v>
      </c>
      <c r="F18" s="115" t="s">
        <v>2</v>
      </c>
      <c r="G18" s="116" t="s">
        <v>24</v>
      </c>
      <c r="H18" s="117" t="s">
        <v>25</v>
      </c>
      <c r="I18" s="195" t="s">
        <v>26</v>
      </c>
      <c r="J18" s="115" t="s">
        <v>27</v>
      </c>
      <c r="K18" s="115" t="s">
        <v>28</v>
      </c>
      <c r="L18" s="116" t="s">
        <v>29</v>
      </c>
      <c r="M18" s="116" t="s">
        <v>30</v>
      </c>
      <c r="N18" s="118" t="s">
        <v>31</v>
      </c>
      <c r="O18" s="116" t="s">
        <v>32</v>
      </c>
      <c r="P18" s="210" t="s">
        <v>33</v>
      </c>
      <c r="Q18" s="215" t="s">
        <v>34</v>
      </c>
      <c r="R18" s="220" t="s">
        <v>35</v>
      </c>
      <c r="S18" s="221"/>
      <c r="T18" s="222"/>
      <c r="U18" s="233" t="s">
        <v>36</v>
      </c>
      <c r="V18" s="234"/>
      <c r="W18" s="235"/>
      <c r="X18" s="248" t="s">
        <v>37</v>
      </c>
      <c r="Y18" s="253" t="s">
        <v>38</v>
      </c>
      <c r="Z18" s="119" t="s">
        <v>39</v>
      </c>
      <c r="AA18" s="206" t="s">
        <v>40</v>
      </c>
      <c r="AB18" s="9"/>
    </row>
    <row r="19" spans="1:28" s="8" customFormat="1" ht="15.75" thickTop="1">
      <c r="A19" s="7"/>
      <c r="B19" s="66"/>
      <c r="C19" s="327"/>
      <c r="D19" s="407"/>
      <c r="E19" s="407"/>
      <c r="F19" s="328"/>
      <c r="G19" s="335"/>
      <c r="H19" s="336"/>
      <c r="I19" s="209"/>
      <c r="J19" s="341"/>
      <c r="K19" s="341"/>
      <c r="L19" s="10"/>
      <c r="M19" s="10"/>
      <c r="N19" s="328"/>
      <c r="O19" s="331"/>
      <c r="P19" s="211"/>
      <c r="Q19" s="216"/>
      <c r="R19" s="223"/>
      <c r="S19" s="229"/>
      <c r="T19" s="230"/>
      <c r="U19" s="236"/>
      <c r="V19" s="240"/>
      <c r="W19" s="244"/>
      <c r="X19" s="249"/>
      <c r="Y19" s="254"/>
      <c r="Z19" s="347"/>
      <c r="AA19" s="207">
        <f>'LI-06 (1)'!AA42</f>
        <v>16417.42</v>
      </c>
      <c r="AB19" s="9"/>
    </row>
    <row r="20" spans="1:28" s="8" customFormat="1" ht="15">
      <c r="A20" s="7"/>
      <c r="B20" s="66"/>
      <c r="C20" s="329"/>
      <c r="D20" s="330"/>
      <c r="E20" s="330"/>
      <c r="F20" s="330"/>
      <c r="G20" s="329"/>
      <c r="H20" s="329"/>
      <c r="I20" s="196"/>
      <c r="J20" s="329"/>
      <c r="K20" s="337"/>
      <c r="L20" s="11"/>
      <c r="M20" s="11"/>
      <c r="N20" s="330"/>
      <c r="O20" s="329"/>
      <c r="P20" s="212"/>
      <c r="Q20" s="217"/>
      <c r="R20" s="223"/>
      <c r="S20" s="229"/>
      <c r="T20" s="230"/>
      <c r="U20" s="237"/>
      <c r="V20" s="241"/>
      <c r="W20" s="245"/>
      <c r="X20" s="250"/>
      <c r="Y20" s="255"/>
      <c r="Z20" s="348"/>
      <c r="AA20" s="106"/>
      <c r="AB20" s="9"/>
    </row>
    <row r="21" spans="1:28" s="8" customFormat="1" ht="15">
      <c r="A21" s="7"/>
      <c r="B21" s="66"/>
      <c r="C21" s="331">
        <v>20</v>
      </c>
      <c r="D21" s="328">
        <v>249011</v>
      </c>
      <c r="E21" s="328">
        <v>5061</v>
      </c>
      <c r="F21" s="332" t="s">
        <v>201</v>
      </c>
      <c r="G21" s="337">
        <v>132</v>
      </c>
      <c r="H21" s="338">
        <v>108</v>
      </c>
      <c r="I21" s="197">
        <f aca="true" t="shared" si="0" ref="I21:I40">$G$16/100*IF(H21&gt;25,H21,25)</f>
        <v>205.416</v>
      </c>
      <c r="J21" s="342">
        <v>41088.50625</v>
      </c>
      <c r="K21" s="342">
        <v>41088.51597222222</v>
      </c>
      <c r="L21" s="12">
        <f aca="true" t="shared" si="1" ref="L21:L40">IF(F21="","",(K21-J21)*24)</f>
        <v>0.2333333333954215</v>
      </c>
      <c r="M21" s="13">
        <f aca="true" t="shared" si="2" ref="M21:M40">IF(F21="","",ROUND((K21-J21)*24*60,0))</f>
        <v>14</v>
      </c>
      <c r="N21" s="344" t="s">
        <v>147</v>
      </c>
      <c r="O21" s="345" t="str">
        <f aca="true" t="shared" si="3" ref="O21:O40">IF(F21="","","--")</f>
        <v>--</v>
      </c>
      <c r="P21" s="213" t="str">
        <f aca="true" t="shared" si="4" ref="P21:P40">IF(N21="P",ROUND(M21/60,2)*I21*$L$16*0.01,"--")</f>
        <v>--</v>
      </c>
      <c r="Q21" s="218" t="str">
        <f aca="true" t="shared" si="5" ref="Q21:Q40">IF(N21="RP",I21*O21*ROUND(L21/60,2)*0.01*M21/100,"--")</f>
        <v>--</v>
      </c>
      <c r="R21" s="223">
        <f aca="true" t="shared" si="6" ref="R21:R40">IF(N21="F",I21*$L$16,"--")</f>
        <v>6162.48</v>
      </c>
      <c r="S21" s="224">
        <f aca="true" t="shared" si="7" ref="S21:S40">IF(AND(M21&gt;10,N21="F"),I21*$L$16*IF(M21&gt;180,3,ROUND((M21)/60,2)),"--")</f>
        <v>1417.3704</v>
      </c>
      <c r="T21" s="225" t="str">
        <f aca="true" t="shared" si="8" ref="T21:T40">IF(AND(M21&gt;180,N21="F"),(ROUND(M21/60,2)-3)*I21*$L$16*0.1,"--")</f>
        <v>--</v>
      </c>
      <c r="U21" s="238" t="str">
        <f aca="true" t="shared" si="9" ref="U21:U40">IF(N21="R",I21*$L$16*O21/100,"--")</f>
        <v>--</v>
      </c>
      <c r="V21" s="242" t="str">
        <f aca="true" t="shared" si="10" ref="V21:V40">IF(AND(M21&gt;10,N21="R"),I21*$L$16*O21/100*IF(M21&gt;180,3,ROUND(M21/60,2)),"--")</f>
        <v>--</v>
      </c>
      <c r="W21" s="246" t="str">
        <f aca="true" t="shared" si="11" ref="W21:W40">IF(AND(M21&gt;180,N21="R"),(ROUND(M21/60,2)-3)*I21*$L$16*0.1*O21/100,"--")</f>
        <v>--</v>
      </c>
      <c r="X21" s="251" t="str">
        <f aca="true" t="shared" si="12" ref="X21:X40">IF(N21="RF",ROUND(M21/60,2)*I21*$L$16*0.1,"--")</f>
        <v>--</v>
      </c>
      <c r="Y21" s="256" t="str">
        <f aca="true" t="shared" si="13" ref="Y21:Y40">IF(N21="RR",ROUND(M21/60,2)*I21*$L$16*0.1*O21/100,"--")</f>
        <v>--</v>
      </c>
      <c r="Z21" s="349" t="s">
        <v>145</v>
      </c>
      <c r="AA21" s="29">
        <f aca="true" t="shared" si="14" ref="AA21:AA40">IF(F21="","",SUM(P21:Y21)*IF(Z21="SI",1,2))</f>
        <v>7579.850399999999</v>
      </c>
      <c r="AB21" s="316"/>
    </row>
    <row r="22" spans="1:28" s="8" customFormat="1" ht="15">
      <c r="A22" s="7"/>
      <c r="B22" s="66"/>
      <c r="C22" s="331">
        <v>21</v>
      </c>
      <c r="D22" s="328">
        <v>249018</v>
      </c>
      <c r="E22" s="328">
        <v>2905</v>
      </c>
      <c r="F22" s="332" t="s">
        <v>154</v>
      </c>
      <c r="G22" s="337">
        <v>132</v>
      </c>
      <c r="H22" s="338">
        <v>28.5</v>
      </c>
      <c r="I22" s="197">
        <f t="shared" si="0"/>
        <v>54.207</v>
      </c>
      <c r="J22" s="342">
        <v>41090.325694444444</v>
      </c>
      <c r="K22" s="342">
        <v>41090.48472222222</v>
      </c>
      <c r="L22" s="12">
        <f t="shared" si="1"/>
        <v>3.8166666667093523</v>
      </c>
      <c r="M22" s="13">
        <f t="shared" si="2"/>
        <v>229</v>
      </c>
      <c r="N22" s="344" t="s">
        <v>144</v>
      </c>
      <c r="O22" s="345" t="str">
        <f t="shared" si="3"/>
        <v>--</v>
      </c>
      <c r="P22" s="213">
        <f t="shared" si="4"/>
        <v>62.121221999999996</v>
      </c>
      <c r="Q22" s="218" t="str">
        <f t="shared" si="5"/>
        <v>--</v>
      </c>
      <c r="R22" s="223" t="str">
        <f t="shared" si="6"/>
        <v>--</v>
      </c>
      <c r="S22" s="224" t="str">
        <f t="shared" si="7"/>
        <v>--</v>
      </c>
      <c r="T22" s="225" t="str">
        <f t="shared" si="8"/>
        <v>--</v>
      </c>
      <c r="U22" s="238" t="str">
        <f t="shared" si="9"/>
        <v>--</v>
      </c>
      <c r="V22" s="242" t="str">
        <f t="shared" si="10"/>
        <v>--</v>
      </c>
      <c r="W22" s="246" t="str">
        <f t="shared" si="11"/>
        <v>--</v>
      </c>
      <c r="X22" s="251" t="str">
        <f t="shared" si="12"/>
        <v>--</v>
      </c>
      <c r="Y22" s="256" t="str">
        <f t="shared" si="13"/>
        <v>--</v>
      </c>
      <c r="Z22" s="349" t="s">
        <v>145</v>
      </c>
      <c r="AA22" s="29">
        <f t="shared" si="14"/>
        <v>62.121221999999996</v>
      </c>
      <c r="AB22" s="316"/>
    </row>
    <row r="23" spans="1:28" s="8" customFormat="1" ht="15">
      <c r="A23" s="7"/>
      <c r="B23" s="66"/>
      <c r="C23" s="331">
        <v>22</v>
      </c>
      <c r="D23" s="328">
        <v>249019</v>
      </c>
      <c r="E23" s="328">
        <v>295</v>
      </c>
      <c r="F23" s="332" t="s">
        <v>156</v>
      </c>
      <c r="G23" s="337">
        <v>132</v>
      </c>
      <c r="H23" s="338">
        <v>105</v>
      </c>
      <c r="I23" s="197">
        <f t="shared" si="0"/>
        <v>199.70999999999998</v>
      </c>
      <c r="J23" s="342">
        <v>41090.33819444444</v>
      </c>
      <c r="K23" s="342">
        <v>41090.743055555555</v>
      </c>
      <c r="L23" s="12">
        <f t="shared" si="1"/>
        <v>9.716666666732635</v>
      </c>
      <c r="M23" s="13">
        <f t="shared" si="2"/>
        <v>583</v>
      </c>
      <c r="N23" s="344" t="s">
        <v>144</v>
      </c>
      <c r="O23" s="345" t="str">
        <f t="shared" si="3"/>
        <v>--</v>
      </c>
      <c r="P23" s="213">
        <f t="shared" si="4"/>
        <v>582.35436</v>
      </c>
      <c r="Q23" s="218" t="str">
        <f t="shared" si="5"/>
        <v>--</v>
      </c>
      <c r="R23" s="223" t="str">
        <f t="shared" si="6"/>
        <v>--</v>
      </c>
      <c r="S23" s="224" t="str">
        <f t="shared" si="7"/>
        <v>--</v>
      </c>
      <c r="T23" s="225" t="str">
        <f t="shared" si="8"/>
        <v>--</v>
      </c>
      <c r="U23" s="238" t="str">
        <f t="shared" si="9"/>
        <v>--</v>
      </c>
      <c r="V23" s="242" t="str">
        <f t="shared" si="10"/>
        <v>--</v>
      </c>
      <c r="W23" s="246" t="str">
        <f t="shared" si="11"/>
        <v>--</v>
      </c>
      <c r="X23" s="251" t="str">
        <f t="shared" si="12"/>
        <v>--</v>
      </c>
      <c r="Y23" s="256" t="str">
        <f t="shared" si="13"/>
        <v>--</v>
      </c>
      <c r="Z23" s="349" t="s">
        <v>145</v>
      </c>
      <c r="AA23" s="29">
        <f t="shared" si="14"/>
        <v>582.35436</v>
      </c>
      <c r="AB23" s="316"/>
    </row>
    <row r="24" spans="1:28" s="8" customFormat="1" ht="15">
      <c r="A24" s="7"/>
      <c r="B24" s="66"/>
      <c r="C24" s="331"/>
      <c r="D24" s="328"/>
      <c r="E24" s="328"/>
      <c r="F24" s="332"/>
      <c r="G24" s="337"/>
      <c r="H24" s="338"/>
      <c r="I24" s="197">
        <f t="shared" si="0"/>
        <v>47.55</v>
      </c>
      <c r="J24" s="342"/>
      <c r="K24" s="342"/>
      <c r="L24" s="12">
        <f t="shared" si="1"/>
      </c>
      <c r="M24" s="13">
        <f t="shared" si="2"/>
      </c>
      <c r="N24" s="344"/>
      <c r="O24" s="345">
        <f t="shared" si="3"/>
      </c>
      <c r="P24" s="213" t="str">
        <f t="shared" si="4"/>
        <v>--</v>
      </c>
      <c r="Q24" s="218" t="str">
        <f t="shared" si="5"/>
        <v>--</v>
      </c>
      <c r="R24" s="223" t="str">
        <f t="shared" si="6"/>
        <v>--</v>
      </c>
      <c r="S24" s="224" t="str">
        <f t="shared" si="7"/>
        <v>--</v>
      </c>
      <c r="T24" s="225" t="str">
        <f t="shared" si="8"/>
        <v>--</v>
      </c>
      <c r="U24" s="238" t="str">
        <f t="shared" si="9"/>
        <v>--</v>
      </c>
      <c r="V24" s="242" t="str">
        <f t="shared" si="10"/>
        <v>--</v>
      </c>
      <c r="W24" s="246" t="str">
        <f t="shared" si="11"/>
        <v>--</v>
      </c>
      <c r="X24" s="251" t="str">
        <f t="shared" si="12"/>
        <v>--</v>
      </c>
      <c r="Y24" s="256" t="str">
        <f t="shared" si="13"/>
        <v>--</v>
      </c>
      <c r="Z24" s="349">
        <f aca="true" t="shared" si="15" ref="Z24:Z40">IF(F24="","","SI")</f>
      </c>
      <c r="AA24" s="29">
        <f t="shared" si="14"/>
      </c>
      <c r="AB24" s="316"/>
    </row>
    <row r="25" spans="1:28" s="8" customFormat="1" ht="15">
      <c r="A25" s="7"/>
      <c r="B25" s="66"/>
      <c r="C25" s="331"/>
      <c r="D25" s="328"/>
      <c r="E25" s="328"/>
      <c r="F25" s="332"/>
      <c r="G25" s="337"/>
      <c r="H25" s="338"/>
      <c r="I25" s="197">
        <f t="shared" si="0"/>
        <v>47.55</v>
      </c>
      <c r="J25" s="342"/>
      <c r="K25" s="342"/>
      <c r="L25" s="12">
        <f t="shared" si="1"/>
      </c>
      <c r="M25" s="13">
        <f t="shared" si="2"/>
      </c>
      <c r="N25" s="344"/>
      <c r="O25" s="345">
        <f t="shared" si="3"/>
      </c>
      <c r="P25" s="213" t="str">
        <f t="shared" si="4"/>
        <v>--</v>
      </c>
      <c r="Q25" s="218" t="str">
        <f t="shared" si="5"/>
        <v>--</v>
      </c>
      <c r="R25" s="223" t="str">
        <f t="shared" si="6"/>
        <v>--</v>
      </c>
      <c r="S25" s="224" t="str">
        <f t="shared" si="7"/>
        <v>--</v>
      </c>
      <c r="T25" s="225" t="str">
        <f t="shared" si="8"/>
        <v>--</v>
      </c>
      <c r="U25" s="238" t="str">
        <f t="shared" si="9"/>
        <v>--</v>
      </c>
      <c r="V25" s="242" t="str">
        <f t="shared" si="10"/>
        <v>--</v>
      </c>
      <c r="W25" s="246" t="str">
        <f t="shared" si="11"/>
        <v>--</v>
      </c>
      <c r="X25" s="251" t="str">
        <f t="shared" si="12"/>
        <v>--</v>
      </c>
      <c r="Y25" s="256" t="str">
        <f t="shared" si="13"/>
        <v>--</v>
      </c>
      <c r="Z25" s="349">
        <f t="shared" si="15"/>
      </c>
      <c r="AA25" s="29">
        <f t="shared" si="14"/>
      </c>
      <c r="AB25" s="316"/>
    </row>
    <row r="26" spans="1:28" s="8" customFormat="1" ht="15">
      <c r="A26" s="7"/>
      <c r="B26" s="66"/>
      <c r="C26" s="331"/>
      <c r="D26" s="328"/>
      <c r="E26" s="328"/>
      <c r="F26" s="332"/>
      <c r="G26" s="337"/>
      <c r="H26" s="338"/>
      <c r="I26" s="197">
        <f t="shared" si="0"/>
        <v>47.55</v>
      </c>
      <c r="J26" s="342"/>
      <c r="K26" s="342"/>
      <c r="L26" s="12">
        <f t="shared" si="1"/>
      </c>
      <c r="M26" s="13">
        <f t="shared" si="2"/>
      </c>
      <c r="N26" s="344"/>
      <c r="O26" s="345">
        <f t="shared" si="3"/>
      </c>
      <c r="P26" s="213" t="str">
        <f t="shared" si="4"/>
        <v>--</v>
      </c>
      <c r="Q26" s="218" t="str">
        <f t="shared" si="5"/>
        <v>--</v>
      </c>
      <c r="R26" s="223" t="str">
        <f t="shared" si="6"/>
        <v>--</v>
      </c>
      <c r="S26" s="224" t="str">
        <f t="shared" si="7"/>
        <v>--</v>
      </c>
      <c r="T26" s="225" t="str">
        <f t="shared" si="8"/>
        <v>--</v>
      </c>
      <c r="U26" s="238" t="str">
        <f t="shared" si="9"/>
        <v>--</v>
      </c>
      <c r="V26" s="242" t="str">
        <f t="shared" si="10"/>
        <v>--</v>
      </c>
      <c r="W26" s="246" t="str">
        <f t="shared" si="11"/>
        <v>--</v>
      </c>
      <c r="X26" s="251" t="str">
        <f t="shared" si="12"/>
        <v>--</v>
      </c>
      <c r="Y26" s="256" t="str">
        <f t="shared" si="13"/>
        <v>--</v>
      </c>
      <c r="Z26" s="349">
        <f t="shared" si="15"/>
      </c>
      <c r="AA26" s="29">
        <f t="shared" si="14"/>
      </c>
      <c r="AB26" s="316"/>
    </row>
    <row r="27" spans="1:28" s="8" customFormat="1" ht="15">
      <c r="A27" s="7"/>
      <c r="B27" s="66"/>
      <c r="C27" s="331"/>
      <c r="D27" s="328"/>
      <c r="E27" s="328"/>
      <c r="F27" s="332"/>
      <c r="G27" s="337"/>
      <c r="H27" s="338"/>
      <c r="I27" s="197">
        <f t="shared" si="0"/>
        <v>47.55</v>
      </c>
      <c r="J27" s="342"/>
      <c r="K27" s="342"/>
      <c r="L27" s="12">
        <f t="shared" si="1"/>
      </c>
      <c r="M27" s="13">
        <f t="shared" si="2"/>
      </c>
      <c r="N27" s="344"/>
      <c r="O27" s="345">
        <f t="shared" si="3"/>
      </c>
      <c r="P27" s="213" t="str">
        <f t="shared" si="4"/>
        <v>--</v>
      </c>
      <c r="Q27" s="218" t="str">
        <f t="shared" si="5"/>
        <v>--</v>
      </c>
      <c r="R27" s="223" t="str">
        <f t="shared" si="6"/>
        <v>--</v>
      </c>
      <c r="S27" s="224" t="str">
        <f t="shared" si="7"/>
        <v>--</v>
      </c>
      <c r="T27" s="225" t="str">
        <f t="shared" si="8"/>
        <v>--</v>
      </c>
      <c r="U27" s="238" t="str">
        <f t="shared" si="9"/>
        <v>--</v>
      </c>
      <c r="V27" s="242" t="str">
        <f t="shared" si="10"/>
        <v>--</v>
      </c>
      <c r="W27" s="246" t="str">
        <f t="shared" si="11"/>
        <v>--</v>
      </c>
      <c r="X27" s="251" t="str">
        <f t="shared" si="12"/>
        <v>--</v>
      </c>
      <c r="Y27" s="256" t="str">
        <f t="shared" si="13"/>
        <v>--</v>
      </c>
      <c r="Z27" s="349">
        <f t="shared" si="15"/>
      </c>
      <c r="AA27" s="29">
        <f t="shared" si="14"/>
      </c>
      <c r="AB27" s="316"/>
    </row>
    <row r="28" spans="1:28" s="8" customFormat="1" ht="15">
      <c r="A28" s="7"/>
      <c r="B28" s="66"/>
      <c r="C28" s="331"/>
      <c r="D28" s="328"/>
      <c r="E28" s="328"/>
      <c r="F28" s="332"/>
      <c r="G28" s="337"/>
      <c r="H28" s="338"/>
      <c r="I28" s="197">
        <f t="shared" si="0"/>
        <v>47.55</v>
      </c>
      <c r="J28" s="342"/>
      <c r="K28" s="342"/>
      <c r="L28" s="12">
        <f t="shared" si="1"/>
      </c>
      <c r="M28" s="13">
        <f t="shared" si="2"/>
      </c>
      <c r="N28" s="344"/>
      <c r="O28" s="345">
        <f t="shared" si="3"/>
      </c>
      <c r="P28" s="213" t="str">
        <f t="shared" si="4"/>
        <v>--</v>
      </c>
      <c r="Q28" s="218" t="str">
        <f t="shared" si="5"/>
        <v>--</v>
      </c>
      <c r="R28" s="223" t="str">
        <f t="shared" si="6"/>
        <v>--</v>
      </c>
      <c r="S28" s="224" t="str">
        <f t="shared" si="7"/>
        <v>--</v>
      </c>
      <c r="T28" s="225" t="str">
        <f t="shared" si="8"/>
        <v>--</v>
      </c>
      <c r="U28" s="238" t="str">
        <f t="shared" si="9"/>
        <v>--</v>
      </c>
      <c r="V28" s="242" t="str">
        <f t="shared" si="10"/>
        <v>--</v>
      </c>
      <c r="W28" s="246" t="str">
        <f t="shared" si="11"/>
        <v>--</v>
      </c>
      <c r="X28" s="251" t="str">
        <f t="shared" si="12"/>
        <v>--</v>
      </c>
      <c r="Y28" s="256" t="str">
        <f t="shared" si="13"/>
        <v>--</v>
      </c>
      <c r="Z28" s="349">
        <f t="shared" si="15"/>
      </c>
      <c r="AA28" s="29">
        <f t="shared" si="14"/>
      </c>
      <c r="AB28" s="9"/>
    </row>
    <row r="29" spans="1:28" s="8" customFormat="1" ht="15">
      <c r="A29" s="7"/>
      <c r="B29" s="66"/>
      <c r="C29" s="331"/>
      <c r="D29" s="328"/>
      <c r="E29" s="328"/>
      <c r="F29" s="332"/>
      <c r="G29" s="337"/>
      <c r="H29" s="338"/>
      <c r="I29" s="197">
        <f t="shared" si="0"/>
        <v>47.55</v>
      </c>
      <c r="J29" s="342"/>
      <c r="K29" s="342"/>
      <c r="L29" s="12">
        <f t="shared" si="1"/>
      </c>
      <c r="M29" s="13">
        <f t="shared" si="2"/>
      </c>
      <c r="N29" s="344"/>
      <c r="O29" s="345">
        <f t="shared" si="3"/>
      </c>
      <c r="P29" s="213" t="str">
        <f t="shared" si="4"/>
        <v>--</v>
      </c>
      <c r="Q29" s="218" t="str">
        <f t="shared" si="5"/>
        <v>--</v>
      </c>
      <c r="R29" s="223" t="str">
        <f t="shared" si="6"/>
        <v>--</v>
      </c>
      <c r="S29" s="224" t="str">
        <f t="shared" si="7"/>
        <v>--</v>
      </c>
      <c r="T29" s="225" t="str">
        <f t="shared" si="8"/>
        <v>--</v>
      </c>
      <c r="U29" s="238" t="str">
        <f t="shared" si="9"/>
        <v>--</v>
      </c>
      <c r="V29" s="242" t="str">
        <f t="shared" si="10"/>
        <v>--</v>
      </c>
      <c r="W29" s="246" t="str">
        <f t="shared" si="11"/>
        <v>--</v>
      </c>
      <c r="X29" s="251" t="str">
        <f t="shared" si="12"/>
        <v>--</v>
      </c>
      <c r="Y29" s="256" t="str">
        <f t="shared" si="13"/>
        <v>--</v>
      </c>
      <c r="Z29" s="349">
        <f t="shared" si="15"/>
      </c>
      <c r="AA29" s="29">
        <f t="shared" si="14"/>
      </c>
      <c r="AB29" s="9"/>
    </row>
    <row r="30" spans="1:28" s="8" customFormat="1" ht="15">
      <c r="A30" s="7"/>
      <c r="B30" s="66"/>
      <c r="C30" s="331"/>
      <c r="D30" s="328"/>
      <c r="E30" s="328"/>
      <c r="F30" s="332"/>
      <c r="G30" s="337"/>
      <c r="H30" s="338"/>
      <c r="I30" s="197">
        <f t="shared" si="0"/>
        <v>47.55</v>
      </c>
      <c r="J30" s="342"/>
      <c r="K30" s="342"/>
      <c r="L30" s="12">
        <f t="shared" si="1"/>
      </c>
      <c r="M30" s="13">
        <f t="shared" si="2"/>
      </c>
      <c r="N30" s="344"/>
      <c r="O30" s="345">
        <f t="shared" si="3"/>
      </c>
      <c r="P30" s="213" t="str">
        <f t="shared" si="4"/>
        <v>--</v>
      </c>
      <c r="Q30" s="218" t="str">
        <f t="shared" si="5"/>
        <v>--</v>
      </c>
      <c r="R30" s="223" t="str">
        <f t="shared" si="6"/>
        <v>--</v>
      </c>
      <c r="S30" s="224" t="str">
        <f t="shared" si="7"/>
        <v>--</v>
      </c>
      <c r="T30" s="225" t="str">
        <f t="shared" si="8"/>
        <v>--</v>
      </c>
      <c r="U30" s="238" t="str">
        <f t="shared" si="9"/>
        <v>--</v>
      </c>
      <c r="V30" s="242" t="str">
        <f t="shared" si="10"/>
        <v>--</v>
      </c>
      <c r="W30" s="246" t="str">
        <f t="shared" si="11"/>
        <v>--</v>
      </c>
      <c r="X30" s="251" t="str">
        <f t="shared" si="12"/>
        <v>--</v>
      </c>
      <c r="Y30" s="256" t="str">
        <f t="shared" si="13"/>
        <v>--</v>
      </c>
      <c r="Z30" s="349">
        <f t="shared" si="15"/>
      </c>
      <c r="AA30" s="29">
        <f t="shared" si="14"/>
      </c>
      <c r="AB30" s="9"/>
    </row>
    <row r="31" spans="1:28" s="8" customFormat="1" ht="15">
      <c r="A31" s="7"/>
      <c r="B31" s="66"/>
      <c r="C31" s="331"/>
      <c r="D31" s="328"/>
      <c r="E31" s="328"/>
      <c r="F31" s="332"/>
      <c r="G31" s="337"/>
      <c r="H31" s="338"/>
      <c r="I31" s="197">
        <f t="shared" si="0"/>
        <v>47.55</v>
      </c>
      <c r="J31" s="342"/>
      <c r="K31" s="342"/>
      <c r="L31" s="12">
        <f t="shared" si="1"/>
      </c>
      <c r="M31" s="13">
        <f t="shared" si="2"/>
      </c>
      <c r="N31" s="344"/>
      <c r="O31" s="345">
        <f t="shared" si="3"/>
      </c>
      <c r="P31" s="213" t="str">
        <f t="shared" si="4"/>
        <v>--</v>
      </c>
      <c r="Q31" s="218" t="str">
        <f t="shared" si="5"/>
        <v>--</v>
      </c>
      <c r="R31" s="223" t="str">
        <f t="shared" si="6"/>
        <v>--</v>
      </c>
      <c r="S31" s="224" t="str">
        <f t="shared" si="7"/>
        <v>--</v>
      </c>
      <c r="T31" s="225" t="str">
        <f t="shared" si="8"/>
        <v>--</v>
      </c>
      <c r="U31" s="238" t="str">
        <f t="shared" si="9"/>
        <v>--</v>
      </c>
      <c r="V31" s="242" t="str">
        <f t="shared" si="10"/>
        <v>--</v>
      </c>
      <c r="W31" s="246" t="str">
        <f t="shared" si="11"/>
        <v>--</v>
      </c>
      <c r="X31" s="251" t="str">
        <f t="shared" si="12"/>
        <v>--</v>
      </c>
      <c r="Y31" s="256" t="str">
        <f t="shared" si="13"/>
        <v>--</v>
      </c>
      <c r="Z31" s="349">
        <f t="shared" si="15"/>
      </c>
      <c r="AA31" s="29">
        <f t="shared" si="14"/>
      </c>
      <c r="AB31" s="9"/>
    </row>
    <row r="32" spans="1:28" s="8" customFormat="1" ht="15">
      <c r="A32" s="7"/>
      <c r="B32" s="66"/>
      <c r="C32" s="331"/>
      <c r="D32" s="328"/>
      <c r="E32" s="328"/>
      <c r="F32" s="332"/>
      <c r="G32" s="337"/>
      <c r="H32" s="338"/>
      <c r="I32" s="197">
        <f t="shared" si="0"/>
        <v>47.55</v>
      </c>
      <c r="J32" s="342"/>
      <c r="K32" s="342"/>
      <c r="L32" s="12">
        <f t="shared" si="1"/>
      </c>
      <c r="M32" s="13">
        <f t="shared" si="2"/>
      </c>
      <c r="N32" s="344"/>
      <c r="O32" s="345">
        <f t="shared" si="3"/>
      </c>
      <c r="P32" s="213" t="str">
        <f t="shared" si="4"/>
        <v>--</v>
      </c>
      <c r="Q32" s="218" t="str">
        <f t="shared" si="5"/>
        <v>--</v>
      </c>
      <c r="R32" s="223" t="str">
        <f t="shared" si="6"/>
        <v>--</v>
      </c>
      <c r="S32" s="224" t="str">
        <f t="shared" si="7"/>
        <v>--</v>
      </c>
      <c r="T32" s="225" t="str">
        <f t="shared" si="8"/>
        <v>--</v>
      </c>
      <c r="U32" s="238" t="str">
        <f t="shared" si="9"/>
        <v>--</v>
      </c>
      <c r="V32" s="242" t="str">
        <f t="shared" si="10"/>
        <v>--</v>
      </c>
      <c r="W32" s="246" t="str">
        <f t="shared" si="11"/>
        <v>--</v>
      </c>
      <c r="X32" s="251" t="str">
        <f t="shared" si="12"/>
        <v>--</v>
      </c>
      <c r="Y32" s="256" t="str">
        <f t="shared" si="13"/>
        <v>--</v>
      </c>
      <c r="Z32" s="349">
        <f t="shared" si="15"/>
      </c>
      <c r="AA32" s="29">
        <f t="shared" si="14"/>
      </c>
      <c r="AB32" s="9"/>
    </row>
    <row r="33" spans="1:28" s="8" customFormat="1" ht="15">
      <c r="A33" s="7"/>
      <c r="B33" s="66"/>
      <c r="C33" s="331"/>
      <c r="D33" s="328"/>
      <c r="E33" s="328"/>
      <c r="F33" s="332"/>
      <c r="G33" s="337"/>
      <c r="H33" s="338"/>
      <c r="I33" s="197">
        <f t="shared" si="0"/>
        <v>47.55</v>
      </c>
      <c r="J33" s="342"/>
      <c r="K33" s="342"/>
      <c r="L33" s="12">
        <f t="shared" si="1"/>
      </c>
      <c r="M33" s="13">
        <f t="shared" si="2"/>
      </c>
      <c r="N33" s="344"/>
      <c r="O33" s="345">
        <f t="shared" si="3"/>
      </c>
      <c r="P33" s="213" t="str">
        <f t="shared" si="4"/>
        <v>--</v>
      </c>
      <c r="Q33" s="218" t="str">
        <f t="shared" si="5"/>
        <v>--</v>
      </c>
      <c r="R33" s="223" t="str">
        <f t="shared" si="6"/>
        <v>--</v>
      </c>
      <c r="S33" s="224" t="str">
        <f t="shared" si="7"/>
        <v>--</v>
      </c>
      <c r="T33" s="225" t="str">
        <f t="shared" si="8"/>
        <v>--</v>
      </c>
      <c r="U33" s="238" t="str">
        <f t="shared" si="9"/>
        <v>--</v>
      </c>
      <c r="V33" s="242" t="str">
        <f t="shared" si="10"/>
        <v>--</v>
      </c>
      <c r="W33" s="246" t="str">
        <f t="shared" si="11"/>
        <v>--</v>
      </c>
      <c r="X33" s="251" t="str">
        <f t="shared" si="12"/>
        <v>--</v>
      </c>
      <c r="Y33" s="256" t="str">
        <f t="shared" si="13"/>
        <v>--</v>
      </c>
      <c r="Z33" s="349">
        <f t="shared" si="15"/>
      </c>
      <c r="AA33" s="29">
        <f t="shared" si="14"/>
      </c>
      <c r="AB33" s="9"/>
    </row>
    <row r="34" spans="1:28" s="8" customFormat="1" ht="15">
      <c r="A34" s="7"/>
      <c r="B34" s="66"/>
      <c r="C34" s="331"/>
      <c r="D34" s="328"/>
      <c r="E34" s="328"/>
      <c r="F34" s="332"/>
      <c r="G34" s="337"/>
      <c r="H34" s="338"/>
      <c r="I34" s="197">
        <f t="shared" si="0"/>
        <v>47.55</v>
      </c>
      <c r="J34" s="342"/>
      <c r="K34" s="342"/>
      <c r="L34" s="12">
        <f t="shared" si="1"/>
      </c>
      <c r="M34" s="13">
        <f t="shared" si="2"/>
      </c>
      <c r="N34" s="344"/>
      <c r="O34" s="345">
        <f t="shared" si="3"/>
      </c>
      <c r="P34" s="213" t="str">
        <f t="shared" si="4"/>
        <v>--</v>
      </c>
      <c r="Q34" s="218" t="str">
        <f t="shared" si="5"/>
        <v>--</v>
      </c>
      <c r="R34" s="223" t="str">
        <f t="shared" si="6"/>
        <v>--</v>
      </c>
      <c r="S34" s="224" t="str">
        <f t="shared" si="7"/>
        <v>--</v>
      </c>
      <c r="T34" s="225" t="str">
        <f t="shared" si="8"/>
        <v>--</v>
      </c>
      <c r="U34" s="238" t="str">
        <f t="shared" si="9"/>
        <v>--</v>
      </c>
      <c r="V34" s="242" t="str">
        <f t="shared" si="10"/>
        <v>--</v>
      </c>
      <c r="W34" s="246" t="str">
        <f t="shared" si="11"/>
        <v>--</v>
      </c>
      <c r="X34" s="251" t="str">
        <f t="shared" si="12"/>
        <v>--</v>
      </c>
      <c r="Y34" s="256" t="str">
        <f t="shared" si="13"/>
        <v>--</v>
      </c>
      <c r="Z34" s="349">
        <f t="shared" si="15"/>
      </c>
      <c r="AA34" s="29">
        <f t="shared" si="14"/>
      </c>
      <c r="AB34" s="9"/>
    </row>
    <row r="35" spans="1:28" s="8" customFormat="1" ht="15">
      <c r="A35" s="7"/>
      <c r="B35" s="66"/>
      <c r="C35" s="331"/>
      <c r="D35" s="328"/>
      <c r="E35" s="328"/>
      <c r="F35" s="332"/>
      <c r="G35" s="337"/>
      <c r="H35" s="338"/>
      <c r="I35" s="197">
        <f t="shared" si="0"/>
        <v>47.55</v>
      </c>
      <c r="J35" s="342"/>
      <c r="K35" s="342"/>
      <c r="L35" s="12">
        <f t="shared" si="1"/>
      </c>
      <c r="M35" s="13">
        <f t="shared" si="2"/>
      </c>
      <c r="N35" s="344"/>
      <c r="O35" s="345">
        <f t="shared" si="3"/>
      </c>
      <c r="P35" s="213" t="str">
        <f t="shared" si="4"/>
        <v>--</v>
      </c>
      <c r="Q35" s="218" t="str">
        <f t="shared" si="5"/>
        <v>--</v>
      </c>
      <c r="R35" s="223" t="str">
        <f t="shared" si="6"/>
        <v>--</v>
      </c>
      <c r="S35" s="224" t="str">
        <f t="shared" si="7"/>
        <v>--</v>
      </c>
      <c r="T35" s="225" t="str">
        <f t="shared" si="8"/>
        <v>--</v>
      </c>
      <c r="U35" s="238" t="str">
        <f t="shared" si="9"/>
        <v>--</v>
      </c>
      <c r="V35" s="242" t="str">
        <f t="shared" si="10"/>
        <v>--</v>
      </c>
      <c r="W35" s="246" t="str">
        <f t="shared" si="11"/>
        <v>--</v>
      </c>
      <c r="X35" s="251" t="str">
        <f t="shared" si="12"/>
        <v>--</v>
      </c>
      <c r="Y35" s="256" t="str">
        <f t="shared" si="13"/>
        <v>--</v>
      </c>
      <c r="Z35" s="349">
        <f t="shared" si="15"/>
      </c>
      <c r="AA35" s="29">
        <f t="shared" si="14"/>
      </c>
      <c r="AB35" s="9"/>
    </row>
    <row r="36" spans="1:28" s="8" customFormat="1" ht="15">
      <c r="A36" s="7"/>
      <c r="B36" s="66"/>
      <c r="C36" s="331"/>
      <c r="D36" s="328"/>
      <c r="E36" s="328"/>
      <c r="F36" s="332"/>
      <c r="G36" s="337"/>
      <c r="H36" s="338"/>
      <c r="I36" s="197">
        <f t="shared" si="0"/>
        <v>47.55</v>
      </c>
      <c r="J36" s="342"/>
      <c r="K36" s="342"/>
      <c r="L36" s="12">
        <f t="shared" si="1"/>
      </c>
      <c r="M36" s="13">
        <f t="shared" si="2"/>
      </c>
      <c r="N36" s="344"/>
      <c r="O36" s="345">
        <f t="shared" si="3"/>
      </c>
      <c r="P36" s="213" t="str">
        <f t="shared" si="4"/>
        <v>--</v>
      </c>
      <c r="Q36" s="218" t="str">
        <f t="shared" si="5"/>
        <v>--</v>
      </c>
      <c r="R36" s="223" t="str">
        <f t="shared" si="6"/>
        <v>--</v>
      </c>
      <c r="S36" s="224" t="str">
        <f t="shared" si="7"/>
        <v>--</v>
      </c>
      <c r="T36" s="225" t="str">
        <f t="shared" si="8"/>
        <v>--</v>
      </c>
      <c r="U36" s="238" t="str">
        <f t="shared" si="9"/>
        <v>--</v>
      </c>
      <c r="V36" s="242" t="str">
        <f t="shared" si="10"/>
        <v>--</v>
      </c>
      <c r="W36" s="246" t="str">
        <f t="shared" si="11"/>
        <v>--</v>
      </c>
      <c r="X36" s="251" t="str">
        <f t="shared" si="12"/>
        <v>--</v>
      </c>
      <c r="Y36" s="256" t="str">
        <f t="shared" si="13"/>
        <v>--</v>
      </c>
      <c r="Z36" s="349">
        <f t="shared" si="15"/>
      </c>
      <c r="AA36" s="29">
        <f t="shared" si="14"/>
      </c>
      <c r="AB36" s="9"/>
    </row>
    <row r="37" spans="1:28" s="8" customFormat="1" ht="15">
      <c r="A37" s="7"/>
      <c r="B37" s="66"/>
      <c r="C37" s="331"/>
      <c r="D37" s="328"/>
      <c r="E37" s="328"/>
      <c r="F37" s="332"/>
      <c r="G37" s="337"/>
      <c r="H37" s="338"/>
      <c r="I37" s="197">
        <f t="shared" si="0"/>
        <v>47.55</v>
      </c>
      <c r="J37" s="342"/>
      <c r="K37" s="342"/>
      <c r="L37" s="12">
        <f t="shared" si="1"/>
      </c>
      <c r="M37" s="13">
        <f t="shared" si="2"/>
      </c>
      <c r="N37" s="344"/>
      <c r="O37" s="345">
        <f t="shared" si="3"/>
      </c>
      <c r="P37" s="213" t="str">
        <f t="shared" si="4"/>
        <v>--</v>
      </c>
      <c r="Q37" s="218" t="str">
        <f t="shared" si="5"/>
        <v>--</v>
      </c>
      <c r="R37" s="223" t="str">
        <f t="shared" si="6"/>
        <v>--</v>
      </c>
      <c r="S37" s="224" t="str">
        <f t="shared" si="7"/>
        <v>--</v>
      </c>
      <c r="T37" s="225" t="str">
        <f t="shared" si="8"/>
        <v>--</v>
      </c>
      <c r="U37" s="238" t="str">
        <f t="shared" si="9"/>
        <v>--</v>
      </c>
      <c r="V37" s="242" t="str">
        <f t="shared" si="10"/>
        <v>--</v>
      </c>
      <c r="W37" s="246" t="str">
        <f t="shared" si="11"/>
        <v>--</v>
      </c>
      <c r="X37" s="251" t="str">
        <f t="shared" si="12"/>
        <v>--</v>
      </c>
      <c r="Y37" s="256" t="str">
        <f t="shared" si="13"/>
        <v>--</v>
      </c>
      <c r="Z37" s="349">
        <f t="shared" si="15"/>
      </c>
      <c r="AA37" s="29">
        <f t="shared" si="14"/>
      </c>
      <c r="AB37" s="9"/>
    </row>
    <row r="38" spans="1:28" s="8" customFormat="1" ht="15">
      <c r="A38" s="7"/>
      <c r="B38" s="66"/>
      <c r="C38" s="331"/>
      <c r="D38" s="328"/>
      <c r="E38" s="328"/>
      <c r="F38" s="332"/>
      <c r="G38" s="337"/>
      <c r="H38" s="338"/>
      <c r="I38" s="197">
        <f t="shared" si="0"/>
        <v>47.55</v>
      </c>
      <c r="J38" s="342"/>
      <c r="K38" s="342"/>
      <c r="L38" s="12">
        <f t="shared" si="1"/>
      </c>
      <c r="M38" s="13">
        <f t="shared" si="2"/>
      </c>
      <c r="N38" s="344"/>
      <c r="O38" s="345">
        <f t="shared" si="3"/>
      </c>
      <c r="P38" s="213" t="str">
        <f t="shared" si="4"/>
        <v>--</v>
      </c>
      <c r="Q38" s="218" t="str">
        <f t="shared" si="5"/>
        <v>--</v>
      </c>
      <c r="R38" s="223" t="str">
        <f t="shared" si="6"/>
        <v>--</v>
      </c>
      <c r="S38" s="224" t="str">
        <f t="shared" si="7"/>
        <v>--</v>
      </c>
      <c r="T38" s="225" t="str">
        <f t="shared" si="8"/>
        <v>--</v>
      </c>
      <c r="U38" s="238" t="str">
        <f t="shared" si="9"/>
        <v>--</v>
      </c>
      <c r="V38" s="242" t="str">
        <f t="shared" si="10"/>
        <v>--</v>
      </c>
      <c r="W38" s="246" t="str">
        <f t="shared" si="11"/>
        <v>--</v>
      </c>
      <c r="X38" s="251" t="str">
        <f t="shared" si="12"/>
        <v>--</v>
      </c>
      <c r="Y38" s="256" t="str">
        <f t="shared" si="13"/>
        <v>--</v>
      </c>
      <c r="Z38" s="349">
        <f t="shared" si="15"/>
      </c>
      <c r="AA38" s="29">
        <f t="shared" si="14"/>
      </c>
      <c r="AB38" s="9"/>
    </row>
    <row r="39" spans="1:28" s="8" customFormat="1" ht="15">
      <c r="A39" s="7"/>
      <c r="B39" s="66"/>
      <c r="C39" s="331"/>
      <c r="D39" s="328"/>
      <c r="E39" s="328"/>
      <c r="F39" s="332"/>
      <c r="G39" s="337"/>
      <c r="H39" s="338"/>
      <c r="I39" s="197">
        <f t="shared" si="0"/>
        <v>47.55</v>
      </c>
      <c r="J39" s="342"/>
      <c r="K39" s="342"/>
      <c r="L39" s="12">
        <f t="shared" si="1"/>
      </c>
      <c r="M39" s="13">
        <f t="shared" si="2"/>
      </c>
      <c r="N39" s="344"/>
      <c r="O39" s="345">
        <f t="shared" si="3"/>
      </c>
      <c r="P39" s="213" t="str">
        <f t="shared" si="4"/>
        <v>--</v>
      </c>
      <c r="Q39" s="218" t="str">
        <f t="shared" si="5"/>
        <v>--</v>
      </c>
      <c r="R39" s="223" t="str">
        <f t="shared" si="6"/>
        <v>--</v>
      </c>
      <c r="S39" s="224" t="str">
        <f t="shared" si="7"/>
        <v>--</v>
      </c>
      <c r="T39" s="225" t="str">
        <f t="shared" si="8"/>
        <v>--</v>
      </c>
      <c r="U39" s="238" t="str">
        <f t="shared" si="9"/>
        <v>--</v>
      </c>
      <c r="V39" s="242" t="str">
        <f t="shared" si="10"/>
        <v>--</v>
      </c>
      <c r="W39" s="246" t="str">
        <f t="shared" si="11"/>
        <v>--</v>
      </c>
      <c r="X39" s="251" t="str">
        <f t="shared" si="12"/>
        <v>--</v>
      </c>
      <c r="Y39" s="256" t="str">
        <f t="shared" si="13"/>
        <v>--</v>
      </c>
      <c r="Z39" s="349">
        <f t="shared" si="15"/>
      </c>
      <c r="AA39" s="29">
        <f t="shared" si="14"/>
      </c>
      <c r="AB39" s="9"/>
    </row>
    <row r="40" spans="1:28" s="8" customFormat="1" ht="15">
      <c r="A40" s="7"/>
      <c r="B40" s="66"/>
      <c r="C40" s="331"/>
      <c r="D40" s="328"/>
      <c r="E40" s="328"/>
      <c r="F40" s="332"/>
      <c r="G40" s="337"/>
      <c r="H40" s="338"/>
      <c r="I40" s="197">
        <f t="shared" si="0"/>
        <v>47.55</v>
      </c>
      <c r="J40" s="342"/>
      <c r="K40" s="342"/>
      <c r="L40" s="12">
        <f t="shared" si="1"/>
      </c>
      <c r="M40" s="13">
        <f t="shared" si="2"/>
      </c>
      <c r="N40" s="344"/>
      <c r="O40" s="345">
        <f t="shared" si="3"/>
      </c>
      <c r="P40" s="213" t="str">
        <f t="shared" si="4"/>
        <v>--</v>
      </c>
      <c r="Q40" s="218" t="str">
        <f t="shared" si="5"/>
        <v>--</v>
      </c>
      <c r="R40" s="223" t="str">
        <f t="shared" si="6"/>
        <v>--</v>
      </c>
      <c r="S40" s="224" t="str">
        <f t="shared" si="7"/>
        <v>--</v>
      </c>
      <c r="T40" s="225" t="str">
        <f t="shared" si="8"/>
        <v>--</v>
      </c>
      <c r="U40" s="238" t="str">
        <f t="shared" si="9"/>
        <v>--</v>
      </c>
      <c r="V40" s="242" t="str">
        <f t="shared" si="10"/>
        <v>--</v>
      </c>
      <c r="W40" s="246" t="str">
        <f t="shared" si="11"/>
        <v>--</v>
      </c>
      <c r="X40" s="251" t="str">
        <f t="shared" si="12"/>
        <v>--</v>
      </c>
      <c r="Y40" s="256" t="str">
        <f t="shared" si="13"/>
        <v>--</v>
      </c>
      <c r="Z40" s="349">
        <f t="shared" si="15"/>
      </c>
      <c r="AA40" s="29">
        <f t="shared" si="14"/>
      </c>
      <c r="AB40" s="9"/>
    </row>
    <row r="41" spans="1:28" s="8" customFormat="1" ht="15.75" thickBot="1">
      <c r="A41" s="7"/>
      <c r="B41" s="66"/>
      <c r="C41" s="333"/>
      <c r="D41" s="333"/>
      <c r="E41" s="333"/>
      <c r="F41" s="334"/>
      <c r="G41" s="339"/>
      <c r="H41" s="340"/>
      <c r="I41" s="198"/>
      <c r="J41" s="343"/>
      <c r="K41" s="343"/>
      <c r="L41" s="14"/>
      <c r="M41" s="14"/>
      <c r="N41" s="343"/>
      <c r="O41" s="346"/>
      <c r="P41" s="214"/>
      <c r="Q41" s="219"/>
      <c r="R41" s="226"/>
      <c r="S41" s="227"/>
      <c r="T41" s="228"/>
      <c r="U41" s="239"/>
      <c r="V41" s="243"/>
      <c r="W41" s="247"/>
      <c r="X41" s="252"/>
      <c r="Y41" s="257"/>
      <c r="Z41" s="350"/>
      <c r="AA41" s="107"/>
      <c r="AB41" s="9"/>
    </row>
    <row r="42" spans="1:28" s="8" customFormat="1" ht="17.25" thickBot="1" thickTop="1">
      <c r="A42" s="7"/>
      <c r="B42" s="66"/>
      <c r="C42" s="434" t="s">
        <v>204</v>
      </c>
      <c r="D42" s="433" t="s">
        <v>203</v>
      </c>
      <c r="E42" s="185"/>
      <c r="F42" s="184"/>
      <c r="G42" s="7"/>
      <c r="H42" s="7"/>
      <c r="I42" s="7"/>
      <c r="J42" s="7"/>
      <c r="K42" s="7"/>
      <c r="L42" s="7"/>
      <c r="M42" s="7"/>
      <c r="N42" s="7"/>
      <c r="O42" s="7"/>
      <c r="P42" s="231">
        <f aca="true" t="shared" si="16" ref="P42:Y42">SUM(P19:P41)</f>
        <v>644.475582</v>
      </c>
      <c r="Q42" s="232">
        <f t="shared" si="16"/>
        <v>0</v>
      </c>
      <c r="R42" s="258">
        <f t="shared" si="16"/>
        <v>6162.48</v>
      </c>
      <c r="S42" s="258">
        <f t="shared" si="16"/>
        <v>1417.3704</v>
      </c>
      <c r="T42" s="258">
        <f t="shared" si="16"/>
        <v>0</v>
      </c>
      <c r="U42" s="259">
        <f t="shared" si="16"/>
        <v>0</v>
      </c>
      <c r="V42" s="259">
        <f t="shared" si="16"/>
        <v>0</v>
      </c>
      <c r="W42" s="259">
        <f t="shared" si="16"/>
        <v>0</v>
      </c>
      <c r="X42" s="260">
        <f t="shared" si="16"/>
        <v>0</v>
      </c>
      <c r="Y42" s="261">
        <f t="shared" si="16"/>
        <v>0</v>
      </c>
      <c r="Z42" s="7"/>
      <c r="AA42" s="194">
        <f>ROUND(SUM(AA19:AA41),2)</f>
        <v>24641.75</v>
      </c>
      <c r="AB42" s="9"/>
    </row>
    <row r="43" spans="1:28" s="189" customFormat="1" ht="13.5" thickTop="1">
      <c r="A43" s="187"/>
      <c r="B43" s="188"/>
      <c r="C43" s="185"/>
      <c r="D43" s="185"/>
      <c r="E43" s="185"/>
      <c r="F43" s="186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90"/>
    </row>
    <row r="44" spans="1:28" s="8" customFormat="1" ht="13.5" thickBot="1">
      <c r="A44" s="7"/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</row>
    <row r="45" spans="1:2" ht="13.5" thickTop="1">
      <c r="A45" s="1"/>
      <c r="B45" s="1"/>
    </row>
  </sheetData>
  <sheetProtection/>
  <printOptions/>
  <pageMargins left="0.53" right="0.1968503937007874" top="0.7874015748031497" bottom="0.7874015748031497" header="0.5118110236220472" footer="0.5118110236220472"/>
  <pageSetup fitToHeight="1" fitToWidth="1" horizontalDpi="300" verticalDpi="300" orientation="landscape" paperSize="9" scale="68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H47"/>
  <sheetViews>
    <sheetView zoomScale="75" zoomScaleNormal="75" zoomScalePageLayoutView="0" workbookViewId="0" topLeftCell="A13">
      <selection activeCell="B37" sqref="B3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5.140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0.421875" style="0" hidden="1" customWidth="1"/>
    <col min="20" max="21" width="12.28125" style="0" hidden="1" customWidth="1"/>
    <col min="22" max="22" width="9.8515625" style="0" hidden="1" customWidth="1"/>
    <col min="23" max="23" width="13.8515625" style="0" hidden="1" customWidth="1"/>
    <col min="24" max="24" width="8.7109375" style="0" hidden="1" customWidth="1"/>
    <col min="25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3" customFormat="1" ht="26.25"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2:30" s="33" customFormat="1" ht="26.25">
      <c r="B2" s="409" t="str">
        <f>+'TOT-0612'!B2</f>
        <v>ANEXO III al Memorándum  D.T.E.E.  N°  1052 / 2013</v>
      </c>
      <c r="C2" s="36"/>
      <c r="D2" s="36"/>
      <c r="E2" s="156"/>
      <c r="F2" s="156"/>
      <c r="G2" s="111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5:30" s="8" customFormat="1" ht="12.75"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0" s="40" customFormat="1" ht="11.25">
      <c r="A4" s="410" t="s">
        <v>130</v>
      </c>
      <c r="B4" s="113"/>
      <c r="C4" s="410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1:30" s="40" customFormat="1" ht="11.25">
      <c r="A5" s="410" t="s">
        <v>131</v>
      </c>
      <c r="B5" s="113"/>
      <c r="C5" s="113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1:30" s="8" customFormat="1" ht="13.5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s="8" customFormat="1" ht="13.5" thickTop="1">
      <c r="A7" s="120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</row>
    <row r="8" spans="1:30" s="44" customFormat="1" ht="20.25">
      <c r="A8" s="139"/>
      <c r="B8" s="140"/>
      <c r="C8" s="126"/>
      <c r="D8" s="126"/>
      <c r="E8" s="126"/>
      <c r="F8" s="18" t="s">
        <v>18</v>
      </c>
      <c r="G8" s="18"/>
      <c r="H8" s="126"/>
      <c r="I8" s="139"/>
      <c r="J8" s="139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41"/>
    </row>
    <row r="9" spans="1:30" s="44" customFormat="1" ht="20.25">
      <c r="A9" s="139"/>
      <c r="B9" s="140"/>
      <c r="C9" s="126"/>
      <c r="D9" s="126"/>
      <c r="E9" s="126"/>
      <c r="F9" s="18"/>
      <c r="G9" s="18"/>
      <c r="H9" s="126"/>
      <c r="I9" s="139"/>
      <c r="J9" s="139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41"/>
    </row>
    <row r="10" spans="1:30" s="44" customFormat="1" ht="20.25">
      <c r="A10" s="139"/>
      <c r="B10" s="140"/>
      <c r="C10" s="126"/>
      <c r="D10" s="126"/>
      <c r="E10" s="126"/>
      <c r="F10" s="18" t="s">
        <v>41</v>
      </c>
      <c r="G10" s="18"/>
      <c r="H10" s="126"/>
      <c r="I10" s="139"/>
      <c r="J10" s="139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41"/>
    </row>
    <row r="11" spans="1:30" s="8" customFormat="1" ht="12.75">
      <c r="A11" s="120"/>
      <c r="B11" s="125"/>
      <c r="C11" s="25"/>
      <c r="D11" s="25"/>
      <c r="E11" s="25"/>
      <c r="F11" s="25"/>
      <c r="G11" s="25"/>
      <c r="H11" s="25"/>
      <c r="I11" s="12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0"/>
    </row>
    <row r="12" spans="1:30" s="44" customFormat="1" ht="20.25">
      <c r="A12" s="139"/>
      <c r="B12" s="140"/>
      <c r="C12" s="126"/>
      <c r="D12" s="126"/>
      <c r="E12" s="126"/>
      <c r="F12" s="157" t="s">
        <v>42</v>
      </c>
      <c r="G12" s="18"/>
      <c r="H12" s="139"/>
      <c r="I12" s="139"/>
      <c r="J12" s="142"/>
      <c r="K12" s="126"/>
      <c r="L12" s="139"/>
      <c r="M12" s="139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41"/>
    </row>
    <row r="13" spans="1:30" s="8" customFormat="1" ht="12.75">
      <c r="A13" s="120"/>
      <c r="B13" s="125"/>
      <c r="C13" s="25"/>
      <c r="D13" s="25"/>
      <c r="E13" s="25"/>
      <c r="F13" s="25"/>
      <c r="G13" s="25"/>
      <c r="H13" s="25"/>
      <c r="I13" s="12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0"/>
    </row>
    <row r="14" spans="1:30" s="44" customFormat="1" ht="20.25">
      <c r="A14" s="139"/>
      <c r="B14" s="140"/>
      <c r="C14" s="126"/>
      <c r="D14" s="126"/>
      <c r="E14" s="126"/>
      <c r="F14" s="157" t="s">
        <v>43</v>
      </c>
      <c r="G14" s="18"/>
      <c r="H14" s="139"/>
      <c r="I14" s="139"/>
      <c r="J14" s="142"/>
      <c r="K14" s="126"/>
      <c r="L14" s="139"/>
      <c r="M14" s="139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41"/>
    </row>
    <row r="15" spans="1:30" s="8" customFormat="1" ht="12.75">
      <c r="A15" s="120"/>
      <c r="B15" s="125"/>
      <c r="C15" s="25"/>
      <c r="D15" s="25"/>
      <c r="E15" s="25"/>
      <c r="F15" s="128"/>
      <c r="G15" s="128"/>
      <c r="H15" s="128"/>
      <c r="I15" s="129"/>
      <c r="J15" s="127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0"/>
    </row>
    <row r="16" spans="1:30" s="51" customFormat="1" ht="19.5">
      <c r="A16" s="143"/>
      <c r="B16" s="151" t="str">
        <f>'TOT-0612'!B14</f>
        <v>Desde el 01 al 30 de junio de 2012</v>
      </c>
      <c r="C16" s="152"/>
      <c r="D16" s="152"/>
      <c r="E16" s="152"/>
      <c r="F16" s="152"/>
      <c r="G16" s="152"/>
      <c r="H16" s="152"/>
      <c r="I16" s="152"/>
      <c r="J16" s="152"/>
      <c r="K16" s="153"/>
      <c r="L16" s="154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5"/>
    </row>
    <row r="17" spans="1:30" s="8" customFormat="1" ht="14.25" thickBot="1">
      <c r="A17" s="120"/>
      <c r="B17" s="125"/>
      <c r="C17" s="25"/>
      <c r="D17" s="25"/>
      <c r="E17" s="25"/>
      <c r="F17" s="25"/>
      <c r="G17" s="25"/>
      <c r="H17" s="25"/>
      <c r="I17" s="130"/>
      <c r="J17" s="25"/>
      <c r="K17" s="136"/>
      <c r="L17" s="137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0"/>
    </row>
    <row r="18" spans="1:30" s="8" customFormat="1" ht="14.25" thickBot="1" thickTop="1">
      <c r="A18" s="120"/>
      <c r="B18" s="125"/>
      <c r="C18" s="25"/>
      <c r="D18" s="25"/>
      <c r="E18" s="25"/>
      <c r="F18" s="144" t="s">
        <v>44</v>
      </c>
      <c r="G18" s="145"/>
      <c r="H18" s="146"/>
      <c r="I18" s="147">
        <v>0.662</v>
      </c>
      <c r="J18" s="120"/>
      <c r="K18" s="25"/>
      <c r="L18" s="320"/>
      <c r="M18" s="321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0"/>
    </row>
    <row r="19" spans="1:30" s="8" customFormat="1" ht="14.25" thickBot="1" thickTop="1">
      <c r="A19" s="120"/>
      <c r="B19" s="125"/>
      <c r="C19" s="25"/>
      <c r="D19" s="25"/>
      <c r="E19" s="25"/>
      <c r="F19" s="148" t="s">
        <v>45</v>
      </c>
      <c r="G19" s="149"/>
      <c r="H19" s="149"/>
      <c r="I19" s="150">
        <f>30*'TOT-0612'!B13</f>
        <v>30</v>
      </c>
      <c r="J19" s="25"/>
      <c r="K19" s="191" t="str">
        <f>IF(I19=30," ",IF(I19=60,"  Coeficiente duplicado por tasa de falla &gt;4 Sal. x año/100 km.","REVISAR COEFICIENTE"))</f>
        <v> 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31"/>
      <c r="X19" s="131"/>
      <c r="Y19" s="131"/>
      <c r="Z19" s="131"/>
      <c r="AA19" s="131"/>
      <c r="AB19" s="131"/>
      <c r="AC19" s="131"/>
      <c r="AD19" s="30"/>
    </row>
    <row r="20" spans="1:30" s="8" customFormat="1" ht="14.25" thickBot="1" thickTop="1">
      <c r="A20" s="120"/>
      <c r="B20" s="125"/>
      <c r="C20" s="414">
        <v>3</v>
      </c>
      <c r="D20" s="414">
        <v>4</v>
      </c>
      <c r="E20" s="414">
        <v>5</v>
      </c>
      <c r="F20" s="414">
        <v>6</v>
      </c>
      <c r="G20" s="414">
        <v>7</v>
      </c>
      <c r="H20" s="414">
        <v>8</v>
      </c>
      <c r="I20" s="414">
        <v>9</v>
      </c>
      <c r="J20" s="414">
        <v>10</v>
      </c>
      <c r="K20" s="414">
        <v>11</v>
      </c>
      <c r="L20" s="414">
        <v>12</v>
      </c>
      <c r="M20" s="414">
        <v>13</v>
      </c>
      <c r="N20" s="414">
        <v>14</v>
      </c>
      <c r="O20" s="414">
        <v>15</v>
      </c>
      <c r="P20" s="414">
        <v>16</v>
      </c>
      <c r="Q20" s="414">
        <v>17</v>
      </c>
      <c r="R20" s="414">
        <v>18</v>
      </c>
      <c r="S20" s="414">
        <v>19</v>
      </c>
      <c r="T20" s="414">
        <v>20</v>
      </c>
      <c r="U20" s="414">
        <v>21</v>
      </c>
      <c r="V20" s="414">
        <v>22</v>
      </c>
      <c r="W20" s="414">
        <v>23</v>
      </c>
      <c r="X20" s="414">
        <v>24</v>
      </c>
      <c r="Y20" s="414">
        <v>25</v>
      </c>
      <c r="Z20" s="414">
        <v>26</v>
      </c>
      <c r="AA20" s="414">
        <v>27</v>
      </c>
      <c r="AB20" s="414">
        <v>28</v>
      </c>
      <c r="AC20" s="414">
        <v>29</v>
      </c>
      <c r="AD20" s="30"/>
    </row>
    <row r="21" spans="1:30" s="8" customFormat="1" ht="33.75" customHeight="1" thickBot="1" thickTop="1">
      <c r="A21" s="120"/>
      <c r="B21" s="125"/>
      <c r="C21" s="114" t="s">
        <v>23</v>
      </c>
      <c r="D21" s="114" t="s">
        <v>129</v>
      </c>
      <c r="E21" s="114" t="s">
        <v>128</v>
      </c>
      <c r="F21" s="173" t="s">
        <v>46</v>
      </c>
      <c r="G21" s="172" t="s">
        <v>47</v>
      </c>
      <c r="H21" s="174" t="s">
        <v>48</v>
      </c>
      <c r="I21" s="175" t="s">
        <v>24</v>
      </c>
      <c r="J21" s="195" t="s">
        <v>26</v>
      </c>
      <c r="K21" s="172" t="s">
        <v>27</v>
      </c>
      <c r="L21" s="172" t="s">
        <v>28</v>
      </c>
      <c r="M21" s="173" t="s">
        <v>49</v>
      </c>
      <c r="N21" s="173" t="s">
        <v>50</v>
      </c>
      <c r="O21" s="116" t="s">
        <v>31</v>
      </c>
      <c r="P21" s="172" t="s">
        <v>51</v>
      </c>
      <c r="Q21" s="173" t="s">
        <v>32</v>
      </c>
      <c r="R21" s="172" t="s">
        <v>52</v>
      </c>
      <c r="S21" s="263" t="s">
        <v>53</v>
      </c>
      <c r="T21" s="267" t="s">
        <v>33</v>
      </c>
      <c r="U21" s="273" t="s">
        <v>34</v>
      </c>
      <c r="V21" s="220" t="s">
        <v>54</v>
      </c>
      <c r="W21" s="222"/>
      <c r="X21" s="287" t="s">
        <v>55</v>
      </c>
      <c r="Y21" s="288"/>
      <c r="Z21" s="298" t="s">
        <v>37</v>
      </c>
      <c r="AA21" s="304" t="s">
        <v>38</v>
      </c>
      <c r="AB21" s="175" t="s">
        <v>39</v>
      </c>
      <c r="AC21" s="175" t="s">
        <v>40</v>
      </c>
      <c r="AD21" s="30"/>
    </row>
    <row r="22" spans="1:30" s="8" customFormat="1" ht="15.75" thickTop="1">
      <c r="A22" s="120"/>
      <c r="B22" s="125"/>
      <c r="C22" s="352"/>
      <c r="D22" s="352"/>
      <c r="E22" s="352"/>
      <c r="F22" s="353"/>
      <c r="G22" s="354"/>
      <c r="H22" s="354"/>
      <c r="I22" s="354"/>
      <c r="J22" s="199"/>
      <c r="K22" s="360"/>
      <c r="L22" s="354"/>
      <c r="M22" s="20"/>
      <c r="N22" s="20"/>
      <c r="O22" s="354"/>
      <c r="P22" s="354"/>
      <c r="Q22" s="354"/>
      <c r="R22" s="354"/>
      <c r="S22" s="264"/>
      <c r="T22" s="268"/>
      <c r="U22" s="274"/>
      <c r="V22" s="285"/>
      <c r="W22" s="279"/>
      <c r="X22" s="289"/>
      <c r="Y22" s="290"/>
      <c r="Z22" s="299"/>
      <c r="AA22" s="305"/>
      <c r="AB22" s="19"/>
      <c r="AC22" s="32"/>
      <c r="AD22" s="30"/>
    </row>
    <row r="23" spans="1:30" s="8" customFormat="1" ht="15">
      <c r="A23" s="120"/>
      <c r="B23" s="125"/>
      <c r="C23" s="352"/>
      <c r="D23" s="352"/>
      <c r="E23" s="352"/>
      <c r="F23" s="355"/>
      <c r="G23" s="356"/>
      <c r="H23" s="356"/>
      <c r="I23" s="356"/>
      <c r="J23" s="200"/>
      <c r="K23" s="355"/>
      <c r="L23" s="356"/>
      <c r="M23" s="16"/>
      <c r="N23" s="16"/>
      <c r="O23" s="356"/>
      <c r="P23" s="356"/>
      <c r="Q23" s="356"/>
      <c r="R23" s="356"/>
      <c r="S23" s="265"/>
      <c r="T23" s="269"/>
      <c r="U23" s="275"/>
      <c r="V23" s="286"/>
      <c r="W23" s="283"/>
      <c r="X23" s="291"/>
      <c r="Y23" s="292"/>
      <c r="Z23" s="300"/>
      <c r="AA23" s="306"/>
      <c r="AB23" s="15"/>
      <c r="AC23" s="27"/>
      <c r="AD23" s="30"/>
    </row>
    <row r="24" spans="1:30" s="8" customFormat="1" ht="15">
      <c r="A24" s="120"/>
      <c r="B24" s="125"/>
      <c r="C24" s="352"/>
      <c r="D24" s="352"/>
      <c r="E24" s="352"/>
      <c r="F24" s="337"/>
      <c r="G24" s="331"/>
      <c r="H24" s="357"/>
      <c r="I24" s="338"/>
      <c r="J24" s="197"/>
      <c r="K24" s="361"/>
      <c r="L24" s="361"/>
      <c r="M24" s="22"/>
      <c r="N24" s="23"/>
      <c r="O24" s="362"/>
      <c r="P24" s="362"/>
      <c r="Q24" s="363"/>
      <c r="R24" s="362"/>
      <c r="S24" s="266"/>
      <c r="T24" s="270"/>
      <c r="U24" s="276"/>
      <c r="V24" s="223"/>
      <c r="W24" s="284"/>
      <c r="X24" s="293"/>
      <c r="Y24" s="294"/>
      <c r="Z24" s="301"/>
      <c r="AA24" s="307"/>
      <c r="AB24" s="21"/>
      <c r="AC24" s="27"/>
      <c r="AD24" s="317"/>
    </row>
    <row r="25" spans="1:30" s="8" customFormat="1" ht="15">
      <c r="A25" s="120"/>
      <c r="B25" s="125"/>
      <c r="C25" s="352">
        <v>24</v>
      </c>
      <c r="D25" s="352">
        <v>247820</v>
      </c>
      <c r="E25" s="352">
        <v>4227</v>
      </c>
      <c r="F25" s="337" t="s">
        <v>157</v>
      </c>
      <c r="G25" s="331" t="s">
        <v>158</v>
      </c>
      <c r="H25" s="357">
        <v>15</v>
      </c>
      <c r="I25" s="338" t="s">
        <v>159</v>
      </c>
      <c r="J25" s="197">
        <f aca="true" t="shared" si="0" ref="J25:J31">H25*$I$18</f>
        <v>9.93</v>
      </c>
      <c r="K25" s="361">
        <v>41061</v>
      </c>
      <c r="L25" s="361">
        <v>41090.99930555555</v>
      </c>
      <c r="M25" s="22">
        <f aca="true" t="shared" si="1" ref="M25:M31">IF(F25="","",(L25-K25)*24)</f>
        <v>719.983333333279</v>
      </c>
      <c r="N25" s="23">
        <f aca="true" t="shared" si="2" ref="N25:N31">IF(F25="","",ROUND((L25-K25)*24*60,0))</f>
        <v>43199</v>
      </c>
      <c r="O25" s="362" t="s">
        <v>199</v>
      </c>
      <c r="P25" s="362" t="str">
        <f aca="true" t="shared" si="3" ref="P25:P31">IF(F25="","",IF(OR(O25="P",O25="RP"),"--","NO"))</f>
        <v>NO</v>
      </c>
      <c r="Q25" s="362" t="s">
        <v>160</v>
      </c>
      <c r="R25" s="362" t="s">
        <v>206</v>
      </c>
      <c r="S25" s="266">
        <f aca="true" t="shared" si="4" ref="S25:S31">$I$19*IF(R25="SI",1,0.1)*IF(OR(O25="P",O25="RP"),0.1,1)</f>
        <v>3</v>
      </c>
      <c r="T25" s="270" t="str">
        <f aca="true" t="shared" si="5" ref="T25:T31">IF(O25="P",J25*S25*ROUND(N25/60,2),"--")</f>
        <v>--</v>
      </c>
      <c r="U25" s="276" t="str">
        <f aca="true" t="shared" si="6" ref="U25:U31">IF(O25="RP",J25*S25*Q25/100*ROUND(N25/60,2),"--")</f>
        <v>--</v>
      </c>
      <c r="V25" s="223" t="str">
        <f aca="true" t="shared" si="7" ref="V25:V31">IF(AND(O25="F",P25="NO"),J25*S25,"--")</f>
        <v>--</v>
      </c>
      <c r="W25" s="284" t="str">
        <f aca="true" t="shared" si="8" ref="W25:W31">IF(O25="F",J25*S25*ROUND(N25/60,2),"--")</f>
        <v>--</v>
      </c>
      <c r="X25" s="293" t="str">
        <f aca="true" t="shared" si="9" ref="X25:X31">IF(AND(O25="R",P25="NO"),J25*S25*Q25/100,"--")</f>
        <v>--</v>
      </c>
      <c r="Y25" s="294" t="str">
        <f aca="true" t="shared" si="10" ref="Y25:Y31">IF(O25="R",J25*S25*ROUND(N25/60,2)*Q25/100,"--")</f>
        <v>--</v>
      </c>
      <c r="Z25" s="301">
        <f aca="true" t="shared" si="11" ref="Z25:Z31">IF(O25="RF",J25*S25*ROUND(N25/60,2),"--")</f>
        <v>21448.2042</v>
      </c>
      <c r="AA25" s="307" t="str">
        <f aca="true" t="shared" si="12" ref="AA25:AA31">IF(O25="RR",J25*S25*ROUND(N25/60,2)*Q25/100,"--")</f>
        <v>--</v>
      </c>
      <c r="AB25" s="21" t="s">
        <v>145</v>
      </c>
      <c r="AC25" s="27">
        <f aca="true" t="shared" si="13" ref="AC25:AC31">IF(F25="","",SUM(T25:AA25)*IF(AB25="SI",1,2))</f>
        <v>21448.2042</v>
      </c>
      <c r="AD25" s="317"/>
    </row>
    <row r="26" spans="1:30" s="8" customFormat="1" ht="15">
      <c r="A26" s="120"/>
      <c r="B26" s="125"/>
      <c r="C26" s="352">
        <v>25</v>
      </c>
      <c r="D26" s="352">
        <v>248412</v>
      </c>
      <c r="E26" s="352">
        <v>554</v>
      </c>
      <c r="F26" s="337" t="s">
        <v>164</v>
      </c>
      <c r="G26" s="331" t="s">
        <v>161</v>
      </c>
      <c r="H26" s="357">
        <v>15</v>
      </c>
      <c r="I26" s="338" t="s">
        <v>159</v>
      </c>
      <c r="J26" s="197">
        <f t="shared" si="0"/>
        <v>9.93</v>
      </c>
      <c r="K26" s="361">
        <v>41063.381944444445</v>
      </c>
      <c r="L26" s="361">
        <v>41063.70208333333</v>
      </c>
      <c r="M26" s="22">
        <f t="shared" si="1"/>
        <v>7.68333333323244</v>
      </c>
      <c r="N26" s="23">
        <f t="shared" si="2"/>
        <v>461</v>
      </c>
      <c r="O26" s="362" t="s">
        <v>144</v>
      </c>
      <c r="P26" s="362" t="str">
        <f t="shared" si="3"/>
        <v>--</v>
      </c>
      <c r="Q26" s="362" t="s">
        <v>160</v>
      </c>
      <c r="R26" s="362" t="s">
        <v>206</v>
      </c>
      <c r="S26" s="266">
        <f t="shared" si="4"/>
        <v>0.30000000000000004</v>
      </c>
      <c r="T26" s="270">
        <f t="shared" si="5"/>
        <v>22.878720000000005</v>
      </c>
      <c r="U26" s="276" t="str">
        <f t="shared" si="6"/>
        <v>--</v>
      </c>
      <c r="V26" s="223" t="str">
        <f t="shared" si="7"/>
        <v>--</v>
      </c>
      <c r="W26" s="284" t="str">
        <f t="shared" si="8"/>
        <v>--</v>
      </c>
      <c r="X26" s="293" t="str">
        <f t="shared" si="9"/>
        <v>--</v>
      </c>
      <c r="Y26" s="294" t="str">
        <f t="shared" si="10"/>
        <v>--</v>
      </c>
      <c r="Z26" s="301" t="str">
        <f t="shared" si="11"/>
        <v>--</v>
      </c>
      <c r="AA26" s="307" t="str">
        <f t="shared" si="12"/>
        <v>--</v>
      </c>
      <c r="AB26" s="21" t="s">
        <v>145</v>
      </c>
      <c r="AC26" s="27">
        <f t="shared" si="13"/>
        <v>22.878720000000005</v>
      </c>
      <c r="AD26" s="30"/>
    </row>
    <row r="27" spans="1:30" s="8" customFormat="1" ht="15">
      <c r="A27" s="120"/>
      <c r="B27" s="125"/>
      <c r="C27" s="352">
        <v>26</v>
      </c>
      <c r="D27" s="352">
        <v>248414</v>
      </c>
      <c r="E27" s="352">
        <v>565</v>
      </c>
      <c r="F27" s="337" t="s">
        <v>165</v>
      </c>
      <c r="G27" s="331" t="s">
        <v>161</v>
      </c>
      <c r="H27" s="357">
        <v>30</v>
      </c>
      <c r="I27" s="338" t="s">
        <v>159</v>
      </c>
      <c r="J27" s="197">
        <f t="shared" si="0"/>
        <v>19.86</v>
      </c>
      <c r="K27" s="361">
        <v>41065.0375</v>
      </c>
      <c r="L27" s="361">
        <v>41065.10208333333</v>
      </c>
      <c r="M27" s="22">
        <f t="shared" si="1"/>
        <v>1.5499999999883585</v>
      </c>
      <c r="N27" s="23">
        <f t="shared" si="2"/>
        <v>93</v>
      </c>
      <c r="O27" s="362" t="s">
        <v>163</v>
      </c>
      <c r="P27" s="362" t="str">
        <f t="shared" si="3"/>
        <v>NO</v>
      </c>
      <c r="Q27" s="363">
        <v>40</v>
      </c>
      <c r="R27" s="362" t="s">
        <v>145</v>
      </c>
      <c r="S27" s="266">
        <f t="shared" si="4"/>
        <v>30</v>
      </c>
      <c r="T27" s="270" t="str">
        <f t="shared" si="5"/>
        <v>--</v>
      </c>
      <c r="U27" s="276" t="str">
        <f t="shared" si="6"/>
        <v>--</v>
      </c>
      <c r="V27" s="223" t="str">
        <f t="shared" si="7"/>
        <v>--</v>
      </c>
      <c r="W27" s="284" t="str">
        <f t="shared" si="8"/>
        <v>--</v>
      </c>
      <c r="X27" s="293">
        <f t="shared" si="9"/>
        <v>238.32</v>
      </c>
      <c r="Y27" s="294">
        <f t="shared" si="10"/>
        <v>369.39599999999996</v>
      </c>
      <c r="Z27" s="301" t="str">
        <f t="shared" si="11"/>
        <v>--</v>
      </c>
      <c r="AA27" s="307" t="str">
        <f t="shared" si="12"/>
        <v>--</v>
      </c>
      <c r="AB27" s="21" t="s">
        <v>145</v>
      </c>
      <c r="AC27" s="27">
        <f t="shared" si="13"/>
        <v>607.7159999999999</v>
      </c>
      <c r="AD27" s="30"/>
    </row>
    <row r="28" spans="1:30" s="8" customFormat="1" ht="15">
      <c r="A28" s="120"/>
      <c r="B28" s="125"/>
      <c r="C28" s="352">
        <v>27</v>
      </c>
      <c r="D28" s="352">
        <v>248416</v>
      </c>
      <c r="E28" s="352">
        <v>538</v>
      </c>
      <c r="F28" s="337" t="s">
        <v>166</v>
      </c>
      <c r="G28" s="331" t="s">
        <v>167</v>
      </c>
      <c r="H28" s="357">
        <v>10</v>
      </c>
      <c r="I28" s="338" t="s">
        <v>159</v>
      </c>
      <c r="J28" s="197">
        <f t="shared" si="0"/>
        <v>6.62</v>
      </c>
      <c r="K28" s="361">
        <v>41065.39097222222</v>
      </c>
      <c r="L28" s="361">
        <v>41065.57916666667</v>
      </c>
      <c r="M28" s="22">
        <f t="shared" si="1"/>
        <v>4.516666666720994</v>
      </c>
      <c r="N28" s="23">
        <f t="shared" si="2"/>
        <v>271</v>
      </c>
      <c r="O28" s="362" t="s">
        <v>144</v>
      </c>
      <c r="P28" s="362" t="str">
        <f t="shared" si="3"/>
        <v>--</v>
      </c>
      <c r="Q28" s="362" t="s">
        <v>160</v>
      </c>
      <c r="R28" s="362" t="s">
        <v>206</v>
      </c>
      <c r="S28" s="266">
        <f t="shared" si="4"/>
        <v>0.30000000000000004</v>
      </c>
      <c r="T28" s="270">
        <f t="shared" si="5"/>
        <v>8.97672</v>
      </c>
      <c r="U28" s="276" t="str">
        <f t="shared" si="6"/>
        <v>--</v>
      </c>
      <c r="V28" s="223" t="str">
        <f t="shared" si="7"/>
        <v>--</v>
      </c>
      <c r="W28" s="284" t="str">
        <f t="shared" si="8"/>
        <v>--</v>
      </c>
      <c r="X28" s="293" t="str">
        <f t="shared" si="9"/>
        <v>--</v>
      </c>
      <c r="Y28" s="294" t="str">
        <f t="shared" si="10"/>
        <v>--</v>
      </c>
      <c r="Z28" s="301" t="str">
        <f t="shared" si="11"/>
        <v>--</v>
      </c>
      <c r="AA28" s="307" t="str">
        <f t="shared" si="12"/>
        <v>--</v>
      </c>
      <c r="AB28" s="21" t="s">
        <v>145</v>
      </c>
      <c r="AC28" s="27">
        <f t="shared" si="13"/>
        <v>8.97672</v>
      </c>
      <c r="AD28" s="30"/>
    </row>
    <row r="29" spans="1:30" s="8" customFormat="1" ht="15">
      <c r="A29" s="120"/>
      <c r="B29" s="125"/>
      <c r="C29" s="352">
        <v>28</v>
      </c>
      <c r="D29" s="352">
        <v>248419</v>
      </c>
      <c r="E29" s="352">
        <v>565</v>
      </c>
      <c r="F29" s="337" t="s">
        <v>165</v>
      </c>
      <c r="G29" s="331" t="s">
        <v>161</v>
      </c>
      <c r="H29" s="357">
        <v>30</v>
      </c>
      <c r="I29" s="338" t="s">
        <v>159</v>
      </c>
      <c r="J29" s="197">
        <f t="shared" si="0"/>
        <v>19.86</v>
      </c>
      <c r="K29" s="361">
        <v>41066.44027777778</v>
      </c>
      <c r="L29" s="361">
        <v>41066.677777777775</v>
      </c>
      <c r="M29" s="22">
        <f t="shared" si="1"/>
        <v>5.699999999895226</v>
      </c>
      <c r="N29" s="23">
        <f t="shared" si="2"/>
        <v>342</v>
      </c>
      <c r="O29" s="362" t="s">
        <v>168</v>
      </c>
      <c r="P29" s="362" t="str">
        <f t="shared" si="3"/>
        <v>--</v>
      </c>
      <c r="Q29" s="363">
        <v>40</v>
      </c>
      <c r="R29" s="362" t="s">
        <v>206</v>
      </c>
      <c r="S29" s="266">
        <f t="shared" si="4"/>
        <v>0.30000000000000004</v>
      </c>
      <c r="T29" s="270" t="str">
        <f t="shared" si="5"/>
        <v>--</v>
      </c>
      <c r="U29" s="276">
        <f t="shared" si="6"/>
        <v>13.584240000000003</v>
      </c>
      <c r="V29" s="223" t="str">
        <f t="shared" si="7"/>
        <v>--</v>
      </c>
      <c r="W29" s="284" t="str">
        <f t="shared" si="8"/>
        <v>--</v>
      </c>
      <c r="X29" s="293" t="str">
        <f t="shared" si="9"/>
        <v>--</v>
      </c>
      <c r="Y29" s="294" t="str">
        <f t="shared" si="10"/>
        <v>--</v>
      </c>
      <c r="Z29" s="301" t="str">
        <f t="shared" si="11"/>
        <v>--</v>
      </c>
      <c r="AA29" s="307" t="str">
        <f t="shared" si="12"/>
        <v>--</v>
      </c>
      <c r="AB29" s="21" t="s">
        <v>145</v>
      </c>
      <c r="AC29" s="27">
        <f t="shared" si="13"/>
        <v>13.584240000000003</v>
      </c>
      <c r="AD29" s="30"/>
    </row>
    <row r="30" spans="1:30" s="8" customFormat="1" ht="15">
      <c r="A30" s="120"/>
      <c r="B30" s="125"/>
      <c r="C30" s="352">
        <v>29</v>
      </c>
      <c r="D30" s="352">
        <v>248421</v>
      </c>
      <c r="E30" s="352">
        <v>2804</v>
      </c>
      <c r="F30" s="337" t="s">
        <v>169</v>
      </c>
      <c r="G30" s="331" t="s">
        <v>161</v>
      </c>
      <c r="H30" s="357">
        <v>30</v>
      </c>
      <c r="I30" s="338" t="s">
        <v>159</v>
      </c>
      <c r="J30" s="197">
        <f t="shared" si="0"/>
        <v>19.86</v>
      </c>
      <c r="K30" s="361">
        <v>41067.58125</v>
      </c>
      <c r="L30" s="361">
        <v>41067.62986111111</v>
      </c>
      <c r="M30" s="22">
        <f t="shared" si="1"/>
        <v>1.1666666666278616</v>
      </c>
      <c r="N30" s="23">
        <f t="shared" si="2"/>
        <v>70</v>
      </c>
      <c r="O30" s="362" t="s">
        <v>144</v>
      </c>
      <c r="P30" s="362" t="str">
        <f t="shared" si="3"/>
        <v>--</v>
      </c>
      <c r="Q30" s="362" t="s">
        <v>160</v>
      </c>
      <c r="R30" s="362" t="s">
        <v>206</v>
      </c>
      <c r="S30" s="266">
        <f t="shared" si="4"/>
        <v>0.30000000000000004</v>
      </c>
      <c r="T30" s="270">
        <f t="shared" si="5"/>
        <v>6.970860000000001</v>
      </c>
      <c r="U30" s="276" t="str">
        <f t="shared" si="6"/>
        <v>--</v>
      </c>
      <c r="V30" s="223" t="str">
        <f t="shared" si="7"/>
        <v>--</v>
      </c>
      <c r="W30" s="284" t="str">
        <f t="shared" si="8"/>
        <v>--</v>
      </c>
      <c r="X30" s="293" t="str">
        <f t="shared" si="9"/>
        <v>--</v>
      </c>
      <c r="Y30" s="294" t="str">
        <f t="shared" si="10"/>
        <v>--</v>
      </c>
      <c r="Z30" s="301" t="str">
        <f t="shared" si="11"/>
        <v>--</v>
      </c>
      <c r="AA30" s="307" t="str">
        <f t="shared" si="12"/>
        <v>--</v>
      </c>
      <c r="AB30" s="21" t="s">
        <v>145</v>
      </c>
      <c r="AC30" s="27">
        <f t="shared" si="13"/>
        <v>6.970860000000001</v>
      </c>
      <c r="AD30" s="30"/>
    </row>
    <row r="31" spans="1:30" s="8" customFormat="1" ht="15">
      <c r="A31" s="120"/>
      <c r="B31" s="125"/>
      <c r="C31" s="352">
        <v>30</v>
      </c>
      <c r="D31" s="352">
        <v>248423</v>
      </c>
      <c r="E31" s="352">
        <v>2668</v>
      </c>
      <c r="F31" s="337" t="s">
        <v>170</v>
      </c>
      <c r="G31" s="331" t="s">
        <v>161</v>
      </c>
      <c r="H31" s="357">
        <v>15</v>
      </c>
      <c r="I31" s="338" t="s">
        <v>159</v>
      </c>
      <c r="J31" s="197">
        <f t="shared" si="0"/>
        <v>9.93</v>
      </c>
      <c r="K31" s="361">
        <v>41069.36666666667</v>
      </c>
      <c r="L31" s="361">
        <v>41069.677083333336</v>
      </c>
      <c r="M31" s="22">
        <f t="shared" si="1"/>
        <v>7.4500000000116415</v>
      </c>
      <c r="N31" s="23">
        <f t="shared" si="2"/>
        <v>447</v>
      </c>
      <c r="O31" s="362" t="s">
        <v>144</v>
      </c>
      <c r="P31" s="362" t="str">
        <f t="shared" si="3"/>
        <v>--</v>
      </c>
      <c r="Q31" s="362" t="s">
        <v>160</v>
      </c>
      <c r="R31" s="362" t="s">
        <v>206</v>
      </c>
      <c r="S31" s="266">
        <f t="shared" si="4"/>
        <v>0.30000000000000004</v>
      </c>
      <c r="T31" s="270">
        <f t="shared" si="5"/>
        <v>22.193550000000005</v>
      </c>
      <c r="U31" s="276" t="str">
        <f t="shared" si="6"/>
        <v>--</v>
      </c>
      <c r="V31" s="223" t="str">
        <f t="shared" si="7"/>
        <v>--</v>
      </c>
      <c r="W31" s="284" t="str">
        <f t="shared" si="8"/>
        <v>--</v>
      </c>
      <c r="X31" s="293" t="str">
        <f t="shared" si="9"/>
        <v>--</v>
      </c>
      <c r="Y31" s="294" t="str">
        <f t="shared" si="10"/>
        <v>--</v>
      </c>
      <c r="Z31" s="301" t="str">
        <f t="shared" si="11"/>
        <v>--</v>
      </c>
      <c r="AA31" s="307" t="str">
        <f t="shared" si="12"/>
        <v>--</v>
      </c>
      <c r="AB31" s="21" t="s">
        <v>145</v>
      </c>
      <c r="AC31" s="27">
        <f t="shared" si="13"/>
        <v>22.193550000000005</v>
      </c>
      <c r="AD31" s="30"/>
    </row>
    <row r="32" spans="1:30" s="8" customFormat="1" ht="15">
      <c r="A32" s="120"/>
      <c r="B32" s="125"/>
      <c r="C32" s="352">
        <v>31</v>
      </c>
      <c r="D32" s="352">
        <v>248425</v>
      </c>
      <c r="E32" s="352">
        <v>3585</v>
      </c>
      <c r="F32" s="337" t="s">
        <v>171</v>
      </c>
      <c r="G32" s="331" t="s">
        <v>161</v>
      </c>
      <c r="H32" s="357">
        <v>7.5</v>
      </c>
      <c r="I32" s="338" t="s">
        <v>159</v>
      </c>
      <c r="J32" s="197">
        <f>H32*'T-06 (2)'!$I$18</f>
        <v>4.965</v>
      </c>
      <c r="K32" s="361">
        <v>41070.39444444444</v>
      </c>
      <c r="L32" s="361">
        <v>41070.59097222222</v>
      </c>
      <c r="M32" s="22">
        <f aca="true" t="shared" si="14" ref="M32:M41">IF(F32="","",(L32-K32)*24)</f>
        <v>4.716666666674428</v>
      </c>
      <c r="N32" s="23">
        <f aca="true" t="shared" si="15" ref="N32:N41">IF(F32="","",ROUND((L32-K32)*24*60,0))</f>
        <v>283</v>
      </c>
      <c r="O32" s="362" t="s">
        <v>144</v>
      </c>
      <c r="P32" s="362" t="str">
        <f aca="true" t="shared" si="16" ref="P32:P41">IF(F32="","",IF(OR(O32="P",O32="RP"),"--","NO"))</f>
        <v>--</v>
      </c>
      <c r="Q32" s="362" t="s">
        <v>160</v>
      </c>
      <c r="R32" s="362" t="s">
        <v>145</v>
      </c>
      <c r="S32" s="266">
        <f>'T-06 (2)'!$I$19*IF(R32="SI",1,0.1)*IF(OR(O32="P",O32="RP"),0.1,1)</f>
        <v>3</v>
      </c>
      <c r="T32" s="270">
        <f aca="true" t="shared" si="17" ref="T32:T41">IF(O32="P",J32*S32*ROUND(N32/60,2),"--")</f>
        <v>70.3044</v>
      </c>
      <c r="U32" s="276" t="str">
        <f aca="true" t="shared" si="18" ref="U32:U41">IF(O32="RP",J32*S32*Q32/100*ROUND(N32/60,2),"--")</f>
        <v>--</v>
      </c>
      <c r="V32" s="223" t="str">
        <f aca="true" t="shared" si="19" ref="V32:V41">IF(AND(O32="F",P32="NO"),J32*S32,"--")</f>
        <v>--</v>
      </c>
      <c r="W32" s="284" t="str">
        <f aca="true" t="shared" si="20" ref="W32:W41">IF(O32="F",J32*S32*ROUND(N32/60,2),"--")</f>
        <v>--</v>
      </c>
      <c r="X32" s="293" t="str">
        <f aca="true" t="shared" si="21" ref="X32:X41">IF(AND(O32="R",P32="NO"),J32*S32*Q32/100,"--")</f>
        <v>--</v>
      </c>
      <c r="Y32" s="294" t="str">
        <f aca="true" t="shared" si="22" ref="Y32:Y41">IF(O32="R",J32*S32*ROUND(N32/60,2)*Q32/100,"--")</f>
        <v>--</v>
      </c>
      <c r="Z32" s="301" t="str">
        <f aca="true" t="shared" si="23" ref="Z32:Z41">IF(O32="RF",J32*S32*ROUND(N32/60,2),"--")</f>
        <v>--</v>
      </c>
      <c r="AA32" s="307" t="str">
        <f aca="true" t="shared" si="24" ref="AA32:AA41">IF(O32="RR",J32*S32*ROUND(N32/60,2)*Q32/100,"--")</f>
        <v>--</v>
      </c>
      <c r="AB32" s="21" t="s">
        <v>145</v>
      </c>
      <c r="AC32" s="27">
        <f aca="true" t="shared" si="25" ref="AC32:AC41">IF(F32="","",SUM(T32:AA32)*IF(AB32="SI",1,2))</f>
        <v>70.3044</v>
      </c>
      <c r="AD32" s="30"/>
    </row>
    <row r="33" spans="1:30" s="8" customFormat="1" ht="15">
      <c r="A33" s="120"/>
      <c r="B33" s="125"/>
      <c r="C33" s="352">
        <v>32</v>
      </c>
      <c r="D33" s="352">
        <v>248426</v>
      </c>
      <c r="E33" s="352">
        <v>3819</v>
      </c>
      <c r="F33" s="337" t="s">
        <v>171</v>
      </c>
      <c r="G33" s="331" t="s">
        <v>172</v>
      </c>
      <c r="H33" s="357">
        <v>7.5</v>
      </c>
      <c r="I33" s="338" t="s">
        <v>159</v>
      </c>
      <c r="J33" s="197">
        <f>H33*'T-06 (2)'!$I$18</f>
        <v>4.965</v>
      </c>
      <c r="K33" s="361">
        <v>41070.39444444444</v>
      </c>
      <c r="L33" s="361">
        <v>41070.59097222222</v>
      </c>
      <c r="M33" s="22">
        <f t="shared" si="14"/>
        <v>4.716666666674428</v>
      </c>
      <c r="N33" s="23">
        <f t="shared" si="15"/>
        <v>283</v>
      </c>
      <c r="O33" s="362" t="s">
        <v>144</v>
      </c>
      <c r="P33" s="362" t="str">
        <f t="shared" si="16"/>
        <v>--</v>
      </c>
      <c r="Q33" s="362" t="s">
        <v>160</v>
      </c>
      <c r="R33" s="362" t="s">
        <v>145</v>
      </c>
      <c r="S33" s="266">
        <f>'T-06 (2)'!$I$19*IF(R33="SI",1,0.1)*IF(OR(O33="P",O33="RP"),0.1,1)</f>
        <v>3</v>
      </c>
      <c r="T33" s="270">
        <f t="shared" si="17"/>
        <v>70.3044</v>
      </c>
      <c r="U33" s="276" t="str">
        <f t="shared" si="18"/>
        <v>--</v>
      </c>
      <c r="V33" s="223" t="str">
        <f t="shared" si="19"/>
        <v>--</v>
      </c>
      <c r="W33" s="284" t="str">
        <f t="shared" si="20"/>
        <v>--</v>
      </c>
      <c r="X33" s="293" t="str">
        <f t="shared" si="21"/>
        <v>--</v>
      </c>
      <c r="Y33" s="294" t="str">
        <f t="shared" si="22"/>
        <v>--</v>
      </c>
      <c r="Z33" s="301" t="str">
        <f t="shared" si="23"/>
        <v>--</v>
      </c>
      <c r="AA33" s="307" t="str">
        <f t="shared" si="24"/>
        <v>--</v>
      </c>
      <c r="AB33" s="21" t="s">
        <v>145</v>
      </c>
      <c r="AC33" s="27">
        <f t="shared" si="25"/>
        <v>70.3044</v>
      </c>
      <c r="AD33" s="30"/>
    </row>
    <row r="34" spans="1:30" s="8" customFormat="1" ht="15">
      <c r="A34" s="120"/>
      <c r="B34" s="125"/>
      <c r="C34" s="352">
        <v>33</v>
      </c>
      <c r="D34" s="352">
        <v>248436</v>
      </c>
      <c r="E34" s="352">
        <v>3618</v>
      </c>
      <c r="F34" s="337" t="s">
        <v>173</v>
      </c>
      <c r="G34" s="331" t="s">
        <v>161</v>
      </c>
      <c r="H34" s="357">
        <v>7.5</v>
      </c>
      <c r="I34" s="338" t="s">
        <v>159</v>
      </c>
      <c r="J34" s="197">
        <f>H34*'T-06 (2)'!$I$18</f>
        <v>4.965</v>
      </c>
      <c r="K34" s="361">
        <v>41070.39444444444</v>
      </c>
      <c r="L34" s="361">
        <v>41070.59097222222</v>
      </c>
      <c r="M34" s="22">
        <f t="shared" si="14"/>
        <v>4.716666666674428</v>
      </c>
      <c r="N34" s="23">
        <f t="shared" si="15"/>
        <v>283</v>
      </c>
      <c r="O34" s="362" t="s">
        <v>144</v>
      </c>
      <c r="P34" s="362" t="str">
        <f t="shared" si="16"/>
        <v>--</v>
      </c>
      <c r="Q34" s="362" t="s">
        <v>160</v>
      </c>
      <c r="R34" s="362" t="s">
        <v>145</v>
      </c>
      <c r="S34" s="266">
        <f>'T-06 (2)'!$I$19*IF(R34="SI",1,0.1)*IF(OR(O34="P",O34="RP"),0.1,1)</f>
        <v>3</v>
      </c>
      <c r="T34" s="270">
        <f t="shared" si="17"/>
        <v>70.3044</v>
      </c>
      <c r="U34" s="276" t="str">
        <f t="shared" si="18"/>
        <v>--</v>
      </c>
      <c r="V34" s="223" t="str">
        <f t="shared" si="19"/>
        <v>--</v>
      </c>
      <c r="W34" s="284" t="str">
        <f t="shared" si="20"/>
        <v>--</v>
      </c>
      <c r="X34" s="293" t="str">
        <f t="shared" si="21"/>
        <v>--</v>
      </c>
      <c r="Y34" s="294" t="str">
        <f t="shared" si="22"/>
        <v>--</v>
      </c>
      <c r="Z34" s="301" t="str">
        <f t="shared" si="23"/>
        <v>--</v>
      </c>
      <c r="AA34" s="307" t="str">
        <f t="shared" si="24"/>
        <v>--</v>
      </c>
      <c r="AB34" s="21" t="s">
        <v>145</v>
      </c>
      <c r="AC34" s="27">
        <f t="shared" si="25"/>
        <v>70.3044</v>
      </c>
      <c r="AD34" s="30"/>
    </row>
    <row r="35" spans="1:30" s="8" customFormat="1" ht="15">
      <c r="A35" s="120"/>
      <c r="B35" s="125"/>
      <c r="C35" s="352">
        <v>34</v>
      </c>
      <c r="D35" s="352">
        <v>248437</v>
      </c>
      <c r="E35" s="352">
        <v>3619</v>
      </c>
      <c r="F35" s="337" t="s">
        <v>173</v>
      </c>
      <c r="G35" s="331" t="s">
        <v>172</v>
      </c>
      <c r="H35" s="357">
        <v>7.5</v>
      </c>
      <c r="I35" s="338" t="s">
        <v>159</v>
      </c>
      <c r="J35" s="197">
        <f>H35*'T-06 (2)'!$I$18</f>
        <v>4.965</v>
      </c>
      <c r="K35" s="361">
        <v>41070.39444444444</v>
      </c>
      <c r="L35" s="361">
        <v>41070.59097222222</v>
      </c>
      <c r="M35" s="22">
        <f t="shared" si="14"/>
        <v>4.716666666674428</v>
      </c>
      <c r="N35" s="23">
        <f t="shared" si="15"/>
        <v>283</v>
      </c>
      <c r="O35" s="362" t="s">
        <v>144</v>
      </c>
      <c r="P35" s="362" t="str">
        <f t="shared" si="16"/>
        <v>--</v>
      </c>
      <c r="Q35" s="362" t="s">
        <v>160</v>
      </c>
      <c r="R35" s="362" t="s">
        <v>145</v>
      </c>
      <c r="S35" s="266">
        <f>'T-06 (2)'!$I$19*IF(R35="SI",1,0.1)*IF(OR(O35="P",O35="RP"),0.1,1)</f>
        <v>3</v>
      </c>
      <c r="T35" s="270">
        <f t="shared" si="17"/>
        <v>70.3044</v>
      </c>
      <c r="U35" s="276" t="str">
        <f t="shared" si="18"/>
        <v>--</v>
      </c>
      <c r="V35" s="223" t="str">
        <f t="shared" si="19"/>
        <v>--</v>
      </c>
      <c r="W35" s="284" t="str">
        <f t="shared" si="20"/>
        <v>--</v>
      </c>
      <c r="X35" s="293" t="str">
        <f t="shared" si="21"/>
        <v>--</v>
      </c>
      <c r="Y35" s="294" t="str">
        <f t="shared" si="22"/>
        <v>--</v>
      </c>
      <c r="Z35" s="301" t="str">
        <f t="shared" si="23"/>
        <v>--</v>
      </c>
      <c r="AA35" s="307" t="str">
        <f t="shared" si="24"/>
        <v>--</v>
      </c>
      <c r="AB35" s="21" t="s">
        <v>145</v>
      </c>
      <c r="AC35" s="27">
        <f t="shared" si="25"/>
        <v>70.3044</v>
      </c>
      <c r="AD35" s="30"/>
    </row>
    <row r="36" spans="1:30" s="8" customFormat="1" ht="15">
      <c r="A36" s="120"/>
      <c r="B36" s="125"/>
      <c r="C36" s="352">
        <v>35</v>
      </c>
      <c r="D36" s="352">
        <v>248439</v>
      </c>
      <c r="E36" s="352">
        <v>3580</v>
      </c>
      <c r="F36" s="337" t="s">
        <v>174</v>
      </c>
      <c r="G36" s="331" t="s">
        <v>161</v>
      </c>
      <c r="H36" s="357">
        <v>15</v>
      </c>
      <c r="I36" s="338" t="s">
        <v>159</v>
      </c>
      <c r="J36" s="197">
        <f>H36*'T-06 (2)'!$I$18</f>
        <v>9.93</v>
      </c>
      <c r="K36" s="361">
        <v>41070.39722222222</v>
      </c>
      <c r="L36" s="361">
        <v>41070.58194444444</v>
      </c>
      <c r="M36" s="22">
        <f t="shared" si="14"/>
        <v>4.433333333290648</v>
      </c>
      <c r="N36" s="23">
        <f t="shared" si="15"/>
        <v>266</v>
      </c>
      <c r="O36" s="362" t="s">
        <v>144</v>
      </c>
      <c r="P36" s="362" t="str">
        <f t="shared" si="16"/>
        <v>--</v>
      </c>
      <c r="Q36" s="362" t="s">
        <v>160</v>
      </c>
      <c r="R36" s="362" t="s">
        <v>145</v>
      </c>
      <c r="S36" s="266">
        <f>'T-06 (2)'!$I$19*IF(R36="SI",1,0.1)*IF(OR(O36="P",O36="RP"),0.1,1)</f>
        <v>3</v>
      </c>
      <c r="T36" s="270">
        <f t="shared" si="17"/>
        <v>131.9697</v>
      </c>
      <c r="U36" s="276" t="str">
        <f t="shared" si="18"/>
        <v>--</v>
      </c>
      <c r="V36" s="223" t="str">
        <f t="shared" si="19"/>
        <v>--</v>
      </c>
      <c r="W36" s="284" t="str">
        <f t="shared" si="20"/>
        <v>--</v>
      </c>
      <c r="X36" s="293" t="str">
        <f t="shared" si="21"/>
        <v>--</v>
      </c>
      <c r="Y36" s="294" t="str">
        <f t="shared" si="22"/>
        <v>--</v>
      </c>
      <c r="Z36" s="301" t="str">
        <f t="shared" si="23"/>
        <v>--</v>
      </c>
      <c r="AA36" s="307" t="str">
        <f t="shared" si="24"/>
        <v>--</v>
      </c>
      <c r="AB36" s="21" t="s">
        <v>145</v>
      </c>
      <c r="AC36" s="27">
        <f t="shared" si="25"/>
        <v>131.9697</v>
      </c>
      <c r="AD36" s="30"/>
    </row>
    <row r="37" spans="1:30" s="8" customFormat="1" ht="15">
      <c r="A37" s="120"/>
      <c r="B37" s="125"/>
      <c r="C37" s="352">
        <v>36</v>
      </c>
      <c r="D37" s="352">
        <v>248440</v>
      </c>
      <c r="E37" s="352">
        <v>3581</v>
      </c>
      <c r="F37" s="337" t="s">
        <v>174</v>
      </c>
      <c r="G37" s="331" t="s">
        <v>172</v>
      </c>
      <c r="H37" s="357">
        <v>15</v>
      </c>
      <c r="I37" s="338" t="s">
        <v>159</v>
      </c>
      <c r="J37" s="197">
        <f>H37*'T-06 (2)'!$I$18</f>
        <v>9.93</v>
      </c>
      <c r="K37" s="361">
        <v>41070.39722222222</v>
      </c>
      <c r="L37" s="361">
        <v>41070.58194444444</v>
      </c>
      <c r="M37" s="22">
        <f t="shared" si="14"/>
        <v>4.433333333290648</v>
      </c>
      <c r="N37" s="23">
        <f t="shared" si="15"/>
        <v>266</v>
      </c>
      <c r="O37" s="362" t="s">
        <v>144</v>
      </c>
      <c r="P37" s="362" t="str">
        <f t="shared" si="16"/>
        <v>--</v>
      </c>
      <c r="Q37" s="362" t="s">
        <v>160</v>
      </c>
      <c r="R37" s="362" t="s">
        <v>145</v>
      </c>
      <c r="S37" s="266">
        <f>'T-06 (2)'!$I$19*IF(R37="SI",1,0.1)*IF(OR(O37="P",O37="RP"),0.1,1)</f>
        <v>3</v>
      </c>
      <c r="T37" s="270">
        <f t="shared" si="17"/>
        <v>131.9697</v>
      </c>
      <c r="U37" s="276" t="str">
        <f t="shared" si="18"/>
        <v>--</v>
      </c>
      <c r="V37" s="223" t="str">
        <f t="shared" si="19"/>
        <v>--</v>
      </c>
      <c r="W37" s="284" t="str">
        <f t="shared" si="20"/>
        <v>--</v>
      </c>
      <c r="X37" s="293" t="str">
        <f t="shared" si="21"/>
        <v>--</v>
      </c>
      <c r="Y37" s="294" t="str">
        <f t="shared" si="22"/>
        <v>--</v>
      </c>
      <c r="Z37" s="301" t="str">
        <f t="shared" si="23"/>
        <v>--</v>
      </c>
      <c r="AA37" s="307" t="str">
        <f t="shared" si="24"/>
        <v>--</v>
      </c>
      <c r="AB37" s="21" t="s">
        <v>145</v>
      </c>
      <c r="AC37" s="27">
        <f t="shared" si="25"/>
        <v>131.9697</v>
      </c>
      <c r="AD37" s="30"/>
    </row>
    <row r="38" spans="1:30" s="8" customFormat="1" ht="15">
      <c r="A38" s="120"/>
      <c r="B38" s="125"/>
      <c r="C38" s="352">
        <v>37</v>
      </c>
      <c r="D38" s="352">
        <v>248441</v>
      </c>
      <c r="E38" s="352">
        <v>4689</v>
      </c>
      <c r="F38" s="337" t="s">
        <v>175</v>
      </c>
      <c r="G38" s="331" t="s">
        <v>161</v>
      </c>
      <c r="H38" s="357">
        <v>7.5</v>
      </c>
      <c r="I38" s="338" t="s">
        <v>159</v>
      </c>
      <c r="J38" s="197">
        <f>H38*'T-06 (2)'!$I$18</f>
        <v>4.965</v>
      </c>
      <c r="K38" s="361">
        <v>41070.39722222222</v>
      </c>
      <c r="L38" s="361">
        <v>41070.58194444444</v>
      </c>
      <c r="M38" s="22">
        <f t="shared" si="14"/>
        <v>4.433333333290648</v>
      </c>
      <c r="N38" s="23">
        <f t="shared" si="15"/>
        <v>266</v>
      </c>
      <c r="O38" s="362" t="s">
        <v>144</v>
      </c>
      <c r="P38" s="362" t="str">
        <f t="shared" si="16"/>
        <v>--</v>
      </c>
      <c r="Q38" s="362" t="s">
        <v>160</v>
      </c>
      <c r="R38" s="362" t="s">
        <v>145</v>
      </c>
      <c r="S38" s="266">
        <f>'T-06 (2)'!$I$19*IF(R38="SI",1,0.1)*IF(OR(O38="P",O38="RP"),0.1,1)</f>
        <v>3</v>
      </c>
      <c r="T38" s="270">
        <f t="shared" si="17"/>
        <v>65.98485</v>
      </c>
      <c r="U38" s="276" t="str">
        <f t="shared" si="18"/>
        <v>--</v>
      </c>
      <c r="V38" s="223" t="str">
        <f t="shared" si="19"/>
        <v>--</v>
      </c>
      <c r="W38" s="284" t="str">
        <f t="shared" si="20"/>
        <v>--</v>
      </c>
      <c r="X38" s="293" t="str">
        <f t="shared" si="21"/>
        <v>--</v>
      </c>
      <c r="Y38" s="294" t="str">
        <f t="shared" si="22"/>
        <v>--</v>
      </c>
      <c r="Z38" s="301" t="str">
        <f t="shared" si="23"/>
        <v>--</v>
      </c>
      <c r="AA38" s="307" t="str">
        <f t="shared" si="24"/>
        <v>--</v>
      </c>
      <c r="AB38" s="21" t="s">
        <v>145</v>
      </c>
      <c r="AC38" s="27">
        <f t="shared" si="25"/>
        <v>65.98485</v>
      </c>
      <c r="AD38" s="30"/>
    </row>
    <row r="39" spans="1:30" s="8" customFormat="1" ht="15">
      <c r="A39" s="120"/>
      <c r="B39" s="125"/>
      <c r="C39" s="352">
        <v>38</v>
      </c>
      <c r="D39" s="352">
        <v>248573</v>
      </c>
      <c r="E39" s="352">
        <v>578</v>
      </c>
      <c r="F39" s="337" t="s">
        <v>176</v>
      </c>
      <c r="G39" s="331" t="s">
        <v>161</v>
      </c>
      <c r="H39" s="357">
        <v>30</v>
      </c>
      <c r="I39" s="338" t="s">
        <v>177</v>
      </c>
      <c r="J39" s="197">
        <f>H39*'T-06 (2)'!$I$18</f>
        <v>19.86</v>
      </c>
      <c r="K39" s="361">
        <v>41072.36388888889</v>
      </c>
      <c r="L39" s="361">
        <v>41072.518055555556</v>
      </c>
      <c r="M39" s="22">
        <f t="shared" si="14"/>
        <v>3.7000000000116415</v>
      </c>
      <c r="N39" s="23">
        <f t="shared" si="15"/>
        <v>222</v>
      </c>
      <c r="O39" s="362" t="s">
        <v>144</v>
      </c>
      <c r="P39" s="362" t="str">
        <f t="shared" si="16"/>
        <v>--</v>
      </c>
      <c r="Q39" s="362" t="s">
        <v>160</v>
      </c>
      <c r="R39" s="362" t="s">
        <v>206</v>
      </c>
      <c r="S39" s="266">
        <f>'T-06 (2)'!$I$19*IF(R39="SI",1,0.1)*IF(OR(O39="P",O39="RP"),0.1,1)</f>
        <v>0.30000000000000004</v>
      </c>
      <c r="T39" s="270">
        <f t="shared" si="17"/>
        <v>22.044600000000006</v>
      </c>
      <c r="U39" s="276" t="str">
        <f t="shared" si="18"/>
        <v>--</v>
      </c>
      <c r="V39" s="223" t="str">
        <f t="shared" si="19"/>
        <v>--</v>
      </c>
      <c r="W39" s="284" t="str">
        <f t="shared" si="20"/>
        <v>--</v>
      </c>
      <c r="X39" s="293" t="str">
        <f t="shared" si="21"/>
        <v>--</v>
      </c>
      <c r="Y39" s="294" t="str">
        <f t="shared" si="22"/>
        <v>--</v>
      </c>
      <c r="Z39" s="301" t="str">
        <f t="shared" si="23"/>
        <v>--</v>
      </c>
      <c r="AA39" s="307" t="str">
        <f t="shared" si="24"/>
        <v>--</v>
      </c>
      <c r="AB39" s="21" t="s">
        <v>145</v>
      </c>
      <c r="AC39" s="27">
        <f t="shared" si="25"/>
        <v>22.044600000000006</v>
      </c>
      <c r="AD39" s="30"/>
    </row>
    <row r="40" spans="1:30" s="8" customFormat="1" ht="15">
      <c r="A40" s="120"/>
      <c r="B40" s="125"/>
      <c r="C40" s="352">
        <v>39</v>
      </c>
      <c r="D40" s="352">
        <v>248579</v>
      </c>
      <c r="E40" s="352">
        <v>3618</v>
      </c>
      <c r="F40" s="337" t="s">
        <v>173</v>
      </c>
      <c r="G40" s="331" t="s">
        <v>161</v>
      </c>
      <c r="H40" s="357">
        <v>7.5</v>
      </c>
      <c r="I40" s="338" t="s">
        <v>159</v>
      </c>
      <c r="J40" s="197">
        <f>H40*'T-06 (2)'!$I$18</f>
        <v>4.965</v>
      </c>
      <c r="K40" s="361">
        <v>41072.525</v>
      </c>
      <c r="L40" s="361">
        <v>41072.56597222222</v>
      </c>
      <c r="M40" s="22">
        <f t="shared" si="14"/>
        <v>0.9833333332207985</v>
      </c>
      <c r="N40" s="23">
        <f t="shared" si="15"/>
        <v>59</v>
      </c>
      <c r="O40" s="362" t="s">
        <v>163</v>
      </c>
      <c r="P40" s="362" t="str">
        <f t="shared" si="16"/>
        <v>NO</v>
      </c>
      <c r="Q40" s="363">
        <v>40</v>
      </c>
      <c r="R40" s="362" t="s">
        <v>145</v>
      </c>
      <c r="S40" s="266">
        <f>'T-06 (2)'!$I$19*IF(R40="SI",1,0.1)*IF(OR(O40="P",O40="RP"),0.1,1)</f>
        <v>30</v>
      </c>
      <c r="T40" s="270" t="str">
        <f t="shared" si="17"/>
        <v>--</v>
      </c>
      <c r="U40" s="276" t="str">
        <f t="shared" si="18"/>
        <v>--</v>
      </c>
      <c r="V40" s="223" t="str">
        <f t="shared" si="19"/>
        <v>--</v>
      </c>
      <c r="W40" s="284" t="str">
        <f t="shared" si="20"/>
        <v>--</v>
      </c>
      <c r="X40" s="293">
        <f t="shared" si="21"/>
        <v>59.58</v>
      </c>
      <c r="Y40" s="294">
        <f t="shared" si="22"/>
        <v>58.38839999999999</v>
      </c>
      <c r="Z40" s="301" t="str">
        <f t="shared" si="23"/>
        <v>--</v>
      </c>
      <c r="AA40" s="307" t="str">
        <f t="shared" si="24"/>
        <v>--</v>
      </c>
      <c r="AB40" s="21" t="s">
        <v>145</v>
      </c>
      <c r="AC40" s="27">
        <f t="shared" si="25"/>
        <v>117.96839999999999</v>
      </c>
      <c r="AD40" s="30"/>
    </row>
    <row r="41" spans="1:30" s="8" customFormat="1" ht="15">
      <c r="A41" s="120"/>
      <c r="B41" s="125"/>
      <c r="C41" s="352">
        <v>40</v>
      </c>
      <c r="D41" s="352">
        <v>248580</v>
      </c>
      <c r="E41" s="352">
        <v>579</v>
      </c>
      <c r="F41" s="337" t="s">
        <v>176</v>
      </c>
      <c r="G41" s="331" t="s">
        <v>172</v>
      </c>
      <c r="H41" s="357">
        <v>30</v>
      </c>
      <c r="I41" s="338" t="s">
        <v>177</v>
      </c>
      <c r="J41" s="197">
        <f>H41*'T-06 (2)'!$I$18</f>
        <v>19.86</v>
      </c>
      <c r="K41" s="361">
        <v>41073.385416666664</v>
      </c>
      <c r="L41" s="361">
        <v>41073.669444444444</v>
      </c>
      <c r="M41" s="22">
        <f t="shared" si="14"/>
        <v>6.816666666709352</v>
      </c>
      <c r="N41" s="23">
        <f t="shared" si="15"/>
        <v>409</v>
      </c>
      <c r="O41" s="362" t="s">
        <v>144</v>
      </c>
      <c r="P41" s="362" t="str">
        <f t="shared" si="16"/>
        <v>--</v>
      </c>
      <c r="Q41" s="362" t="s">
        <v>160</v>
      </c>
      <c r="R41" s="362" t="s">
        <v>206</v>
      </c>
      <c r="S41" s="266">
        <f>'T-06 (2)'!$I$19*IF(R41="SI",1,0.1)*IF(OR(O41="P",O41="RP"),0.1,1)</f>
        <v>0.30000000000000004</v>
      </c>
      <c r="T41" s="270">
        <f t="shared" si="17"/>
        <v>40.63356000000001</v>
      </c>
      <c r="U41" s="276" t="str">
        <f t="shared" si="18"/>
        <v>--</v>
      </c>
      <c r="V41" s="223" t="str">
        <f t="shared" si="19"/>
        <v>--</v>
      </c>
      <c r="W41" s="284" t="str">
        <f t="shared" si="20"/>
        <v>--</v>
      </c>
      <c r="X41" s="293" t="str">
        <f t="shared" si="21"/>
        <v>--</v>
      </c>
      <c r="Y41" s="294" t="str">
        <f t="shared" si="22"/>
        <v>--</v>
      </c>
      <c r="Z41" s="301" t="str">
        <f t="shared" si="23"/>
        <v>--</v>
      </c>
      <c r="AA41" s="307" t="str">
        <f t="shared" si="24"/>
        <v>--</v>
      </c>
      <c r="AB41" s="21" t="s">
        <v>145</v>
      </c>
      <c r="AC41" s="27">
        <f t="shared" si="25"/>
        <v>40.63356000000001</v>
      </c>
      <c r="AD41" s="30"/>
    </row>
    <row r="42" spans="1:30" s="8" customFormat="1" ht="15">
      <c r="A42" s="120"/>
      <c r="B42" s="125"/>
      <c r="C42" s="352"/>
      <c r="D42" s="352"/>
      <c r="E42" s="352"/>
      <c r="F42" s="337"/>
      <c r="G42" s="331"/>
      <c r="H42" s="357"/>
      <c r="I42" s="358"/>
      <c r="J42" s="197">
        <f>H42*$I$18</f>
        <v>0</v>
      </c>
      <c r="K42" s="361"/>
      <c r="L42" s="361"/>
      <c r="M42" s="22">
        <f>IF(F42="","",(L42-K42)*24)</f>
      </c>
      <c r="N42" s="23">
        <f>IF(F42="","",ROUND((L42-K42)*24*60,0))</f>
      </c>
      <c r="O42" s="362"/>
      <c r="P42" s="362">
        <f>IF(F42="","",IF(OR(O42="P",O42="RP"),"--","NO"))</f>
      </c>
      <c r="Q42" s="363">
        <f>IF(F42="","","--")</f>
      </c>
      <c r="R42" s="362"/>
      <c r="S42" s="266">
        <f>$I$19*IF(R42="SI",1,0.1)*IF(OR(O42="P",O42="RP"),0.1,1)</f>
        <v>3</v>
      </c>
      <c r="T42" s="270" t="str">
        <f>IF(O42="P",J42*S42*ROUND(N42/60,2),"--")</f>
        <v>--</v>
      </c>
      <c r="U42" s="276" t="str">
        <f>IF(O42="RP",J42*S42*Q42/100*ROUND(N42/60,2),"--")</f>
        <v>--</v>
      </c>
      <c r="V42" s="223" t="str">
        <f>IF(AND(O42="F",P42="NO"),J42*S42,"--")</f>
        <v>--</v>
      </c>
      <c r="W42" s="284" t="str">
        <f>IF(O42="F",J42*S42*ROUND(N42/60,2),"--")</f>
        <v>--</v>
      </c>
      <c r="X42" s="293" t="str">
        <f>IF(AND(O42="R",P42="NO"),J42*S42*Q42/100,"--")</f>
        <v>--</v>
      </c>
      <c r="Y42" s="294" t="str">
        <f>IF(O42="R",J42*S42*ROUND(N42/60,2)*Q42/100,"--")</f>
        <v>--</v>
      </c>
      <c r="Z42" s="301" t="str">
        <f>IF(O42="RF",J42*S42*ROUND(N42/60,2),"--")</f>
        <v>--</v>
      </c>
      <c r="AA42" s="307" t="str">
        <f>IF(O42="RR",J42*S42*ROUND(N42/60,2)*Q42/100,"--")</f>
        <v>--</v>
      </c>
      <c r="AB42" s="21">
        <f>IF(F42="","","SI")</f>
      </c>
      <c r="AC42" s="27">
        <f>IF(F42="","",SUM(T42:AA42)*IF(AB42="SI",1,2))</f>
      </c>
      <c r="AD42" s="30"/>
    </row>
    <row r="43" spans="1:30" s="8" customFormat="1" ht="15.75" thickBot="1">
      <c r="A43" s="120"/>
      <c r="B43" s="125"/>
      <c r="C43" s="359"/>
      <c r="D43" s="359"/>
      <c r="E43" s="359"/>
      <c r="F43" s="359"/>
      <c r="G43" s="359"/>
      <c r="H43" s="359"/>
      <c r="I43" s="359"/>
      <c r="J43" s="201"/>
      <c r="K43" s="359"/>
      <c r="L43" s="359"/>
      <c r="M43" s="24"/>
      <c r="N43" s="24"/>
      <c r="O43" s="359"/>
      <c r="P43" s="359"/>
      <c r="Q43" s="359"/>
      <c r="R43" s="359"/>
      <c r="S43" s="262"/>
      <c r="T43" s="271"/>
      <c r="U43" s="277"/>
      <c r="V43" s="280"/>
      <c r="W43" s="281"/>
      <c r="X43" s="295"/>
      <c r="Y43" s="296"/>
      <c r="Z43" s="302"/>
      <c r="AA43" s="308"/>
      <c r="AB43" s="24"/>
      <c r="AC43" s="204"/>
      <c r="AD43" s="30"/>
    </row>
    <row r="44" spans="1:30" s="8" customFormat="1" ht="17.25" thickBot="1" thickTop="1">
      <c r="A44" s="120"/>
      <c r="B44" s="125"/>
      <c r="C44" s="434" t="s">
        <v>204</v>
      </c>
      <c r="D44" s="433" t="s">
        <v>205</v>
      </c>
      <c r="E44" s="185"/>
      <c r="F44" s="18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72">
        <f aca="true" t="shared" si="26" ref="T44:AA44">SUM(T22:T43)</f>
        <v>734.8398599999999</v>
      </c>
      <c r="U44" s="278">
        <f t="shared" si="26"/>
        <v>13.584240000000003</v>
      </c>
      <c r="V44" s="282">
        <f t="shared" si="26"/>
        <v>0</v>
      </c>
      <c r="W44" s="282">
        <f t="shared" si="26"/>
        <v>0</v>
      </c>
      <c r="X44" s="297">
        <f t="shared" si="26"/>
        <v>297.9</v>
      </c>
      <c r="Y44" s="297">
        <f t="shared" si="26"/>
        <v>427.78439999999995</v>
      </c>
      <c r="Z44" s="303">
        <f t="shared" si="26"/>
        <v>21448.2042</v>
      </c>
      <c r="AA44" s="309">
        <f t="shared" si="26"/>
        <v>0</v>
      </c>
      <c r="AB44" s="205"/>
      <c r="AC44" s="132">
        <f>ROUND(SUM(AC22:AC43),2)</f>
        <v>22922.31</v>
      </c>
      <c r="AD44" s="30"/>
    </row>
    <row r="45" spans="1:30" s="8" customFormat="1" ht="13.5" thickTop="1">
      <c r="A45" s="120"/>
      <c r="B45" s="125"/>
      <c r="C45" s="185"/>
      <c r="D45" s="185"/>
      <c r="E45" s="185"/>
      <c r="F45" s="18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30"/>
    </row>
    <row r="46" spans="1:30" s="8" customFormat="1" ht="13.5" thickBot="1">
      <c r="A46" s="120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5"/>
    </row>
    <row r="47" spans="1:30" ht="16.5" customHeight="1" thickTop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"/>
    </row>
    <row r="48" ht="16.5" customHeight="1"/>
  </sheetData>
  <sheetProtection/>
  <printOptions/>
  <pageMargins left="0.34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H47"/>
  <sheetViews>
    <sheetView zoomScale="75" zoomScaleNormal="75" zoomScalePageLayoutView="0" workbookViewId="0" topLeftCell="A16">
      <selection activeCell="G47" sqref="G4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4.8515625" style="0" customWidth="1"/>
    <col min="7" max="7" width="18.00390625" style="0" customWidth="1"/>
    <col min="8" max="8" width="7.28125" style="0" customWidth="1"/>
    <col min="9" max="9" width="12.7109375" style="0" customWidth="1"/>
    <col min="10" max="10" width="5.140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0.421875" style="0" hidden="1" customWidth="1"/>
    <col min="20" max="21" width="12.28125" style="0" hidden="1" customWidth="1"/>
    <col min="22" max="22" width="9.8515625" style="0" hidden="1" customWidth="1"/>
    <col min="23" max="23" width="9.421875" style="0" hidden="1" customWidth="1"/>
    <col min="24" max="25" width="8.28125" style="0" hidden="1" customWidth="1"/>
    <col min="26" max="27" width="12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3" customFormat="1" ht="26.25"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2:30" s="33" customFormat="1" ht="26.25">
      <c r="B2" s="409" t="str">
        <f>+'TOT-0612'!B2</f>
        <v>ANEXO III al Memorándum  D.T.E.E.  N°  1052 / 2013</v>
      </c>
      <c r="C2" s="36"/>
      <c r="D2" s="36"/>
      <c r="E2" s="156"/>
      <c r="F2" s="156"/>
      <c r="G2" s="111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</row>
    <row r="3" spans="5:30" s="8" customFormat="1" ht="18" customHeight="1"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0" s="40" customFormat="1" ht="11.25">
      <c r="A4" s="410" t="s">
        <v>130</v>
      </c>
      <c r="B4" s="113"/>
      <c r="C4" s="410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1:30" s="40" customFormat="1" ht="11.25">
      <c r="A5" s="410" t="s">
        <v>131</v>
      </c>
      <c r="B5" s="113"/>
      <c r="C5" s="113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1:30" s="8" customFormat="1" ht="13.5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s="8" customFormat="1" ht="13.5" thickTop="1">
      <c r="A7" s="120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</row>
    <row r="8" spans="1:30" s="44" customFormat="1" ht="20.25">
      <c r="A8" s="139"/>
      <c r="B8" s="140"/>
      <c r="C8" s="126"/>
      <c r="D8" s="126"/>
      <c r="E8" s="126"/>
      <c r="F8" s="18" t="s">
        <v>18</v>
      </c>
      <c r="G8" s="18"/>
      <c r="H8" s="126"/>
      <c r="I8" s="139"/>
      <c r="J8" s="139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41"/>
    </row>
    <row r="9" spans="1:30" s="44" customFormat="1" ht="20.25">
      <c r="A9" s="139"/>
      <c r="B9" s="140"/>
      <c r="C9" s="126"/>
      <c r="D9" s="126"/>
      <c r="E9" s="126"/>
      <c r="F9" s="18"/>
      <c r="G9" s="18"/>
      <c r="H9" s="126"/>
      <c r="I9" s="139"/>
      <c r="J9" s="139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41"/>
    </row>
    <row r="10" spans="1:30" s="44" customFormat="1" ht="20.25">
      <c r="A10" s="139"/>
      <c r="B10" s="140"/>
      <c r="C10" s="126"/>
      <c r="D10" s="126"/>
      <c r="E10" s="126"/>
      <c r="F10" s="18" t="s">
        <v>41</v>
      </c>
      <c r="G10" s="18"/>
      <c r="H10" s="126"/>
      <c r="I10" s="139"/>
      <c r="J10" s="139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41"/>
    </row>
    <row r="11" spans="1:30" s="8" customFormat="1" ht="12.75">
      <c r="A11" s="120"/>
      <c r="B11" s="125"/>
      <c r="C11" s="25"/>
      <c r="D11" s="25"/>
      <c r="E11" s="25"/>
      <c r="F11" s="25"/>
      <c r="G11" s="25"/>
      <c r="H11" s="25"/>
      <c r="I11" s="12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0"/>
    </row>
    <row r="12" spans="1:30" s="44" customFormat="1" ht="20.25">
      <c r="A12" s="139"/>
      <c r="B12" s="140"/>
      <c r="C12" s="126"/>
      <c r="D12" s="126"/>
      <c r="E12" s="126"/>
      <c r="F12" s="157" t="s">
        <v>42</v>
      </c>
      <c r="G12" s="18"/>
      <c r="H12" s="139"/>
      <c r="I12" s="139"/>
      <c r="J12" s="142"/>
      <c r="K12" s="126"/>
      <c r="L12" s="139"/>
      <c r="M12" s="139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41"/>
    </row>
    <row r="13" spans="1:30" s="8" customFormat="1" ht="12.75">
      <c r="A13" s="120"/>
      <c r="B13" s="125"/>
      <c r="C13" s="25"/>
      <c r="D13" s="25"/>
      <c r="E13" s="25"/>
      <c r="F13" s="25"/>
      <c r="G13" s="25"/>
      <c r="H13" s="25"/>
      <c r="I13" s="12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0"/>
    </row>
    <row r="14" spans="1:30" s="44" customFormat="1" ht="20.25">
      <c r="A14" s="139"/>
      <c r="B14" s="140"/>
      <c r="C14" s="126"/>
      <c r="D14" s="126"/>
      <c r="E14" s="126"/>
      <c r="F14" s="157" t="s">
        <v>43</v>
      </c>
      <c r="G14" s="18"/>
      <c r="H14" s="139"/>
      <c r="I14" s="139"/>
      <c r="J14" s="142"/>
      <c r="K14" s="126"/>
      <c r="L14" s="139"/>
      <c r="M14" s="139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41"/>
    </row>
    <row r="15" spans="1:30" s="8" customFormat="1" ht="12.75">
      <c r="A15" s="120"/>
      <c r="B15" s="125"/>
      <c r="C15" s="25"/>
      <c r="D15" s="25"/>
      <c r="E15" s="25"/>
      <c r="F15" s="128"/>
      <c r="G15" s="128"/>
      <c r="H15" s="128"/>
      <c r="I15" s="129"/>
      <c r="J15" s="127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30"/>
    </row>
    <row r="16" spans="1:30" s="51" customFormat="1" ht="19.5">
      <c r="A16" s="143"/>
      <c r="B16" s="151" t="str">
        <f>'TOT-0612'!B14</f>
        <v>Desde el 01 al 30 de junio de 2012</v>
      </c>
      <c r="C16" s="152"/>
      <c r="D16" s="152"/>
      <c r="E16" s="152"/>
      <c r="F16" s="152"/>
      <c r="G16" s="152"/>
      <c r="H16" s="152"/>
      <c r="I16" s="152"/>
      <c r="J16" s="152"/>
      <c r="K16" s="153"/>
      <c r="L16" s="154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5"/>
    </row>
    <row r="17" spans="1:30" s="8" customFormat="1" ht="14.25" thickBot="1">
      <c r="A17" s="120"/>
      <c r="B17" s="125"/>
      <c r="C17" s="25"/>
      <c r="D17" s="25"/>
      <c r="E17" s="25"/>
      <c r="F17" s="25"/>
      <c r="G17" s="25"/>
      <c r="H17" s="25"/>
      <c r="I17" s="130"/>
      <c r="J17" s="25"/>
      <c r="K17" s="136"/>
      <c r="L17" s="137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30"/>
    </row>
    <row r="18" spans="1:30" s="8" customFormat="1" ht="14.25" thickBot="1" thickTop="1">
      <c r="A18" s="120"/>
      <c r="B18" s="125"/>
      <c r="C18" s="25"/>
      <c r="D18" s="25"/>
      <c r="E18" s="25"/>
      <c r="F18" s="144" t="s">
        <v>44</v>
      </c>
      <c r="G18" s="145"/>
      <c r="H18" s="146"/>
      <c r="I18" s="147">
        <v>0.662</v>
      </c>
      <c r="J18" s="120"/>
      <c r="K18" s="25"/>
      <c r="L18" s="320"/>
      <c r="M18" s="321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0"/>
    </row>
    <row r="19" spans="1:30" s="8" customFormat="1" ht="14.25" thickBot="1" thickTop="1">
      <c r="A19" s="120"/>
      <c r="B19" s="125"/>
      <c r="C19" s="25"/>
      <c r="D19" s="25"/>
      <c r="E19" s="25"/>
      <c r="F19" s="148" t="s">
        <v>45</v>
      </c>
      <c r="G19" s="149"/>
      <c r="H19" s="149"/>
      <c r="I19" s="150">
        <f>30*'TOT-0612'!B13</f>
        <v>30</v>
      </c>
      <c r="J19" s="25"/>
      <c r="K19" s="191" t="str">
        <f>IF(I19=30," ",IF(I19=60,"  Coeficiente duplicado por tasa de falla &gt;4 Sal. x año/100 km.","REVISAR COEFICIENTE"))</f>
        <v> 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31"/>
      <c r="X19" s="131"/>
      <c r="Y19" s="131"/>
      <c r="Z19" s="131"/>
      <c r="AA19" s="131"/>
      <c r="AB19" s="131"/>
      <c r="AC19" s="131"/>
      <c r="AD19" s="30"/>
    </row>
    <row r="20" spans="1:30" s="8" customFormat="1" ht="14.25" thickBot="1" thickTop="1">
      <c r="A20" s="120"/>
      <c r="B20" s="125"/>
      <c r="C20" s="414">
        <v>3</v>
      </c>
      <c r="D20" s="414">
        <v>4</v>
      </c>
      <c r="E20" s="414">
        <v>5</v>
      </c>
      <c r="F20" s="414">
        <v>6</v>
      </c>
      <c r="G20" s="414">
        <v>7</v>
      </c>
      <c r="H20" s="414">
        <v>8</v>
      </c>
      <c r="I20" s="414">
        <v>9</v>
      </c>
      <c r="J20" s="414">
        <v>10</v>
      </c>
      <c r="K20" s="414">
        <v>11</v>
      </c>
      <c r="L20" s="414">
        <v>12</v>
      </c>
      <c r="M20" s="414">
        <v>13</v>
      </c>
      <c r="N20" s="414">
        <v>14</v>
      </c>
      <c r="O20" s="414">
        <v>15</v>
      </c>
      <c r="P20" s="414">
        <v>16</v>
      </c>
      <c r="Q20" s="414">
        <v>17</v>
      </c>
      <c r="R20" s="414">
        <v>18</v>
      </c>
      <c r="S20" s="414">
        <v>19</v>
      </c>
      <c r="T20" s="414">
        <v>20</v>
      </c>
      <c r="U20" s="414">
        <v>21</v>
      </c>
      <c r="V20" s="414">
        <v>22</v>
      </c>
      <c r="W20" s="414">
        <v>23</v>
      </c>
      <c r="X20" s="414">
        <v>24</v>
      </c>
      <c r="Y20" s="414">
        <v>25</v>
      </c>
      <c r="Z20" s="414">
        <v>26</v>
      </c>
      <c r="AA20" s="414">
        <v>27</v>
      </c>
      <c r="AB20" s="414">
        <v>28</v>
      </c>
      <c r="AC20" s="414">
        <v>29</v>
      </c>
      <c r="AD20" s="30"/>
    </row>
    <row r="21" spans="1:30" s="8" customFormat="1" ht="33.75" customHeight="1" thickBot="1" thickTop="1">
      <c r="A21" s="120"/>
      <c r="B21" s="125"/>
      <c r="C21" s="114" t="s">
        <v>23</v>
      </c>
      <c r="D21" s="114" t="s">
        <v>129</v>
      </c>
      <c r="E21" s="114" t="s">
        <v>128</v>
      </c>
      <c r="F21" s="173" t="s">
        <v>46</v>
      </c>
      <c r="G21" s="172" t="s">
        <v>47</v>
      </c>
      <c r="H21" s="174" t="s">
        <v>48</v>
      </c>
      <c r="I21" s="175" t="s">
        <v>24</v>
      </c>
      <c r="J21" s="195" t="s">
        <v>26</v>
      </c>
      <c r="K21" s="172" t="s">
        <v>27</v>
      </c>
      <c r="L21" s="172" t="s">
        <v>28</v>
      </c>
      <c r="M21" s="173" t="s">
        <v>49</v>
      </c>
      <c r="N21" s="173" t="s">
        <v>50</v>
      </c>
      <c r="O21" s="116" t="s">
        <v>31</v>
      </c>
      <c r="P21" s="172" t="s">
        <v>51</v>
      </c>
      <c r="Q21" s="173" t="s">
        <v>32</v>
      </c>
      <c r="R21" s="172" t="s">
        <v>52</v>
      </c>
      <c r="S21" s="263" t="s">
        <v>53</v>
      </c>
      <c r="T21" s="267" t="s">
        <v>33</v>
      </c>
      <c r="U21" s="273" t="s">
        <v>34</v>
      </c>
      <c r="V21" s="220" t="s">
        <v>54</v>
      </c>
      <c r="W21" s="222"/>
      <c r="X21" s="287" t="s">
        <v>55</v>
      </c>
      <c r="Y21" s="288"/>
      <c r="Z21" s="298" t="s">
        <v>37</v>
      </c>
      <c r="AA21" s="304" t="s">
        <v>38</v>
      </c>
      <c r="AB21" s="175" t="s">
        <v>39</v>
      </c>
      <c r="AC21" s="175" t="s">
        <v>40</v>
      </c>
      <c r="AD21" s="30"/>
    </row>
    <row r="22" spans="1:30" s="8" customFormat="1" ht="15.75" thickTop="1">
      <c r="A22" s="120"/>
      <c r="B22" s="125"/>
      <c r="C22" s="352"/>
      <c r="D22" s="352"/>
      <c r="E22" s="352"/>
      <c r="F22" s="353"/>
      <c r="G22" s="354"/>
      <c r="H22" s="354"/>
      <c r="I22" s="354"/>
      <c r="J22" s="199"/>
      <c r="K22" s="360"/>
      <c r="L22" s="354"/>
      <c r="M22" s="20"/>
      <c r="N22" s="20"/>
      <c r="O22" s="354"/>
      <c r="P22" s="354"/>
      <c r="Q22" s="354"/>
      <c r="R22" s="354"/>
      <c r="S22" s="264"/>
      <c r="T22" s="268"/>
      <c r="U22" s="274"/>
      <c r="V22" s="285"/>
      <c r="W22" s="279"/>
      <c r="X22" s="289"/>
      <c r="Y22" s="290"/>
      <c r="Z22" s="299"/>
      <c r="AA22" s="305"/>
      <c r="AB22" s="19"/>
      <c r="AC22" s="32">
        <f>'T-06 (1)'!AC44</f>
        <v>22922.31</v>
      </c>
      <c r="AD22" s="30"/>
    </row>
    <row r="23" spans="1:30" s="8" customFormat="1" ht="15">
      <c r="A23" s="120"/>
      <c r="B23" s="125"/>
      <c r="C23" s="352"/>
      <c r="D23" s="352"/>
      <c r="E23" s="352"/>
      <c r="F23" s="355"/>
      <c r="G23" s="356"/>
      <c r="H23" s="356"/>
      <c r="I23" s="356"/>
      <c r="J23" s="200"/>
      <c r="K23" s="355"/>
      <c r="L23" s="356"/>
      <c r="M23" s="16"/>
      <c r="N23" s="16"/>
      <c r="O23" s="356"/>
      <c r="P23" s="356"/>
      <c r="Q23" s="356"/>
      <c r="R23" s="356"/>
      <c r="S23" s="265"/>
      <c r="T23" s="269"/>
      <c r="U23" s="275"/>
      <c r="V23" s="286"/>
      <c r="W23" s="283"/>
      <c r="X23" s="291"/>
      <c r="Y23" s="292"/>
      <c r="Z23" s="300"/>
      <c r="AA23" s="306"/>
      <c r="AB23" s="15"/>
      <c r="AC23" s="27"/>
      <c r="AD23" s="30"/>
    </row>
    <row r="24" spans="1:30" s="8" customFormat="1" ht="15">
      <c r="A24" s="120"/>
      <c r="B24" s="125"/>
      <c r="C24" s="352">
        <v>41</v>
      </c>
      <c r="D24" s="352">
        <v>248582</v>
      </c>
      <c r="E24" s="352">
        <v>548</v>
      </c>
      <c r="F24" s="337" t="s">
        <v>178</v>
      </c>
      <c r="G24" s="331" t="s">
        <v>172</v>
      </c>
      <c r="H24" s="357">
        <v>15</v>
      </c>
      <c r="I24" s="338" t="s">
        <v>177</v>
      </c>
      <c r="J24" s="197">
        <f aca="true" t="shared" si="0" ref="J24:J33">H24*$I$18</f>
        <v>9.93</v>
      </c>
      <c r="K24" s="361">
        <v>41073.461805555555</v>
      </c>
      <c r="L24" s="361">
        <v>41073.583333333336</v>
      </c>
      <c r="M24" s="22">
        <f aca="true" t="shared" si="1" ref="M24:M40">IF(F24="","",(L24-K24)*24)</f>
        <v>2.916666666744277</v>
      </c>
      <c r="N24" s="23">
        <f aca="true" t="shared" si="2" ref="N24:N40">IF(F24="","",ROUND((L24-K24)*24*60,0))</f>
        <v>175</v>
      </c>
      <c r="O24" s="362" t="s">
        <v>144</v>
      </c>
      <c r="P24" s="362" t="str">
        <f aca="true" t="shared" si="3" ref="P24:P40">IF(F24="","",IF(OR(O24="P",O24="RP"),"--","NO"))</f>
        <v>--</v>
      </c>
      <c r="Q24" s="362" t="s">
        <v>160</v>
      </c>
      <c r="R24" s="362" t="s">
        <v>206</v>
      </c>
      <c r="S24" s="266">
        <f aca="true" t="shared" si="4" ref="S24:S33">$I$19*IF(R24="SI",1,0.1)*IF(OR(O24="P",O24="RP"),0.1,1)</f>
        <v>0.30000000000000004</v>
      </c>
      <c r="T24" s="270">
        <f aca="true" t="shared" si="5" ref="T24:T33">IF(O24="P",J24*S24*ROUND(N24/60,2),"--")</f>
        <v>8.698680000000001</v>
      </c>
      <c r="U24" s="276" t="str">
        <f aca="true" t="shared" si="6" ref="U24:U33">IF(O24="RP",J24*S24*Q24/100*ROUND(N24/60,2),"--")</f>
        <v>--</v>
      </c>
      <c r="V24" s="223" t="str">
        <f aca="true" t="shared" si="7" ref="V24:V33">IF(AND(O24="F",P24="NO"),J24*S24,"--")</f>
        <v>--</v>
      </c>
      <c r="W24" s="284" t="str">
        <f aca="true" t="shared" si="8" ref="W24:W33">IF(O24="F",J24*S24*ROUND(N24/60,2),"--")</f>
        <v>--</v>
      </c>
      <c r="X24" s="293" t="str">
        <f aca="true" t="shared" si="9" ref="X24:X33">IF(AND(O24="R",P24="NO"),J24*S24*Q24/100,"--")</f>
        <v>--</v>
      </c>
      <c r="Y24" s="294" t="str">
        <f aca="true" t="shared" si="10" ref="Y24:Y33">IF(O24="R",J24*S24*ROUND(N24/60,2)*Q24/100,"--")</f>
        <v>--</v>
      </c>
      <c r="Z24" s="301" t="str">
        <f aca="true" t="shared" si="11" ref="Z24:Z33">IF(O24="RF",J24*S24*ROUND(N24/60,2),"--")</f>
        <v>--</v>
      </c>
      <c r="AA24" s="307" t="str">
        <f aca="true" t="shared" si="12" ref="AA24:AA33">IF(O24="RR",J24*S24*ROUND(N24/60,2)*Q24/100,"--")</f>
        <v>--</v>
      </c>
      <c r="AB24" s="21" t="s">
        <v>145</v>
      </c>
      <c r="AC24" s="27">
        <f aca="true" t="shared" si="13" ref="AC24:AC33">IF(F24="","",SUM(T24:AA24)*IF(AB24="SI",1,2))</f>
        <v>8.698680000000001</v>
      </c>
      <c r="AD24" s="317"/>
    </row>
    <row r="25" spans="1:30" s="8" customFormat="1" ht="15">
      <c r="A25" s="120"/>
      <c r="B25" s="125"/>
      <c r="C25" s="352">
        <v>42</v>
      </c>
      <c r="D25" s="352">
        <v>248583</v>
      </c>
      <c r="E25" s="352">
        <v>4596</v>
      </c>
      <c r="F25" s="337" t="s">
        <v>179</v>
      </c>
      <c r="G25" s="331" t="s">
        <v>180</v>
      </c>
      <c r="H25" s="357">
        <v>15</v>
      </c>
      <c r="I25" s="338" t="s">
        <v>159</v>
      </c>
      <c r="J25" s="197">
        <f t="shared" si="0"/>
        <v>9.93</v>
      </c>
      <c r="K25" s="361">
        <v>41073.62291666667</v>
      </c>
      <c r="L25" s="361">
        <v>41073.64027777778</v>
      </c>
      <c r="M25" s="22">
        <f t="shared" si="1"/>
        <v>0.41666666662786156</v>
      </c>
      <c r="N25" s="23">
        <f t="shared" si="2"/>
        <v>25</v>
      </c>
      <c r="O25" s="362" t="s">
        <v>144</v>
      </c>
      <c r="P25" s="362" t="str">
        <f t="shared" si="3"/>
        <v>--</v>
      </c>
      <c r="Q25" s="362" t="s">
        <v>160</v>
      </c>
      <c r="R25" s="362" t="s">
        <v>206</v>
      </c>
      <c r="S25" s="266">
        <f t="shared" si="4"/>
        <v>0.30000000000000004</v>
      </c>
      <c r="T25" s="270">
        <f t="shared" si="5"/>
        <v>1.2511800000000002</v>
      </c>
      <c r="U25" s="276" t="str">
        <f t="shared" si="6"/>
        <v>--</v>
      </c>
      <c r="V25" s="223" t="str">
        <f t="shared" si="7"/>
        <v>--</v>
      </c>
      <c r="W25" s="284" t="str">
        <f t="shared" si="8"/>
        <v>--</v>
      </c>
      <c r="X25" s="293" t="str">
        <f t="shared" si="9"/>
        <v>--</v>
      </c>
      <c r="Y25" s="294" t="str">
        <f t="shared" si="10"/>
        <v>--</v>
      </c>
      <c r="Z25" s="301" t="str">
        <f t="shared" si="11"/>
        <v>--</v>
      </c>
      <c r="AA25" s="307" t="str">
        <f t="shared" si="12"/>
        <v>--</v>
      </c>
      <c r="AB25" s="21" t="s">
        <v>145</v>
      </c>
      <c r="AC25" s="27">
        <f t="shared" si="13"/>
        <v>1.2511800000000002</v>
      </c>
      <c r="AD25" s="317"/>
    </row>
    <row r="26" spans="1:30" s="8" customFormat="1" ht="15">
      <c r="A26" s="120"/>
      <c r="B26" s="125"/>
      <c r="C26" s="352">
        <v>43</v>
      </c>
      <c r="D26" s="352">
        <v>248585</v>
      </c>
      <c r="E26" s="352">
        <v>562</v>
      </c>
      <c r="F26" s="337" t="s">
        <v>181</v>
      </c>
      <c r="G26" s="331" t="s">
        <v>161</v>
      </c>
      <c r="H26" s="357">
        <v>7.5</v>
      </c>
      <c r="I26" s="338" t="s">
        <v>159</v>
      </c>
      <c r="J26" s="197">
        <f t="shared" si="0"/>
        <v>4.965</v>
      </c>
      <c r="K26" s="361">
        <v>41074.37013888889</v>
      </c>
      <c r="L26" s="361">
        <v>41074.42291666667</v>
      </c>
      <c r="M26" s="22">
        <f t="shared" si="1"/>
        <v>1.2666666667792015</v>
      </c>
      <c r="N26" s="23">
        <f t="shared" si="2"/>
        <v>76</v>
      </c>
      <c r="O26" s="362" t="s">
        <v>168</v>
      </c>
      <c r="P26" s="362" t="str">
        <f t="shared" si="3"/>
        <v>--</v>
      </c>
      <c r="Q26" s="363">
        <v>40</v>
      </c>
      <c r="R26" s="362" t="s">
        <v>206</v>
      </c>
      <c r="S26" s="266">
        <f t="shared" si="4"/>
        <v>0.30000000000000004</v>
      </c>
      <c r="T26" s="270" t="str">
        <f t="shared" si="5"/>
        <v>--</v>
      </c>
      <c r="U26" s="276">
        <f t="shared" si="6"/>
        <v>0.7566660000000002</v>
      </c>
      <c r="V26" s="223" t="str">
        <f t="shared" si="7"/>
        <v>--</v>
      </c>
      <c r="W26" s="284" t="str">
        <f t="shared" si="8"/>
        <v>--</v>
      </c>
      <c r="X26" s="293" t="str">
        <f t="shared" si="9"/>
        <v>--</v>
      </c>
      <c r="Y26" s="294" t="str">
        <f t="shared" si="10"/>
        <v>--</v>
      </c>
      <c r="Z26" s="301" t="str">
        <f t="shared" si="11"/>
        <v>--</v>
      </c>
      <c r="AA26" s="307" t="str">
        <f t="shared" si="12"/>
        <v>--</v>
      </c>
      <c r="AB26" s="21" t="s">
        <v>145</v>
      </c>
      <c r="AC26" s="27">
        <f t="shared" si="13"/>
        <v>0.7566660000000002</v>
      </c>
      <c r="AD26" s="317"/>
    </row>
    <row r="27" spans="1:30" s="8" customFormat="1" ht="15">
      <c r="A27" s="120"/>
      <c r="B27" s="125"/>
      <c r="C27" s="352">
        <v>44</v>
      </c>
      <c r="D27" s="352">
        <v>248587</v>
      </c>
      <c r="E27" s="352">
        <v>3226</v>
      </c>
      <c r="F27" s="337" t="s">
        <v>182</v>
      </c>
      <c r="G27" s="331" t="s">
        <v>161</v>
      </c>
      <c r="H27" s="357">
        <v>30</v>
      </c>
      <c r="I27" s="338" t="s">
        <v>177</v>
      </c>
      <c r="J27" s="197">
        <f t="shared" si="0"/>
        <v>19.86</v>
      </c>
      <c r="K27" s="361">
        <v>41075.35763888889</v>
      </c>
      <c r="L27" s="361">
        <v>41075.459027777775</v>
      </c>
      <c r="M27" s="22">
        <f t="shared" si="1"/>
        <v>2.43333333323244</v>
      </c>
      <c r="N27" s="23">
        <f t="shared" si="2"/>
        <v>146</v>
      </c>
      <c r="O27" s="362" t="s">
        <v>144</v>
      </c>
      <c r="P27" s="362" t="str">
        <f t="shared" si="3"/>
        <v>--</v>
      </c>
      <c r="Q27" s="362" t="s">
        <v>160</v>
      </c>
      <c r="R27" s="362" t="s">
        <v>206</v>
      </c>
      <c r="S27" s="266">
        <f t="shared" si="4"/>
        <v>0.30000000000000004</v>
      </c>
      <c r="T27" s="270">
        <f t="shared" si="5"/>
        <v>14.477940000000004</v>
      </c>
      <c r="U27" s="276" t="str">
        <f t="shared" si="6"/>
        <v>--</v>
      </c>
      <c r="V27" s="223" t="str">
        <f t="shared" si="7"/>
        <v>--</v>
      </c>
      <c r="W27" s="284" t="str">
        <f t="shared" si="8"/>
        <v>--</v>
      </c>
      <c r="X27" s="293" t="str">
        <f t="shared" si="9"/>
        <v>--</v>
      </c>
      <c r="Y27" s="294" t="str">
        <f t="shared" si="10"/>
        <v>--</v>
      </c>
      <c r="Z27" s="301" t="str">
        <f t="shared" si="11"/>
        <v>--</v>
      </c>
      <c r="AA27" s="307" t="str">
        <f t="shared" si="12"/>
        <v>--</v>
      </c>
      <c r="AB27" s="21" t="s">
        <v>145</v>
      </c>
      <c r="AC27" s="27">
        <f t="shared" si="13"/>
        <v>14.477940000000004</v>
      </c>
      <c r="AD27" s="30"/>
    </row>
    <row r="28" spans="1:30" s="8" customFormat="1" ht="15">
      <c r="A28" s="120"/>
      <c r="B28" s="125"/>
      <c r="C28" s="352">
        <v>45</v>
      </c>
      <c r="D28" s="352">
        <v>248721</v>
      </c>
      <c r="E28" s="352">
        <v>5140</v>
      </c>
      <c r="F28" s="337" t="s">
        <v>207</v>
      </c>
      <c r="G28" s="331" t="s">
        <v>161</v>
      </c>
      <c r="H28" s="415">
        <v>30</v>
      </c>
      <c r="I28" s="338" t="s">
        <v>159</v>
      </c>
      <c r="J28" s="197">
        <f t="shared" si="0"/>
        <v>19.86</v>
      </c>
      <c r="K28" s="361">
        <v>41078.40694444445</v>
      </c>
      <c r="L28" s="361">
        <v>41078.646527777775</v>
      </c>
      <c r="M28" s="22">
        <f t="shared" si="1"/>
        <v>5.749999999883585</v>
      </c>
      <c r="N28" s="23">
        <f t="shared" si="2"/>
        <v>345</v>
      </c>
      <c r="O28" s="362" t="s">
        <v>168</v>
      </c>
      <c r="P28" s="362" t="str">
        <f t="shared" si="3"/>
        <v>--</v>
      </c>
      <c r="Q28" s="363">
        <v>40</v>
      </c>
      <c r="R28" s="362" t="s">
        <v>206</v>
      </c>
      <c r="S28" s="266">
        <f t="shared" si="4"/>
        <v>0.30000000000000004</v>
      </c>
      <c r="T28" s="270" t="str">
        <f t="shared" si="5"/>
        <v>--</v>
      </c>
      <c r="U28" s="276">
        <f t="shared" si="6"/>
        <v>13.703400000000002</v>
      </c>
      <c r="V28" s="223" t="str">
        <f t="shared" si="7"/>
        <v>--</v>
      </c>
      <c r="W28" s="284" t="str">
        <f t="shared" si="8"/>
        <v>--</v>
      </c>
      <c r="X28" s="293" t="str">
        <f t="shared" si="9"/>
        <v>--</v>
      </c>
      <c r="Y28" s="294" t="str">
        <f t="shared" si="10"/>
        <v>--</v>
      </c>
      <c r="Z28" s="301" t="str">
        <f t="shared" si="11"/>
        <v>--</v>
      </c>
      <c r="AA28" s="307" t="str">
        <f t="shared" si="12"/>
        <v>--</v>
      </c>
      <c r="AB28" s="21" t="s">
        <v>145</v>
      </c>
      <c r="AC28" s="27">
        <f t="shared" si="13"/>
        <v>13.703400000000002</v>
      </c>
      <c r="AD28" s="30"/>
    </row>
    <row r="29" spans="1:30" s="8" customFormat="1" ht="15">
      <c r="A29" s="120"/>
      <c r="B29" s="125"/>
      <c r="C29" s="352">
        <v>46</v>
      </c>
      <c r="D29" s="352">
        <v>248722</v>
      </c>
      <c r="E29" s="352">
        <v>4768</v>
      </c>
      <c r="F29" s="337" t="s">
        <v>208</v>
      </c>
      <c r="G29" s="331" t="s">
        <v>161</v>
      </c>
      <c r="H29" s="415">
        <v>15</v>
      </c>
      <c r="I29" s="338" t="s">
        <v>159</v>
      </c>
      <c r="J29" s="197">
        <f t="shared" si="0"/>
        <v>9.93</v>
      </c>
      <c r="K29" s="361">
        <v>41079.3875</v>
      </c>
      <c r="L29" s="361">
        <v>41079.52847222222</v>
      </c>
      <c r="M29" s="22">
        <f t="shared" si="1"/>
        <v>3.383333333360497</v>
      </c>
      <c r="N29" s="23">
        <f t="shared" si="2"/>
        <v>203</v>
      </c>
      <c r="O29" s="362" t="s">
        <v>144</v>
      </c>
      <c r="P29" s="362" t="str">
        <f t="shared" si="3"/>
        <v>--</v>
      </c>
      <c r="Q29" s="362" t="s">
        <v>160</v>
      </c>
      <c r="R29" s="362" t="s">
        <v>206</v>
      </c>
      <c r="S29" s="266">
        <f t="shared" si="4"/>
        <v>0.30000000000000004</v>
      </c>
      <c r="T29" s="270">
        <f t="shared" si="5"/>
        <v>10.069020000000002</v>
      </c>
      <c r="U29" s="276" t="str">
        <f t="shared" si="6"/>
        <v>--</v>
      </c>
      <c r="V29" s="223" t="str">
        <f t="shared" si="7"/>
        <v>--</v>
      </c>
      <c r="W29" s="284" t="str">
        <f t="shared" si="8"/>
        <v>--</v>
      </c>
      <c r="X29" s="293" t="str">
        <f t="shared" si="9"/>
        <v>--</v>
      </c>
      <c r="Y29" s="294" t="str">
        <f t="shared" si="10"/>
        <v>--</v>
      </c>
      <c r="Z29" s="301" t="str">
        <f t="shared" si="11"/>
        <v>--</v>
      </c>
      <c r="AA29" s="307" t="str">
        <f t="shared" si="12"/>
        <v>--</v>
      </c>
      <c r="AB29" s="21" t="s">
        <v>145</v>
      </c>
      <c r="AC29" s="27">
        <f t="shared" si="13"/>
        <v>10.069020000000002</v>
      </c>
      <c r="AD29" s="30"/>
    </row>
    <row r="30" spans="1:30" s="8" customFormat="1" ht="15">
      <c r="A30" s="120"/>
      <c r="B30" s="125"/>
      <c r="C30" s="352">
        <v>47</v>
      </c>
      <c r="D30" s="352">
        <v>248726</v>
      </c>
      <c r="E30" s="352">
        <v>4596</v>
      </c>
      <c r="F30" s="337" t="s">
        <v>179</v>
      </c>
      <c r="G30" s="331" t="s">
        <v>180</v>
      </c>
      <c r="H30" s="357">
        <v>15</v>
      </c>
      <c r="I30" s="338" t="s">
        <v>159</v>
      </c>
      <c r="J30" s="197">
        <f t="shared" si="0"/>
        <v>9.93</v>
      </c>
      <c r="K30" s="361">
        <v>41080.345138888886</v>
      </c>
      <c r="L30" s="361">
        <v>41080.572916666664</v>
      </c>
      <c r="M30" s="22">
        <f t="shared" si="1"/>
        <v>5.466666666674428</v>
      </c>
      <c r="N30" s="23">
        <f t="shared" si="2"/>
        <v>328</v>
      </c>
      <c r="O30" s="362" t="s">
        <v>144</v>
      </c>
      <c r="P30" s="362" t="str">
        <f t="shared" si="3"/>
        <v>--</v>
      </c>
      <c r="Q30" s="362" t="s">
        <v>160</v>
      </c>
      <c r="R30" s="362" t="s">
        <v>206</v>
      </c>
      <c r="S30" s="266">
        <f t="shared" si="4"/>
        <v>0.30000000000000004</v>
      </c>
      <c r="T30" s="270">
        <f t="shared" si="5"/>
        <v>16.295130000000004</v>
      </c>
      <c r="U30" s="276" t="str">
        <f t="shared" si="6"/>
        <v>--</v>
      </c>
      <c r="V30" s="223" t="str">
        <f t="shared" si="7"/>
        <v>--</v>
      </c>
      <c r="W30" s="284" t="str">
        <f t="shared" si="8"/>
        <v>--</v>
      </c>
      <c r="X30" s="293" t="str">
        <f t="shared" si="9"/>
        <v>--</v>
      </c>
      <c r="Y30" s="294" t="str">
        <f t="shared" si="10"/>
        <v>--</v>
      </c>
      <c r="Z30" s="301" t="str">
        <f t="shared" si="11"/>
        <v>--</v>
      </c>
      <c r="AA30" s="307" t="str">
        <f t="shared" si="12"/>
        <v>--</v>
      </c>
      <c r="AB30" s="21" t="s">
        <v>145</v>
      </c>
      <c r="AC30" s="27">
        <f t="shared" si="13"/>
        <v>16.295130000000004</v>
      </c>
      <c r="AD30" s="30"/>
    </row>
    <row r="31" spans="1:30" s="8" customFormat="1" ht="15">
      <c r="A31" s="120"/>
      <c r="B31" s="125"/>
      <c r="C31" s="352">
        <v>48</v>
      </c>
      <c r="D31" s="352">
        <v>248732</v>
      </c>
      <c r="E31" s="352">
        <v>3823</v>
      </c>
      <c r="F31" s="337" t="s">
        <v>183</v>
      </c>
      <c r="G31" s="331" t="s">
        <v>161</v>
      </c>
      <c r="H31" s="357">
        <v>7.5</v>
      </c>
      <c r="I31" s="338" t="s">
        <v>159</v>
      </c>
      <c r="J31" s="197">
        <f t="shared" si="0"/>
        <v>4.965</v>
      </c>
      <c r="K31" s="361">
        <v>41080.40972222222</v>
      </c>
      <c r="L31" s="361">
        <v>41080.43819444445</v>
      </c>
      <c r="M31" s="22">
        <f t="shared" si="1"/>
        <v>0.6833333334652707</v>
      </c>
      <c r="N31" s="23">
        <f t="shared" si="2"/>
        <v>41</v>
      </c>
      <c r="O31" s="362" t="s">
        <v>147</v>
      </c>
      <c r="P31" s="362" t="str">
        <f t="shared" si="3"/>
        <v>NO</v>
      </c>
      <c r="Q31" s="362" t="s">
        <v>160</v>
      </c>
      <c r="R31" s="362" t="s">
        <v>145</v>
      </c>
      <c r="S31" s="266">
        <f t="shared" si="4"/>
        <v>30</v>
      </c>
      <c r="T31" s="270" t="str">
        <f t="shared" si="5"/>
        <v>--</v>
      </c>
      <c r="U31" s="276" t="str">
        <f t="shared" si="6"/>
        <v>--</v>
      </c>
      <c r="V31" s="223">
        <f t="shared" si="7"/>
        <v>148.95</v>
      </c>
      <c r="W31" s="284">
        <f t="shared" si="8"/>
        <v>101.286</v>
      </c>
      <c r="X31" s="293" t="str">
        <f t="shared" si="9"/>
        <v>--</v>
      </c>
      <c r="Y31" s="294" t="str">
        <f t="shared" si="10"/>
        <v>--</v>
      </c>
      <c r="Z31" s="301" t="str">
        <f t="shared" si="11"/>
        <v>--</v>
      </c>
      <c r="AA31" s="307" t="str">
        <f t="shared" si="12"/>
        <v>--</v>
      </c>
      <c r="AB31" s="21" t="s">
        <v>145</v>
      </c>
      <c r="AC31" s="27">
        <f t="shared" si="13"/>
        <v>250.236</v>
      </c>
      <c r="AD31" s="30"/>
    </row>
    <row r="32" spans="1:30" s="8" customFormat="1" ht="15">
      <c r="A32" s="120"/>
      <c r="B32" s="125"/>
      <c r="C32" s="352">
        <v>49</v>
      </c>
      <c r="D32" s="352">
        <v>248894</v>
      </c>
      <c r="E32" s="352">
        <v>3823</v>
      </c>
      <c r="F32" s="337" t="s">
        <v>183</v>
      </c>
      <c r="G32" s="331" t="s">
        <v>161</v>
      </c>
      <c r="H32" s="357">
        <v>7.5</v>
      </c>
      <c r="I32" s="338" t="s">
        <v>159</v>
      </c>
      <c r="J32" s="197">
        <f t="shared" si="0"/>
        <v>4.965</v>
      </c>
      <c r="K32" s="361">
        <v>41080.438888888886</v>
      </c>
      <c r="L32" s="361">
        <v>41080.552083333336</v>
      </c>
      <c r="M32" s="22">
        <f t="shared" si="1"/>
        <v>2.716666666790843</v>
      </c>
      <c r="N32" s="23">
        <f t="shared" si="2"/>
        <v>163</v>
      </c>
      <c r="O32" s="362" t="s">
        <v>147</v>
      </c>
      <c r="P32" s="362" t="str">
        <f t="shared" si="3"/>
        <v>NO</v>
      </c>
      <c r="Q32" s="362" t="s">
        <v>160</v>
      </c>
      <c r="R32" s="362" t="s">
        <v>206</v>
      </c>
      <c r="S32" s="266">
        <f t="shared" si="4"/>
        <v>3</v>
      </c>
      <c r="T32" s="270" t="str">
        <f t="shared" si="5"/>
        <v>--</v>
      </c>
      <c r="U32" s="276" t="str">
        <f t="shared" si="6"/>
        <v>--</v>
      </c>
      <c r="V32" s="223">
        <f t="shared" si="7"/>
        <v>14.895</v>
      </c>
      <c r="W32" s="284">
        <f t="shared" si="8"/>
        <v>40.5144</v>
      </c>
      <c r="X32" s="293" t="str">
        <f t="shared" si="9"/>
        <v>--</v>
      </c>
      <c r="Y32" s="294" t="str">
        <f t="shared" si="10"/>
        <v>--</v>
      </c>
      <c r="Z32" s="301" t="str">
        <f t="shared" si="11"/>
        <v>--</v>
      </c>
      <c r="AA32" s="307" t="str">
        <f t="shared" si="12"/>
        <v>--</v>
      </c>
      <c r="AB32" s="21" t="s">
        <v>145</v>
      </c>
      <c r="AC32" s="27">
        <f t="shared" si="13"/>
        <v>55.409400000000005</v>
      </c>
      <c r="AD32" s="30"/>
    </row>
    <row r="33" spans="1:30" s="8" customFormat="1" ht="15">
      <c r="A33" s="120"/>
      <c r="B33" s="125"/>
      <c r="C33" s="352">
        <v>50</v>
      </c>
      <c r="D33" s="352">
        <v>248733</v>
      </c>
      <c r="E33" s="352">
        <v>578</v>
      </c>
      <c r="F33" s="337" t="s">
        <v>176</v>
      </c>
      <c r="G33" s="331" t="s">
        <v>161</v>
      </c>
      <c r="H33" s="357">
        <v>30</v>
      </c>
      <c r="I33" s="338" t="s">
        <v>177</v>
      </c>
      <c r="J33" s="197">
        <f t="shared" si="0"/>
        <v>19.86</v>
      </c>
      <c r="K33" s="361">
        <v>41083.35555555556</v>
      </c>
      <c r="L33" s="361">
        <v>41083.38402777778</v>
      </c>
      <c r="M33" s="22">
        <f t="shared" si="1"/>
        <v>0.6833333332906477</v>
      </c>
      <c r="N33" s="23">
        <f t="shared" si="2"/>
        <v>41</v>
      </c>
      <c r="O33" s="362" t="s">
        <v>147</v>
      </c>
      <c r="P33" s="362" t="str">
        <f t="shared" si="3"/>
        <v>NO</v>
      </c>
      <c r="Q33" s="362" t="s">
        <v>160</v>
      </c>
      <c r="R33" s="362" t="s">
        <v>145</v>
      </c>
      <c r="S33" s="266">
        <f t="shared" si="4"/>
        <v>30</v>
      </c>
      <c r="T33" s="270" t="str">
        <f t="shared" si="5"/>
        <v>--</v>
      </c>
      <c r="U33" s="276" t="str">
        <f t="shared" si="6"/>
        <v>--</v>
      </c>
      <c r="V33" s="223">
        <f t="shared" si="7"/>
        <v>595.8</v>
      </c>
      <c r="W33" s="284">
        <f t="shared" si="8"/>
        <v>405.144</v>
      </c>
      <c r="X33" s="293" t="str">
        <f t="shared" si="9"/>
        <v>--</v>
      </c>
      <c r="Y33" s="294" t="str">
        <f t="shared" si="10"/>
        <v>--</v>
      </c>
      <c r="Z33" s="301" t="str">
        <f t="shared" si="11"/>
        <v>--</v>
      </c>
      <c r="AA33" s="307" t="str">
        <f t="shared" si="12"/>
        <v>--</v>
      </c>
      <c r="AB33" s="21" t="s">
        <v>145</v>
      </c>
      <c r="AC33" s="27">
        <f t="shared" si="13"/>
        <v>1000.944</v>
      </c>
      <c r="AD33" s="30"/>
    </row>
    <row r="34" spans="1:30" s="8" customFormat="1" ht="15">
      <c r="A34" s="120"/>
      <c r="B34" s="125"/>
      <c r="C34" s="352">
        <v>51</v>
      </c>
      <c r="D34" s="352">
        <v>248743</v>
      </c>
      <c r="E34" s="352">
        <v>4596</v>
      </c>
      <c r="F34" s="337" t="s">
        <v>179</v>
      </c>
      <c r="G34" s="331" t="s">
        <v>180</v>
      </c>
      <c r="H34" s="357">
        <v>15</v>
      </c>
      <c r="I34" s="338" t="s">
        <v>159</v>
      </c>
      <c r="J34" s="197">
        <f aca="true" t="shared" si="14" ref="J34:J42">H34*$I$18</f>
        <v>9.93</v>
      </c>
      <c r="K34" s="361">
        <v>41084.34166666667</v>
      </c>
      <c r="L34" s="361">
        <v>41084.70763888889</v>
      </c>
      <c r="M34" s="22">
        <f t="shared" si="1"/>
        <v>8.783333333325572</v>
      </c>
      <c r="N34" s="23">
        <f t="shared" si="2"/>
        <v>527</v>
      </c>
      <c r="O34" s="362" t="s">
        <v>144</v>
      </c>
      <c r="P34" s="362" t="str">
        <f t="shared" si="3"/>
        <v>--</v>
      </c>
      <c r="Q34" s="362" t="s">
        <v>160</v>
      </c>
      <c r="R34" s="362" t="s">
        <v>206</v>
      </c>
      <c r="S34" s="266">
        <f aca="true" t="shared" si="15" ref="S34:S40">$I$19*IF(R34="SI",1,0.1)*IF(OR(O34="P",O34="RP"),0.1,1)</f>
        <v>0.30000000000000004</v>
      </c>
      <c r="T34" s="270">
        <f aca="true" t="shared" si="16" ref="T34:T40">IF(O34="P",J34*S34*ROUND(N34/60,2),"--")</f>
        <v>26.155620000000003</v>
      </c>
      <c r="U34" s="276" t="str">
        <f aca="true" t="shared" si="17" ref="U34:U40">IF(O34="RP",J34*S34*Q34/100*ROUND(N34/60,2),"--")</f>
        <v>--</v>
      </c>
      <c r="V34" s="223" t="str">
        <f aca="true" t="shared" si="18" ref="V34:V40">IF(AND(O34="F",P34="NO"),J34*S34,"--")</f>
        <v>--</v>
      </c>
      <c r="W34" s="284" t="str">
        <f aca="true" t="shared" si="19" ref="W34:W40">IF(O34="F",J34*S34*ROUND(N34/60,2),"--")</f>
        <v>--</v>
      </c>
      <c r="X34" s="293" t="str">
        <f aca="true" t="shared" si="20" ref="X34:X40">IF(AND(O34="R",P34="NO"),J34*S34*Q34/100,"--")</f>
        <v>--</v>
      </c>
      <c r="Y34" s="294" t="str">
        <f aca="true" t="shared" si="21" ref="Y34:Y40">IF(O34="R",J34*S34*ROUND(N34/60,2)*Q34/100,"--")</f>
        <v>--</v>
      </c>
      <c r="Z34" s="301" t="str">
        <f aca="true" t="shared" si="22" ref="Z34:Z40">IF(O34="RF",J34*S34*ROUND(N34/60,2),"--")</f>
        <v>--</v>
      </c>
      <c r="AA34" s="307" t="str">
        <f aca="true" t="shared" si="23" ref="AA34:AA40">IF(O34="RR",J34*S34*ROUND(N34/60,2)*Q34/100,"--")</f>
        <v>--</v>
      </c>
      <c r="AB34" s="21" t="s">
        <v>145</v>
      </c>
      <c r="AC34" s="27">
        <f aca="true" t="shared" si="24" ref="AC34:AC40">IF(F34="","",SUM(T34:AA34)*IF(AB34="SI",1,2))</f>
        <v>26.155620000000003</v>
      </c>
      <c r="AD34" s="30"/>
    </row>
    <row r="35" spans="1:30" s="8" customFormat="1" ht="15">
      <c r="A35" s="120"/>
      <c r="B35" s="125"/>
      <c r="C35" s="352">
        <v>52</v>
      </c>
      <c r="D35" s="352">
        <v>249001</v>
      </c>
      <c r="E35" s="352">
        <v>547</v>
      </c>
      <c r="F35" s="337" t="s">
        <v>178</v>
      </c>
      <c r="G35" s="331" t="s">
        <v>161</v>
      </c>
      <c r="H35" s="357">
        <v>15</v>
      </c>
      <c r="I35" s="338" t="s">
        <v>177</v>
      </c>
      <c r="J35" s="197">
        <f t="shared" si="14"/>
        <v>9.93</v>
      </c>
      <c r="K35" s="361">
        <v>41085.47708333333</v>
      </c>
      <c r="L35" s="361">
        <v>41085.48125</v>
      </c>
      <c r="M35" s="22">
        <f t="shared" si="1"/>
        <v>0.09999999997671694</v>
      </c>
      <c r="N35" s="23">
        <f t="shared" si="2"/>
        <v>6</v>
      </c>
      <c r="O35" s="362" t="s">
        <v>147</v>
      </c>
      <c r="P35" s="362" t="str">
        <f t="shared" si="3"/>
        <v>NO</v>
      </c>
      <c r="Q35" s="362" t="s">
        <v>160</v>
      </c>
      <c r="R35" s="362" t="s">
        <v>145</v>
      </c>
      <c r="S35" s="266">
        <f t="shared" si="15"/>
        <v>30</v>
      </c>
      <c r="T35" s="270" t="str">
        <f t="shared" si="16"/>
        <v>--</v>
      </c>
      <c r="U35" s="276" t="str">
        <f t="shared" si="17"/>
        <v>--</v>
      </c>
      <c r="V35" s="223">
        <f t="shared" si="18"/>
        <v>297.9</v>
      </c>
      <c r="W35" s="284">
        <f t="shared" si="19"/>
        <v>29.79</v>
      </c>
      <c r="X35" s="293" t="str">
        <f t="shared" si="20"/>
        <v>--</v>
      </c>
      <c r="Y35" s="294" t="str">
        <f t="shared" si="21"/>
        <v>--</v>
      </c>
      <c r="Z35" s="301" t="str">
        <f t="shared" si="22"/>
        <v>--</v>
      </c>
      <c r="AA35" s="307" t="str">
        <f t="shared" si="23"/>
        <v>--</v>
      </c>
      <c r="AB35" s="21" t="s">
        <v>145</v>
      </c>
      <c r="AC35" s="27">
        <f t="shared" si="24"/>
        <v>327.69</v>
      </c>
      <c r="AD35" s="30"/>
    </row>
    <row r="36" spans="1:30" s="8" customFormat="1" ht="15">
      <c r="A36" s="120"/>
      <c r="B36" s="125"/>
      <c r="C36" s="352">
        <v>53</v>
      </c>
      <c r="D36" s="352">
        <v>249002</v>
      </c>
      <c r="E36" s="352">
        <v>2731</v>
      </c>
      <c r="F36" s="337" t="s">
        <v>184</v>
      </c>
      <c r="G36" s="331" t="s">
        <v>161</v>
      </c>
      <c r="H36" s="357">
        <v>30</v>
      </c>
      <c r="I36" s="338" t="s">
        <v>159</v>
      </c>
      <c r="J36" s="197">
        <f t="shared" si="14"/>
        <v>19.86</v>
      </c>
      <c r="K36" s="361">
        <v>41086.35625</v>
      </c>
      <c r="L36" s="361">
        <v>41086.51388888889</v>
      </c>
      <c r="M36" s="22">
        <f t="shared" si="1"/>
        <v>3.7833333334419876</v>
      </c>
      <c r="N36" s="23">
        <f t="shared" si="2"/>
        <v>227</v>
      </c>
      <c r="O36" s="362" t="s">
        <v>144</v>
      </c>
      <c r="P36" s="362" t="str">
        <f t="shared" si="3"/>
        <v>--</v>
      </c>
      <c r="Q36" s="362" t="s">
        <v>160</v>
      </c>
      <c r="R36" s="362" t="s">
        <v>206</v>
      </c>
      <c r="S36" s="266">
        <f t="shared" si="15"/>
        <v>0.30000000000000004</v>
      </c>
      <c r="T36" s="270">
        <f t="shared" si="16"/>
        <v>22.521240000000002</v>
      </c>
      <c r="U36" s="276" t="str">
        <f t="shared" si="17"/>
        <v>--</v>
      </c>
      <c r="V36" s="223" t="str">
        <f t="shared" si="18"/>
        <v>--</v>
      </c>
      <c r="W36" s="284" t="str">
        <f t="shared" si="19"/>
        <v>--</v>
      </c>
      <c r="X36" s="293" t="str">
        <f t="shared" si="20"/>
        <v>--</v>
      </c>
      <c r="Y36" s="294" t="str">
        <f t="shared" si="21"/>
        <v>--</v>
      </c>
      <c r="Z36" s="301" t="str">
        <f t="shared" si="22"/>
        <v>--</v>
      </c>
      <c r="AA36" s="307" t="str">
        <f t="shared" si="23"/>
        <v>--</v>
      </c>
      <c r="AB36" s="21" t="s">
        <v>145</v>
      </c>
      <c r="AC36" s="27">
        <f t="shared" si="24"/>
        <v>22.521240000000002</v>
      </c>
      <c r="AD36" s="30"/>
    </row>
    <row r="37" spans="1:30" s="8" customFormat="1" ht="15">
      <c r="A37" s="120"/>
      <c r="B37" s="125"/>
      <c r="C37" s="352">
        <v>54</v>
      </c>
      <c r="D37" s="352">
        <v>249007</v>
      </c>
      <c r="E37" s="352">
        <v>4989</v>
      </c>
      <c r="F37" s="337" t="s">
        <v>209</v>
      </c>
      <c r="G37" s="331" t="s">
        <v>172</v>
      </c>
      <c r="H37" s="415">
        <v>30</v>
      </c>
      <c r="I37" s="338" t="s">
        <v>159</v>
      </c>
      <c r="J37" s="197">
        <f t="shared" si="14"/>
        <v>19.86</v>
      </c>
      <c r="K37" s="361">
        <v>41087.402083333334</v>
      </c>
      <c r="L37" s="361">
        <v>41087.40972222222</v>
      </c>
      <c r="M37" s="22">
        <f t="shared" si="1"/>
        <v>0.18333333323244005</v>
      </c>
      <c r="N37" s="23">
        <f t="shared" si="2"/>
        <v>11</v>
      </c>
      <c r="O37" s="362" t="s">
        <v>147</v>
      </c>
      <c r="P37" s="362" t="str">
        <f t="shared" si="3"/>
        <v>NO</v>
      </c>
      <c r="Q37" s="362" t="s">
        <v>160</v>
      </c>
      <c r="R37" s="362" t="s">
        <v>145</v>
      </c>
      <c r="S37" s="266">
        <f t="shared" si="15"/>
        <v>30</v>
      </c>
      <c r="T37" s="270" t="str">
        <f t="shared" si="16"/>
        <v>--</v>
      </c>
      <c r="U37" s="276" t="str">
        <f t="shared" si="17"/>
        <v>--</v>
      </c>
      <c r="V37" s="223">
        <f t="shared" si="18"/>
        <v>595.8</v>
      </c>
      <c r="W37" s="284">
        <f t="shared" si="19"/>
        <v>107.24399999999999</v>
      </c>
      <c r="X37" s="293" t="str">
        <f t="shared" si="20"/>
        <v>--</v>
      </c>
      <c r="Y37" s="294" t="str">
        <f t="shared" si="21"/>
        <v>--</v>
      </c>
      <c r="Z37" s="301" t="str">
        <f t="shared" si="22"/>
        <v>--</v>
      </c>
      <c r="AA37" s="307" t="str">
        <f t="shared" si="23"/>
        <v>--</v>
      </c>
      <c r="AB37" s="21" t="s">
        <v>145</v>
      </c>
      <c r="AC37" s="27">
        <f t="shared" si="24"/>
        <v>703.044</v>
      </c>
      <c r="AD37" s="30"/>
    </row>
    <row r="38" spans="1:30" s="8" customFormat="1" ht="15">
      <c r="A38" s="120"/>
      <c r="B38" s="125"/>
      <c r="C38" s="352">
        <v>55</v>
      </c>
      <c r="D38" s="352">
        <v>249010</v>
      </c>
      <c r="E38" s="352">
        <v>5140</v>
      </c>
      <c r="F38" s="337" t="s">
        <v>207</v>
      </c>
      <c r="G38" s="331" t="s">
        <v>161</v>
      </c>
      <c r="H38" s="415">
        <v>30</v>
      </c>
      <c r="I38" s="338" t="s">
        <v>159</v>
      </c>
      <c r="J38" s="197">
        <f t="shared" si="14"/>
        <v>19.86</v>
      </c>
      <c r="K38" s="361">
        <v>41088.39513888889</v>
      </c>
      <c r="L38" s="361">
        <v>41088.77291666667</v>
      </c>
      <c r="M38" s="22">
        <f t="shared" si="1"/>
        <v>9.066666666709352</v>
      </c>
      <c r="N38" s="23">
        <f t="shared" si="2"/>
        <v>544</v>
      </c>
      <c r="O38" s="362" t="s">
        <v>144</v>
      </c>
      <c r="P38" s="362" t="str">
        <f t="shared" si="3"/>
        <v>--</v>
      </c>
      <c r="Q38" s="362" t="s">
        <v>160</v>
      </c>
      <c r="R38" s="362" t="s">
        <v>206</v>
      </c>
      <c r="S38" s="266">
        <f t="shared" si="15"/>
        <v>0.30000000000000004</v>
      </c>
      <c r="T38" s="270">
        <f t="shared" si="16"/>
        <v>54.03906000000001</v>
      </c>
      <c r="U38" s="276" t="str">
        <f t="shared" si="17"/>
        <v>--</v>
      </c>
      <c r="V38" s="223" t="str">
        <f t="shared" si="18"/>
        <v>--</v>
      </c>
      <c r="W38" s="284" t="str">
        <f t="shared" si="19"/>
        <v>--</v>
      </c>
      <c r="X38" s="293" t="str">
        <f t="shared" si="20"/>
        <v>--</v>
      </c>
      <c r="Y38" s="294" t="str">
        <f t="shared" si="21"/>
        <v>--</v>
      </c>
      <c r="Z38" s="301" t="str">
        <f t="shared" si="22"/>
        <v>--</v>
      </c>
      <c r="AA38" s="307" t="str">
        <f t="shared" si="23"/>
        <v>--</v>
      </c>
      <c r="AB38" s="21" t="s">
        <v>145</v>
      </c>
      <c r="AC38" s="27">
        <f t="shared" si="24"/>
        <v>54.03906000000001</v>
      </c>
      <c r="AD38" s="30"/>
    </row>
    <row r="39" spans="1:30" s="8" customFormat="1" ht="15">
      <c r="A39" s="120"/>
      <c r="B39" s="125"/>
      <c r="C39" s="352">
        <v>56</v>
      </c>
      <c r="D39" s="352">
        <v>249016</v>
      </c>
      <c r="E39" s="352">
        <v>5140</v>
      </c>
      <c r="F39" s="337" t="s">
        <v>207</v>
      </c>
      <c r="G39" s="331" t="s">
        <v>161</v>
      </c>
      <c r="H39" s="415">
        <v>30</v>
      </c>
      <c r="I39" s="338" t="s">
        <v>159</v>
      </c>
      <c r="J39" s="197">
        <f t="shared" si="14"/>
        <v>19.86</v>
      </c>
      <c r="K39" s="361">
        <v>41089.39375</v>
      </c>
      <c r="L39" s="361">
        <v>41089.59305555555</v>
      </c>
      <c r="M39" s="22">
        <f t="shared" si="1"/>
        <v>4.783333333209157</v>
      </c>
      <c r="N39" s="23">
        <f t="shared" si="2"/>
        <v>287</v>
      </c>
      <c r="O39" s="362" t="s">
        <v>144</v>
      </c>
      <c r="P39" s="362" t="str">
        <f t="shared" si="3"/>
        <v>--</v>
      </c>
      <c r="Q39" s="362" t="s">
        <v>160</v>
      </c>
      <c r="R39" s="362" t="s">
        <v>206</v>
      </c>
      <c r="S39" s="266">
        <f t="shared" si="15"/>
        <v>0.30000000000000004</v>
      </c>
      <c r="T39" s="270">
        <f t="shared" si="16"/>
        <v>28.479240000000008</v>
      </c>
      <c r="U39" s="276" t="str">
        <f t="shared" si="17"/>
        <v>--</v>
      </c>
      <c r="V39" s="223" t="str">
        <f t="shared" si="18"/>
        <v>--</v>
      </c>
      <c r="W39" s="284" t="str">
        <f t="shared" si="19"/>
        <v>--</v>
      </c>
      <c r="X39" s="293" t="str">
        <f t="shared" si="20"/>
        <v>--</v>
      </c>
      <c r="Y39" s="294" t="str">
        <f t="shared" si="21"/>
        <v>--</v>
      </c>
      <c r="Z39" s="301" t="str">
        <f t="shared" si="22"/>
        <v>--</v>
      </c>
      <c r="AA39" s="307" t="str">
        <f t="shared" si="23"/>
        <v>--</v>
      </c>
      <c r="AB39" s="21" t="s">
        <v>145</v>
      </c>
      <c r="AC39" s="27">
        <f t="shared" si="24"/>
        <v>28.479240000000008</v>
      </c>
      <c r="AD39" s="30"/>
    </row>
    <row r="40" spans="1:30" s="8" customFormat="1" ht="15">
      <c r="A40" s="120"/>
      <c r="B40" s="125"/>
      <c r="C40" s="352">
        <v>57</v>
      </c>
      <c r="D40" s="352">
        <v>249017</v>
      </c>
      <c r="E40" s="352">
        <v>3836</v>
      </c>
      <c r="F40" s="337" t="s">
        <v>162</v>
      </c>
      <c r="G40" s="331" t="s">
        <v>161</v>
      </c>
      <c r="H40" s="357">
        <v>15</v>
      </c>
      <c r="I40" s="338" t="s">
        <v>159</v>
      </c>
      <c r="J40" s="197">
        <f t="shared" si="14"/>
        <v>9.93</v>
      </c>
      <c r="K40" s="361">
        <v>41090.32152777778</v>
      </c>
      <c r="L40" s="361">
        <v>41090.48541666667</v>
      </c>
      <c r="M40" s="22">
        <f t="shared" si="1"/>
        <v>3.933333333407063</v>
      </c>
      <c r="N40" s="23">
        <f t="shared" si="2"/>
        <v>236</v>
      </c>
      <c r="O40" s="362" t="s">
        <v>144</v>
      </c>
      <c r="P40" s="362" t="str">
        <f t="shared" si="3"/>
        <v>--</v>
      </c>
      <c r="Q40" s="362" t="s">
        <v>160</v>
      </c>
      <c r="R40" s="362" t="s">
        <v>206</v>
      </c>
      <c r="S40" s="266">
        <f t="shared" si="15"/>
        <v>0.30000000000000004</v>
      </c>
      <c r="T40" s="270">
        <f t="shared" si="16"/>
        <v>11.707470000000002</v>
      </c>
      <c r="U40" s="276" t="str">
        <f t="shared" si="17"/>
        <v>--</v>
      </c>
      <c r="V40" s="223" t="str">
        <f t="shared" si="18"/>
        <v>--</v>
      </c>
      <c r="W40" s="284" t="str">
        <f t="shared" si="19"/>
        <v>--</v>
      </c>
      <c r="X40" s="293" t="str">
        <f t="shared" si="20"/>
        <v>--</v>
      </c>
      <c r="Y40" s="294" t="str">
        <f t="shared" si="21"/>
        <v>--</v>
      </c>
      <c r="Z40" s="301" t="str">
        <f t="shared" si="22"/>
        <v>--</v>
      </c>
      <c r="AA40" s="307" t="str">
        <f t="shared" si="23"/>
        <v>--</v>
      </c>
      <c r="AB40" s="21" t="s">
        <v>145</v>
      </c>
      <c r="AC40" s="27">
        <f t="shared" si="24"/>
        <v>11.707470000000002</v>
      </c>
      <c r="AD40" s="30"/>
    </row>
    <row r="41" spans="1:30" s="8" customFormat="1" ht="15">
      <c r="A41" s="120"/>
      <c r="B41" s="125"/>
      <c r="C41" s="352"/>
      <c r="D41" s="352"/>
      <c r="E41" s="352"/>
      <c r="F41" s="337"/>
      <c r="G41" s="331"/>
      <c r="H41" s="357"/>
      <c r="I41" s="338"/>
      <c r="J41" s="197"/>
      <c r="K41" s="361"/>
      <c r="L41" s="361"/>
      <c r="M41" s="22"/>
      <c r="N41" s="23"/>
      <c r="O41" s="362"/>
      <c r="P41" s="362"/>
      <c r="Q41" s="363"/>
      <c r="R41" s="362"/>
      <c r="S41" s="266"/>
      <c r="T41" s="270"/>
      <c r="U41" s="276"/>
      <c r="V41" s="223"/>
      <c r="W41" s="284"/>
      <c r="X41" s="293"/>
      <c r="Y41" s="294"/>
      <c r="Z41" s="301"/>
      <c r="AA41" s="307"/>
      <c r="AB41" s="21"/>
      <c r="AC41" s="27"/>
      <c r="AD41" s="30"/>
    </row>
    <row r="42" spans="1:30" s="8" customFormat="1" ht="15">
      <c r="A42" s="120"/>
      <c r="B42" s="125"/>
      <c r="C42" s="416"/>
      <c r="D42" s="416"/>
      <c r="E42" s="416"/>
      <c r="F42" s="337"/>
      <c r="G42" s="337"/>
      <c r="H42" s="357"/>
      <c r="I42" s="338"/>
      <c r="J42" s="417">
        <f t="shared" si="14"/>
        <v>0</v>
      </c>
      <c r="K42" s="370"/>
      <c r="L42" s="370"/>
      <c r="M42" s="418"/>
      <c r="N42" s="419"/>
      <c r="O42" s="420"/>
      <c r="P42" s="420"/>
      <c r="Q42" s="421"/>
      <c r="R42" s="420"/>
      <c r="S42" s="422">
        <f>$I$19*IF(R42="SI",1,0.1)*IF(OR(O42="P",O42="RP"),0.1,1)</f>
        <v>3</v>
      </c>
      <c r="T42" s="423" t="str">
        <f>IF(O42="P",J42*S42*ROUND(N42/60,2),"--")</f>
        <v>--</v>
      </c>
      <c r="U42" s="424" t="str">
        <f>IF(O42="RP",J42*S42*Q42/100*ROUND(N42/60,2),"--")</f>
        <v>--</v>
      </c>
      <c r="V42" s="425" t="str">
        <f>IF(AND(O42="F",P42="NO"),J42*S42,"--")</f>
        <v>--</v>
      </c>
      <c r="W42" s="426" t="str">
        <f>IF(O42="F",J42*S42*ROUND(N42/60,2),"--")</f>
        <v>--</v>
      </c>
      <c r="X42" s="427" t="str">
        <f>IF(AND(O42="R",P42="NO"),J42*S42*Q42/100,"--")</f>
        <v>--</v>
      </c>
      <c r="Y42" s="428" t="str">
        <f>IF(O42="R",J42*S42*ROUND(N42/60,2)*Q42/100,"--")</f>
        <v>--</v>
      </c>
      <c r="Z42" s="429" t="str">
        <f>IF(O42="RF",J42*S42*ROUND(N42/60,2),"--")</f>
        <v>--</v>
      </c>
      <c r="AA42" s="430" t="str">
        <f>IF(O42="RR",J42*S42*ROUND(N42/60,2)*Q42/100,"--")</f>
        <v>--</v>
      </c>
      <c r="AB42" s="431"/>
      <c r="AC42" s="432"/>
      <c r="AD42" s="30"/>
    </row>
    <row r="43" spans="1:30" s="8" customFormat="1" ht="15.75" thickBot="1">
      <c r="A43" s="120"/>
      <c r="B43" s="125"/>
      <c r="C43" s="359"/>
      <c r="D43" s="359"/>
      <c r="E43" s="359"/>
      <c r="F43" s="359"/>
      <c r="G43" s="359"/>
      <c r="H43" s="359"/>
      <c r="I43" s="359"/>
      <c r="J43" s="201"/>
      <c r="K43" s="359"/>
      <c r="L43" s="359"/>
      <c r="M43" s="24"/>
      <c r="N43" s="24"/>
      <c r="O43" s="359"/>
      <c r="P43" s="359"/>
      <c r="Q43" s="359"/>
      <c r="R43" s="359"/>
      <c r="S43" s="262"/>
      <c r="T43" s="271"/>
      <c r="U43" s="277"/>
      <c r="V43" s="280"/>
      <c r="W43" s="281"/>
      <c r="X43" s="295"/>
      <c r="Y43" s="296"/>
      <c r="Z43" s="302"/>
      <c r="AA43" s="308"/>
      <c r="AB43" s="24"/>
      <c r="AC43" s="204"/>
      <c r="AD43" s="30"/>
    </row>
    <row r="44" spans="1:30" s="8" customFormat="1" ht="17.25" thickBot="1" thickTop="1">
      <c r="A44" s="120"/>
      <c r="B44" s="125"/>
      <c r="C44" s="434" t="s">
        <v>204</v>
      </c>
      <c r="D44" s="433" t="s">
        <v>213</v>
      </c>
      <c r="E44" s="185"/>
      <c r="F44" s="18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72">
        <f aca="true" t="shared" si="25" ref="T44:AA44">SUM(T22:T43)</f>
        <v>193.69458000000003</v>
      </c>
      <c r="U44" s="278">
        <f t="shared" si="25"/>
        <v>14.460066000000003</v>
      </c>
      <c r="V44" s="282">
        <f t="shared" si="25"/>
        <v>1653.345</v>
      </c>
      <c r="W44" s="282">
        <f t="shared" si="25"/>
        <v>683.9784</v>
      </c>
      <c r="X44" s="297">
        <f t="shared" si="25"/>
        <v>0</v>
      </c>
      <c r="Y44" s="297">
        <f t="shared" si="25"/>
        <v>0</v>
      </c>
      <c r="Z44" s="303">
        <f t="shared" si="25"/>
        <v>0</v>
      </c>
      <c r="AA44" s="309">
        <f t="shared" si="25"/>
        <v>0</v>
      </c>
      <c r="AB44" s="205"/>
      <c r="AC44" s="132">
        <f>ROUND(SUM(AC22:AC43),2)</f>
        <v>25467.79</v>
      </c>
      <c r="AD44" s="30"/>
    </row>
    <row r="45" spans="1:30" s="8" customFormat="1" ht="13.5" thickTop="1">
      <c r="A45" s="120"/>
      <c r="B45" s="125"/>
      <c r="C45" s="185"/>
      <c r="D45" s="185"/>
      <c r="E45" s="185"/>
      <c r="F45" s="18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30"/>
    </row>
    <row r="46" spans="1:30" s="8" customFormat="1" ht="13.5" thickBot="1">
      <c r="A46" s="120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5"/>
    </row>
    <row r="47" spans="1:30" ht="16.5" customHeight="1" thickTop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"/>
    </row>
    <row r="48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2:W44"/>
  <sheetViews>
    <sheetView zoomScale="75" zoomScaleNormal="75" zoomScalePageLayoutView="0" workbookViewId="0" topLeftCell="A1">
      <selection activeCell="B37" sqref="B3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35.7109375" style="0" customWidth="1"/>
    <col min="8" max="8" width="10.7109375" style="0" customWidth="1"/>
    <col min="9" max="9" width="6.140625" style="0" hidden="1" customWidth="1"/>
    <col min="10" max="11" width="15.7109375" style="0" customWidth="1"/>
    <col min="12" max="14" width="9.7109375" style="0" customWidth="1"/>
    <col min="15" max="15" width="6.00390625" style="0" bestFit="1" customWidth="1"/>
    <col min="16" max="16" width="3.7109375" style="0" hidden="1" customWidth="1"/>
    <col min="17" max="17" width="12.28125" style="0" hidden="1" customWidth="1"/>
    <col min="18" max="18" width="5.7109375" style="0" hidden="1" customWidth="1"/>
    <col min="19" max="19" width="11.140625" style="0" hidden="1" customWidth="1"/>
    <col min="20" max="20" width="12.28125" style="0" hidden="1" customWidth="1"/>
    <col min="21" max="21" width="16.57421875" style="0" customWidth="1"/>
    <col min="22" max="22" width="15.7109375" style="0" customWidth="1"/>
    <col min="23" max="23" width="4.140625" style="0" customWidth="1"/>
  </cols>
  <sheetData>
    <row r="1" s="33" customFormat="1" ht="26.25"/>
    <row r="2" spans="2:23" s="33" customFormat="1" ht="26.25">
      <c r="B2" s="409" t="str">
        <f>+'TOT-0612'!B2</f>
        <v>ANEXO III al Memorándum  D.T.E.E.  N°  1052 / 2013</v>
      </c>
      <c r="C2" s="36"/>
      <c r="D2" s="36"/>
      <c r="E2" s="36"/>
      <c r="F2" s="36"/>
      <c r="G2" s="11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="8" customFormat="1" ht="12.75"/>
    <row r="4" spans="1:3" s="40" customFormat="1" ht="11.25">
      <c r="A4" s="410" t="s">
        <v>130</v>
      </c>
      <c r="B4" s="113"/>
      <c r="C4" s="410"/>
    </row>
    <row r="5" spans="1:3" s="40" customFormat="1" ht="11.25">
      <c r="A5" s="410" t="s">
        <v>131</v>
      </c>
      <c r="B5" s="113"/>
      <c r="C5" s="113"/>
    </row>
    <row r="6" s="8" customFormat="1" ht="16.5" customHeight="1" thickBot="1"/>
    <row r="7" spans="2:23" s="8" customFormat="1" ht="16.5" customHeight="1" thickTop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90"/>
    </row>
    <row r="8" spans="2:23" s="44" customFormat="1" ht="20.25">
      <c r="B8" s="100"/>
      <c r="C8" s="45"/>
      <c r="D8" s="45"/>
      <c r="E8" s="45"/>
      <c r="F8" s="17" t="s">
        <v>56</v>
      </c>
      <c r="G8" s="17"/>
      <c r="P8" s="45"/>
      <c r="Q8" s="45"/>
      <c r="R8" s="45"/>
      <c r="S8" s="45"/>
      <c r="T8" s="45"/>
      <c r="U8" s="45"/>
      <c r="V8" s="45"/>
      <c r="W8" s="101"/>
    </row>
    <row r="9" spans="2:23" s="8" customFormat="1" ht="16.5" customHeight="1">
      <c r="B9" s="66"/>
      <c r="C9" s="7"/>
      <c r="D9" s="7"/>
      <c r="E9" s="7"/>
      <c r="F9" s="7"/>
      <c r="G9" s="7"/>
      <c r="H9" s="7"/>
      <c r="I9" s="96"/>
      <c r="J9" s="96"/>
      <c r="K9" s="96"/>
      <c r="L9" s="96"/>
      <c r="M9" s="96"/>
      <c r="P9" s="7"/>
      <c r="Q9" s="7"/>
      <c r="R9" s="7"/>
      <c r="S9" s="7"/>
      <c r="T9" s="7"/>
      <c r="U9" s="7"/>
      <c r="V9" s="7"/>
      <c r="W9" s="9"/>
    </row>
    <row r="10" spans="2:23" s="44" customFormat="1" ht="20.25">
      <c r="B10" s="100"/>
      <c r="C10" s="45"/>
      <c r="D10" s="45"/>
      <c r="E10" s="45"/>
      <c r="F10" s="17" t="s">
        <v>57</v>
      </c>
      <c r="G10" s="17"/>
      <c r="H10" s="45"/>
      <c r="I10" s="17"/>
      <c r="J10" s="17"/>
      <c r="K10" s="17"/>
      <c r="L10" s="17"/>
      <c r="M10" s="17"/>
      <c r="P10" s="45"/>
      <c r="Q10" s="45"/>
      <c r="R10" s="45"/>
      <c r="S10" s="45"/>
      <c r="T10" s="45"/>
      <c r="U10" s="45"/>
      <c r="V10" s="45"/>
      <c r="W10" s="101"/>
    </row>
    <row r="11" spans="2:23" s="8" customFormat="1" ht="16.5" customHeight="1">
      <c r="B11" s="66"/>
      <c r="C11" s="7"/>
      <c r="D11" s="7"/>
      <c r="E11" s="7"/>
      <c r="F11" s="7"/>
      <c r="G11" s="7"/>
      <c r="H11" s="7"/>
      <c r="I11" s="96"/>
      <c r="J11" s="96"/>
      <c r="K11" s="96"/>
      <c r="L11" s="96"/>
      <c r="M11" s="96"/>
      <c r="P11" s="7"/>
      <c r="Q11" s="7"/>
      <c r="R11" s="7"/>
      <c r="S11" s="7"/>
      <c r="T11" s="7"/>
      <c r="U11" s="7"/>
      <c r="V11" s="7"/>
      <c r="W11" s="9"/>
    </row>
    <row r="12" spans="2:23" s="44" customFormat="1" ht="20.25">
      <c r="B12" s="100"/>
      <c r="C12" s="45"/>
      <c r="D12" s="45"/>
      <c r="E12" s="45"/>
      <c r="F12" s="17" t="s">
        <v>58</v>
      </c>
      <c r="G12" s="17"/>
      <c r="H12" s="45"/>
      <c r="I12" s="17"/>
      <c r="J12" s="17"/>
      <c r="K12" s="17"/>
      <c r="L12" s="17"/>
      <c r="M12" s="17"/>
      <c r="P12" s="45"/>
      <c r="Q12" s="45"/>
      <c r="R12" s="45"/>
      <c r="S12" s="45"/>
      <c r="T12" s="45"/>
      <c r="U12" s="45"/>
      <c r="V12" s="45"/>
      <c r="W12" s="101"/>
    </row>
    <row r="13" spans="2:23" s="8" customFormat="1" ht="16.5" customHeight="1">
      <c r="B13" s="66"/>
      <c r="C13" s="7"/>
      <c r="D13" s="7"/>
      <c r="E13" s="7"/>
      <c r="F13" s="98"/>
      <c r="G13" s="96"/>
      <c r="H13" s="7"/>
      <c r="I13" s="96"/>
      <c r="J13" s="96"/>
      <c r="K13" s="96"/>
      <c r="L13" s="96"/>
      <c r="M13" s="96"/>
      <c r="P13" s="7"/>
      <c r="Q13" s="7"/>
      <c r="R13" s="7"/>
      <c r="S13" s="7"/>
      <c r="T13" s="7"/>
      <c r="U13" s="7"/>
      <c r="V13" s="7"/>
      <c r="W13" s="9"/>
    </row>
    <row r="14" spans="2:23" s="51" customFormat="1" ht="19.5">
      <c r="B14" s="52" t="str">
        <f>'TOT-0612'!B14</f>
        <v>Desde el 01 al 30 de junio de 2012</v>
      </c>
      <c r="C14" s="56"/>
      <c r="D14" s="56"/>
      <c r="E14" s="56"/>
      <c r="F14" s="56"/>
      <c r="G14" s="56"/>
      <c r="H14" s="56"/>
      <c r="I14" s="56"/>
      <c r="J14" s="161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7"/>
    </row>
    <row r="15" spans="2:23" s="8" customFormat="1" ht="16.5" customHeight="1" thickBot="1">
      <c r="B15" s="66"/>
      <c r="C15" s="7"/>
      <c r="D15" s="7"/>
      <c r="E15" s="7"/>
      <c r="I15" s="91"/>
      <c r="K15" s="7"/>
      <c r="L15" s="7"/>
      <c r="M15" s="7"/>
      <c r="N15" s="91"/>
      <c r="O15" s="91"/>
      <c r="P15" s="91"/>
      <c r="Q15" s="7"/>
      <c r="R15" s="7"/>
      <c r="S15" s="7"/>
      <c r="T15" s="7"/>
      <c r="U15" s="7"/>
      <c r="V15" s="7"/>
      <c r="W15" s="9"/>
    </row>
    <row r="16" spans="2:23" s="8" customFormat="1" ht="16.5" customHeight="1" thickBot="1" thickTop="1">
      <c r="B16" s="66"/>
      <c r="C16" s="7"/>
      <c r="D16" s="7"/>
      <c r="E16" s="7"/>
      <c r="F16" s="162" t="s">
        <v>59</v>
      </c>
      <c r="G16" s="163">
        <v>8.842</v>
      </c>
      <c r="H16" s="164">
        <f>50*'TOT-0612'!B13</f>
        <v>50</v>
      </c>
      <c r="J16" s="191" t="str">
        <f>IF(H16=50," ",IF(H16=100,"  Coeficiente duplicado por tasa de falla &gt;4 Sal. x año/100 km.","REVISAR COEFICIENTE"))</f>
        <v> </v>
      </c>
      <c r="S16" s="7"/>
      <c r="T16" s="7"/>
      <c r="U16" s="7"/>
      <c r="V16" s="158"/>
      <c r="W16" s="9"/>
    </row>
    <row r="17" spans="2:23" s="8" customFormat="1" ht="16.5" customHeight="1" thickBot="1" thickTop="1">
      <c r="B17" s="66"/>
      <c r="C17" s="7"/>
      <c r="D17" s="7"/>
      <c r="E17" s="7"/>
      <c r="F17" s="165" t="s">
        <v>60</v>
      </c>
      <c r="G17" s="166">
        <v>6.635</v>
      </c>
      <c r="H17" s="167">
        <f>25*'TOT-0612'!B13</f>
        <v>25</v>
      </c>
      <c r="J17" s="191" t="str">
        <f>IF(H17=25," ",IF(H17=50,"  Coeficiente duplicado por tasa de falla &gt;4 Sal. x año/100 km.","REVISAR COEFICIENTE"))</f>
        <v> </v>
      </c>
      <c r="K17" s="92"/>
      <c r="L17" s="92"/>
      <c r="M17" s="7"/>
      <c r="P17" s="159"/>
      <c r="Q17" s="160"/>
      <c r="R17" s="84"/>
      <c r="S17" s="7"/>
      <c r="T17" s="7"/>
      <c r="U17" s="7"/>
      <c r="V17" s="158"/>
      <c r="W17" s="9"/>
    </row>
    <row r="18" spans="2:23" s="8" customFormat="1" ht="16.5" customHeight="1" thickBot="1" thickTop="1">
      <c r="B18" s="66"/>
      <c r="C18" s="7"/>
      <c r="D18" s="7"/>
      <c r="E18" s="7"/>
      <c r="F18" s="168" t="s">
        <v>61</v>
      </c>
      <c r="G18" s="166">
        <v>6.635</v>
      </c>
      <c r="H18" s="169">
        <f>20*'TOT-0612'!B13</f>
        <v>20</v>
      </c>
      <c r="J18" s="191" t="str">
        <f>IF(H18=20," ",IF(H18=40,"  Coeficiente duplicado por tasa de falla &gt;4 Sal. x año/100 km.","REVISAR COEFICIENTE"))</f>
        <v> </v>
      </c>
      <c r="K18" s="92"/>
      <c r="L18" s="92"/>
      <c r="M18" s="7"/>
      <c r="N18" s="324"/>
      <c r="O18" s="324"/>
      <c r="P18" s="322"/>
      <c r="Q18" s="323"/>
      <c r="R18" s="324"/>
      <c r="S18" s="325"/>
      <c r="T18" s="325"/>
      <c r="U18" s="326"/>
      <c r="V18" s="158"/>
      <c r="W18" s="9"/>
    </row>
    <row r="19" spans="2:23" s="8" customFormat="1" ht="16.5" customHeight="1" thickBot="1" thickTop="1">
      <c r="B19" s="66"/>
      <c r="C19" s="413">
        <v>3</v>
      </c>
      <c r="D19" s="413">
        <v>4</v>
      </c>
      <c r="E19" s="413">
        <v>5</v>
      </c>
      <c r="F19" s="413">
        <v>6</v>
      </c>
      <c r="G19" s="413">
        <v>7</v>
      </c>
      <c r="H19" s="413">
        <v>8</v>
      </c>
      <c r="I19" s="413">
        <v>9</v>
      </c>
      <c r="J19" s="413">
        <v>10</v>
      </c>
      <c r="K19" s="413">
        <v>11</v>
      </c>
      <c r="L19" s="413">
        <v>12</v>
      </c>
      <c r="M19" s="413">
        <v>13</v>
      </c>
      <c r="N19" s="413">
        <v>14</v>
      </c>
      <c r="O19" s="413">
        <v>15</v>
      </c>
      <c r="P19" s="413">
        <v>16</v>
      </c>
      <c r="Q19" s="413">
        <v>17</v>
      </c>
      <c r="R19" s="413">
        <v>18</v>
      </c>
      <c r="S19" s="413">
        <v>19</v>
      </c>
      <c r="T19" s="413">
        <v>20</v>
      </c>
      <c r="U19" s="413">
        <v>21</v>
      </c>
      <c r="V19" s="413">
        <v>22</v>
      </c>
      <c r="W19" s="9"/>
    </row>
    <row r="20" spans="2:23" s="8" customFormat="1" ht="33.75" customHeight="1" thickBot="1" thickTop="1">
      <c r="B20" s="66"/>
      <c r="C20" s="114" t="s">
        <v>23</v>
      </c>
      <c r="D20" s="114" t="s">
        <v>129</v>
      </c>
      <c r="E20" s="114" t="s">
        <v>128</v>
      </c>
      <c r="F20" s="173" t="s">
        <v>46</v>
      </c>
      <c r="G20" s="177" t="s">
        <v>47</v>
      </c>
      <c r="H20" s="178" t="s">
        <v>24</v>
      </c>
      <c r="I20" s="195" t="s">
        <v>26</v>
      </c>
      <c r="J20" s="172" t="s">
        <v>27</v>
      </c>
      <c r="K20" s="177" t="s">
        <v>28</v>
      </c>
      <c r="L20" s="179" t="s">
        <v>62</v>
      </c>
      <c r="M20" s="179" t="s">
        <v>50</v>
      </c>
      <c r="N20" s="118" t="s">
        <v>31</v>
      </c>
      <c r="O20" s="176" t="s">
        <v>51</v>
      </c>
      <c r="P20" s="310" t="s">
        <v>63</v>
      </c>
      <c r="Q20" s="311" t="s">
        <v>33</v>
      </c>
      <c r="R20" s="312" t="s">
        <v>54</v>
      </c>
      <c r="S20" s="313"/>
      <c r="T20" s="248" t="s">
        <v>37</v>
      </c>
      <c r="U20" s="175" t="s">
        <v>39</v>
      </c>
      <c r="V20" s="175" t="s">
        <v>40</v>
      </c>
      <c r="W20" s="30"/>
    </row>
    <row r="21" spans="2:23" s="8" customFormat="1" ht="16.5" customHeight="1" thickTop="1">
      <c r="B21" s="66"/>
      <c r="C21" s="355"/>
      <c r="D21" s="352"/>
      <c r="E21" s="352"/>
      <c r="F21" s="364"/>
      <c r="G21" s="365"/>
      <c r="H21" s="366"/>
      <c r="I21" s="202"/>
      <c r="J21" s="370"/>
      <c r="K21" s="372"/>
      <c r="L21" s="26"/>
      <c r="M21" s="23"/>
      <c r="N21" s="373"/>
      <c r="O21" s="373"/>
      <c r="P21" s="374"/>
      <c r="Q21" s="375"/>
      <c r="R21" s="376"/>
      <c r="S21" s="377"/>
      <c r="T21" s="378"/>
      <c r="U21" s="379"/>
      <c r="V21" s="32"/>
      <c r="W21" s="30"/>
    </row>
    <row r="22" spans="2:23" s="8" customFormat="1" ht="16.5" customHeight="1">
      <c r="B22" s="66"/>
      <c r="C22" s="355"/>
      <c r="D22" s="352"/>
      <c r="E22" s="352"/>
      <c r="F22" s="365"/>
      <c r="G22" s="365"/>
      <c r="H22" s="366"/>
      <c r="I22" s="202"/>
      <c r="J22" s="370"/>
      <c r="K22" s="372"/>
      <c r="L22" s="26"/>
      <c r="M22" s="23"/>
      <c r="N22" s="373"/>
      <c r="O22" s="373"/>
      <c r="P22" s="380"/>
      <c r="Q22" s="381"/>
      <c r="R22" s="382"/>
      <c r="S22" s="383"/>
      <c r="T22" s="384"/>
      <c r="U22" s="362"/>
      <c r="V22" s="170"/>
      <c r="W22" s="30"/>
    </row>
    <row r="23" spans="2:23" s="8" customFormat="1" ht="16.5" customHeight="1">
      <c r="B23" s="66"/>
      <c r="C23" s="355">
        <v>59</v>
      </c>
      <c r="D23" s="352">
        <v>248415</v>
      </c>
      <c r="E23" s="352">
        <v>5136</v>
      </c>
      <c r="F23" s="352" t="s">
        <v>210</v>
      </c>
      <c r="G23" s="352" t="s">
        <v>211</v>
      </c>
      <c r="H23" s="436">
        <v>33</v>
      </c>
      <c r="I23" s="202">
        <f aca="true" t="shared" si="0" ref="I23:I39">IF(OR(H23=132,H23=66),$G$16,IF(H23=33,$G$17,$G$18))</f>
        <v>6.635</v>
      </c>
      <c r="J23" s="370">
        <v>41065.39097222222</v>
      </c>
      <c r="K23" s="372">
        <v>41065.57916666667</v>
      </c>
      <c r="L23" s="26">
        <f aca="true" t="shared" si="1" ref="L23:L39">IF(F23="","",(K23-J23)*24)</f>
        <v>4.516666666720994</v>
      </c>
      <c r="M23" s="23">
        <f aca="true" t="shared" si="2" ref="M23:M39">IF(F23="","",ROUND((K23-J23)*24*60,0))</f>
        <v>271</v>
      </c>
      <c r="N23" s="373" t="s">
        <v>147</v>
      </c>
      <c r="O23" s="373" t="str">
        <f aca="true" t="shared" si="3" ref="O23:O39">IF(F23="","",IF(OR(N23="P",N23="RP"),"--","NO"))</f>
        <v>NO</v>
      </c>
      <c r="P23" s="380">
        <f aca="true" t="shared" si="4" ref="P23:P39">IF(H23&gt;33,$H$16,IF(H23=33,$H$17,$H$18))</f>
        <v>25</v>
      </c>
      <c r="Q23" s="381" t="str">
        <f aca="true" t="shared" si="5" ref="Q23:Q39">IF(N23="P",I23*P23*ROUND(M23/60,2)*0.1,"--")</f>
        <v>--</v>
      </c>
      <c r="R23" s="382">
        <f aca="true" t="shared" si="6" ref="R23:R39">IF(AND(N23="F",O23="NO"),I23*P23,"--")</f>
        <v>165.875</v>
      </c>
      <c r="S23" s="383">
        <f aca="true" t="shared" si="7" ref="S23:S39">IF(N23="F",I23*P23*ROUND(M23/60,2),"--")</f>
        <v>749.7549999999999</v>
      </c>
      <c r="T23" s="384" t="str">
        <f aca="true" t="shared" si="8" ref="T23:T39">IF(N23="RF",I23*P23*ROUND(M23/60,2),"--")</f>
        <v>--</v>
      </c>
      <c r="U23" s="362" t="s">
        <v>145</v>
      </c>
      <c r="V23" s="28">
        <f aca="true" t="shared" si="9" ref="V23:V39">IF(F23="","",SUM(Q23:T23)*IF(U23="SI",1,2)*IF(H23="500/220",0,1))</f>
        <v>915.6299999999999</v>
      </c>
      <c r="W23" s="30"/>
    </row>
    <row r="24" spans="2:23" s="8" customFormat="1" ht="16.5" customHeight="1">
      <c r="B24" s="66"/>
      <c r="C24" s="355">
        <v>60</v>
      </c>
      <c r="D24" s="352">
        <v>248427</v>
      </c>
      <c r="E24" s="352">
        <v>3682</v>
      </c>
      <c r="F24" s="352" t="s">
        <v>173</v>
      </c>
      <c r="G24" s="352" t="s">
        <v>185</v>
      </c>
      <c r="H24" s="436">
        <v>13.199999809265137</v>
      </c>
      <c r="I24" s="202">
        <f t="shared" si="0"/>
        <v>6.635</v>
      </c>
      <c r="J24" s="370">
        <v>41070.39444444444</v>
      </c>
      <c r="K24" s="372">
        <v>41070.59097222222</v>
      </c>
      <c r="L24" s="26">
        <f t="shared" si="1"/>
        <v>4.716666666674428</v>
      </c>
      <c r="M24" s="23">
        <f t="shared" si="2"/>
        <v>283</v>
      </c>
      <c r="N24" s="373" t="s">
        <v>144</v>
      </c>
      <c r="O24" s="373" t="str">
        <f t="shared" si="3"/>
        <v>--</v>
      </c>
      <c r="P24" s="380">
        <f t="shared" si="4"/>
        <v>20</v>
      </c>
      <c r="Q24" s="381">
        <f t="shared" si="5"/>
        <v>62.6344</v>
      </c>
      <c r="R24" s="382" t="str">
        <f t="shared" si="6"/>
        <v>--</v>
      </c>
      <c r="S24" s="383" t="str">
        <f t="shared" si="7"/>
        <v>--</v>
      </c>
      <c r="T24" s="384" t="str">
        <f t="shared" si="8"/>
        <v>--</v>
      </c>
      <c r="U24" s="362" t="s">
        <v>145</v>
      </c>
      <c r="V24" s="28">
        <f t="shared" si="9"/>
        <v>62.6344</v>
      </c>
      <c r="W24" s="30"/>
    </row>
    <row r="25" spans="2:23" s="8" customFormat="1" ht="16.5" customHeight="1">
      <c r="B25" s="66"/>
      <c r="C25" s="355">
        <v>61</v>
      </c>
      <c r="D25" s="352">
        <v>248428</v>
      </c>
      <c r="E25" s="352">
        <v>3680</v>
      </c>
      <c r="F25" s="352" t="s">
        <v>171</v>
      </c>
      <c r="G25" s="352" t="s">
        <v>186</v>
      </c>
      <c r="H25" s="436">
        <v>33</v>
      </c>
      <c r="I25" s="202">
        <f t="shared" si="0"/>
        <v>6.635</v>
      </c>
      <c r="J25" s="370">
        <v>41070.39444444444</v>
      </c>
      <c r="K25" s="372">
        <v>41070.59097222222</v>
      </c>
      <c r="L25" s="26">
        <f t="shared" si="1"/>
        <v>4.716666666674428</v>
      </c>
      <c r="M25" s="23">
        <f t="shared" si="2"/>
        <v>283</v>
      </c>
      <c r="N25" s="373" t="s">
        <v>144</v>
      </c>
      <c r="O25" s="373" t="str">
        <f t="shared" si="3"/>
        <v>--</v>
      </c>
      <c r="P25" s="380">
        <f t="shared" si="4"/>
        <v>25</v>
      </c>
      <c r="Q25" s="381">
        <f t="shared" si="5"/>
        <v>78.293</v>
      </c>
      <c r="R25" s="382" t="str">
        <f t="shared" si="6"/>
        <v>--</v>
      </c>
      <c r="S25" s="383" t="str">
        <f t="shared" si="7"/>
        <v>--</v>
      </c>
      <c r="T25" s="384" t="str">
        <f t="shared" si="8"/>
        <v>--</v>
      </c>
      <c r="U25" s="362" t="s">
        <v>145</v>
      </c>
      <c r="V25" s="28">
        <f t="shared" si="9"/>
        <v>78.293</v>
      </c>
      <c r="W25" s="30"/>
    </row>
    <row r="26" spans="2:23" s="8" customFormat="1" ht="16.5" customHeight="1">
      <c r="B26" s="66"/>
      <c r="C26" s="355">
        <v>62</v>
      </c>
      <c r="D26" s="352">
        <v>248429</v>
      </c>
      <c r="E26" s="352">
        <v>3672</v>
      </c>
      <c r="F26" s="352" t="s">
        <v>173</v>
      </c>
      <c r="G26" s="352" t="s">
        <v>187</v>
      </c>
      <c r="H26" s="436">
        <v>13.199999809265137</v>
      </c>
      <c r="I26" s="202">
        <f t="shared" si="0"/>
        <v>6.635</v>
      </c>
      <c r="J26" s="370">
        <v>41070.39444444444</v>
      </c>
      <c r="K26" s="372">
        <v>41070.59097222222</v>
      </c>
      <c r="L26" s="26">
        <f t="shared" si="1"/>
        <v>4.716666666674428</v>
      </c>
      <c r="M26" s="23">
        <f t="shared" si="2"/>
        <v>283</v>
      </c>
      <c r="N26" s="373" t="s">
        <v>144</v>
      </c>
      <c r="O26" s="373" t="str">
        <f t="shared" si="3"/>
        <v>--</v>
      </c>
      <c r="P26" s="380">
        <f t="shared" si="4"/>
        <v>20</v>
      </c>
      <c r="Q26" s="381">
        <f t="shared" si="5"/>
        <v>62.6344</v>
      </c>
      <c r="R26" s="382" t="str">
        <f t="shared" si="6"/>
        <v>--</v>
      </c>
      <c r="S26" s="383" t="str">
        <f t="shared" si="7"/>
        <v>--</v>
      </c>
      <c r="T26" s="384" t="str">
        <f t="shared" si="8"/>
        <v>--</v>
      </c>
      <c r="U26" s="362" t="s">
        <v>145</v>
      </c>
      <c r="V26" s="28">
        <f t="shared" si="9"/>
        <v>62.6344</v>
      </c>
      <c r="W26" s="30"/>
    </row>
    <row r="27" spans="2:23" s="8" customFormat="1" ht="16.5" customHeight="1">
      <c r="B27" s="66"/>
      <c r="C27" s="355">
        <v>63</v>
      </c>
      <c r="D27" s="352">
        <v>248430</v>
      </c>
      <c r="E27" s="352">
        <v>3586</v>
      </c>
      <c r="F27" s="352" t="s">
        <v>171</v>
      </c>
      <c r="G27" s="352" t="s">
        <v>188</v>
      </c>
      <c r="H27" s="436">
        <v>13.199999809265137</v>
      </c>
      <c r="I27" s="202">
        <f t="shared" si="0"/>
        <v>6.635</v>
      </c>
      <c r="J27" s="370">
        <v>41070.39444444444</v>
      </c>
      <c r="K27" s="372">
        <v>41070.59097222222</v>
      </c>
      <c r="L27" s="26">
        <f t="shared" si="1"/>
        <v>4.716666666674428</v>
      </c>
      <c r="M27" s="23">
        <f t="shared" si="2"/>
        <v>283</v>
      </c>
      <c r="N27" s="373" t="s">
        <v>144</v>
      </c>
      <c r="O27" s="373" t="str">
        <f t="shared" si="3"/>
        <v>--</v>
      </c>
      <c r="P27" s="380">
        <f t="shared" si="4"/>
        <v>20</v>
      </c>
      <c r="Q27" s="381">
        <f t="shared" si="5"/>
        <v>62.6344</v>
      </c>
      <c r="R27" s="382" t="str">
        <f t="shared" si="6"/>
        <v>--</v>
      </c>
      <c r="S27" s="383" t="str">
        <f t="shared" si="7"/>
        <v>--</v>
      </c>
      <c r="T27" s="384" t="str">
        <f t="shared" si="8"/>
        <v>--</v>
      </c>
      <c r="U27" s="362" t="s">
        <v>145</v>
      </c>
      <c r="V27" s="28">
        <f t="shared" si="9"/>
        <v>62.6344</v>
      </c>
      <c r="W27" s="30"/>
    </row>
    <row r="28" spans="2:23" s="8" customFormat="1" ht="16.5" customHeight="1">
      <c r="B28" s="66"/>
      <c r="C28" s="355">
        <v>64</v>
      </c>
      <c r="D28" s="352">
        <v>248431</v>
      </c>
      <c r="E28" s="352">
        <v>3587</v>
      </c>
      <c r="F28" s="352" t="s">
        <v>171</v>
      </c>
      <c r="G28" s="352" t="s">
        <v>189</v>
      </c>
      <c r="H28" s="436">
        <v>13.199999809265137</v>
      </c>
      <c r="I28" s="202">
        <f t="shared" si="0"/>
        <v>6.635</v>
      </c>
      <c r="J28" s="370">
        <v>41070.39444444444</v>
      </c>
      <c r="K28" s="372">
        <v>41070.59097222222</v>
      </c>
      <c r="L28" s="26">
        <f t="shared" si="1"/>
        <v>4.716666666674428</v>
      </c>
      <c r="M28" s="23">
        <f t="shared" si="2"/>
        <v>283</v>
      </c>
      <c r="N28" s="373" t="s">
        <v>144</v>
      </c>
      <c r="O28" s="373" t="str">
        <f t="shared" si="3"/>
        <v>--</v>
      </c>
      <c r="P28" s="380">
        <f t="shared" si="4"/>
        <v>20</v>
      </c>
      <c r="Q28" s="381">
        <f t="shared" si="5"/>
        <v>62.6344</v>
      </c>
      <c r="R28" s="382" t="str">
        <f t="shared" si="6"/>
        <v>--</v>
      </c>
      <c r="S28" s="383" t="str">
        <f t="shared" si="7"/>
        <v>--</v>
      </c>
      <c r="T28" s="384" t="str">
        <f t="shared" si="8"/>
        <v>--</v>
      </c>
      <c r="U28" s="362" t="s">
        <v>145</v>
      </c>
      <c r="V28" s="28">
        <f t="shared" si="9"/>
        <v>62.6344</v>
      </c>
      <c r="W28" s="30"/>
    </row>
    <row r="29" spans="2:23" s="8" customFormat="1" ht="16.5" customHeight="1">
      <c r="B29" s="66"/>
      <c r="C29" s="355">
        <v>65</v>
      </c>
      <c r="D29" s="352">
        <v>248432</v>
      </c>
      <c r="E29" s="352">
        <v>3588</v>
      </c>
      <c r="F29" s="352" t="s">
        <v>171</v>
      </c>
      <c r="G29" s="352" t="s">
        <v>190</v>
      </c>
      <c r="H29" s="436">
        <v>13.199999809265137</v>
      </c>
      <c r="I29" s="202">
        <f t="shared" si="0"/>
        <v>6.635</v>
      </c>
      <c r="J29" s="370">
        <v>41070.39444444444</v>
      </c>
      <c r="K29" s="372">
        <v>41070.59097222222</v>
      </c>
      <c r="L29" s="26">
        <f t="shared" si="1"/>
        <v>4.716666666674428</v>
      </c>
      <c r="M29" s="23">
        <f t="shared" si="2"/>
        <v>283</v>
      </c>
      <c r="N29" s="373" t="s">
        <v>144</v>
      </c>
      <c r="O29" s="373" t="str">
        <f t="shared" si="3"/>
        <v>--</v>
      </c>
      <c r="P29" s="380">
        <f t="shared" si="4"/>
        <v>20</v>
      </c>
      <c r="Q29" s="381">
        <f t="shared" si="5"/>
        <v>62.6344</v>
      </c>
      <c r="R29" s="382" t="str">
        <f t="shared" si="6"/>
        <v>--</v>
      </c>
      <c r="S29" s="383" t="str">
        <f t="shared" si="7"/>
        <v>--</v>
      </c>
      <c r="T29" s="384" t="str">
        <f t="shared" si="8"/>
        <v>--</v>
      </c>
      <c r="U29" s="362" t="s">
        <v>145</v>
      </c>
      <c r="V29" s="28">
        <f t="shared" si="9"/>
        <v>62.6344</v>
      </c>
      <c r="W29" s="30"/>
    </row>
    <row r="30" spans="2:23" s="8" customFormat="1" ht="16.5" customHeight="1">
      <c r="B30" s="66"/>
      <c r="C30" s="355">
        <v>66</v>
      </c>
      <c r="D30" s="352">
        <v>248433</v>
      </c>
      <c r="E30" s="352">
        <v>3679</v>
      </c>
      <c r="F30" s="352" t="s">
        <v>171</v>
      </c>
      <c r="G30" s="352" t="s">
        <v>191</v>
      </c>
      <c r="H30" s="436">
        <v>13.199999809265137</v>
      </c>
      <c r="I30" s="202">
        <f t="shared" si="0"/>
        <v>6.635</v>
      </c>
      <c r="J30" s="370">
        <v>41070.39444444444</v>
      </c>
      <c r="K30" s="372">
        <v>41070.59097222222</v>
      </c>
      <c r="L30" s="26">
        <f t="shared" si="1"/>
        <v>4.716666666674428</v>
      </c>
      <c r="M30" s="23">
        <f t="shared" si="2"/>
        <v>283</v>
      </c>
      <c r="N30" s="373" t="s">
        <v>144</v>
      </c>
      <c r="O30" s="373" t="str">
        <f t="shared" si="3"/>
        <v>--</v>
      </c>
      <c r="P30" s="380">
        <f t="shared" si="4"/>
        <v>20</v>
      </c>
      <c r="Q30" s="381">
        <f t="shared" si="5"/>
        <v>62.6344</v>
      </c>
      <c r="R30" s="382" t="str">
        <f t="shared" si="6"/>
        <v>--</v>
      </c>
      <c r="S30" s="383" t="str">
        <f t="shared" si="7"/>
        <v>--</v>
      </c>
      <c r="T30" s="384" t="str">
        <f t="shared" si="8"/>
        <v>--</v>
      </c>
      <c r="U30" s="362" t="s">
        <v>145</v>
      </c>
      <c r="V30" s="28">
        <f t="shared" si="9"/>
        <v>62.6344</v>
      </c>
      <c r="W30" s="30"/>
    </row>
    <row r="31" spans="2:23" s="8" customFormat="1" ht="16.5" customHeight="1">
      <c r="B31" s="66"/>
      <c r="C31" s="355">
        <v>67</v>
      </c>
      <c r="D31" s="352">
        <v>248434</v>
      </c>
      <c r="E31" s="352">
        <v>3683</v>
      </c>
      <c r="F31" s="352" t="s">
        <v>173</v>
      </c>
      <c r="G31" s="352" t="s">
        <v>192</v>
      </c>
      <c r="H31" s="436">
        <v>13.199999809265137</v>
      </c>
      <c r="I31" s="202">
        <f t="shared" si="0"/>
        <v>6.635</v>
      </c>
      <c r="J31" s="370">
        <v>41070.39444444444</v>
      </c>
      <c r="K31" s="372">
        <v>41070.59097222222</v>
      </c>
      <c r="L31" s="26">
        <f aca="true" t="shared" si="10" ref="L31:L38">IF(F31="","",(K31-J31)*24)</f>
        <v>4.716666666674428</v>
      </c>
      <c r="M31" s="23">
        <f aca="true" t="shared" si="11" ref="M31:M38">IF(F31="","",ROUND((K31-J31)*24*60,0))</f>
        <v>283</v>
      </c>
      <c r="N31" s="373" t="s">
        <v>144</v>
      </c>
      <c r="O31" s="373" t="str">
        <f aca="true" t="shared" si="12" ref="O31:O38">IF(F31="","",IF(OR(N31="P",N31="RP"),"--","NO"))</f>
        <v>--</v>
      </c>
      <c r="P31" s="380">
        <f aca="true" t="shared" si="13" ref="P31:P38">IF(H31&gt;33,$H$16,IF(H31=33,$H$17,$H$18))</f>
        <v>20</v>
      </c>
      <c r="Q31" s="381">
        <f aca="true" t="shared" si="14" ref="Q31:Q38">IF(N31="P",I31*P31*ROUND(M31/60,2)*0.1,"--")</f>
        <v>62.6344</v>
      </c>
      <c r="R31" s="382" t="str">
        <f aca="true" t="shared" si="15" ref="R31:R38">IF(AND(N31="F",O31="NO"),I31*P31,"--")</f>
        <v>--</v>
      </c>
      <c r="S31" s="383" t="str">
        <f aca="true" t="shared" si="16" ref="S31:S38">IF(N31="F",I31*P31*ROUND(M31/60,2),"--")</f>
        <v>--</v>
      </c>
      <c r="T31" s="384" t="str">
        <f aca="true" t="shared" si="17" ref="T31:T38">IF(N31="RF",I31*P31*ROUND(M31/60,2),"--")</f>
        <v>--</v>
      </c>
      <c r="U31" s="362" t="s">
        <v>145</v>
      </c>
      <c r="V31" s="28">
        <f aca="true" t="shared" si="18" ref="V31:V38">IF(F31="","",SUM(Q31:T31)*IF(U31="SI",1,2)*IF(H31="500/220",0,1))</f>
        <v>62.6344</v>
      </c>
      <c r="W31" s="30"/>
    </row>
    <row r="32" spans="2:23" s="8" customFormat="1" ht="16.5" customHeight="1">
      <c r="B32" s="66"/>
      <c r="C32" s="355">
        <v>68</v>
      </c>
      <c r="D32" s="352">
        <v>248435</v>
      </c>
      <c r="E32" s="352">
        <v>3620</v>
      </c>
      <c r="F32" s="352" t="s">
        <v>173</v>
      </c>
      <c r="G32" s="352" t="s">
        <v>193</v>
      </c>
      <c r="H32" s="436">
        <v>33</v>
      </c>
      <c r="I32" s="202">
        <f t="shared" si="0"/>
        <v>6.635</v>
      </c>
      <c r="J32" s="370">
        <v>41070.39444444444</v>
      </c>
      <c r="K32" s="372">
        <v>41070.59097222222</v>
      </c>
      <c r="L32" s="26">
        <f t="shared" si="10"/>
        <v>4.716666666674428</v>
      </c>
      <c r="M32" s="23">
        <f t="shared" si="11"/>
        <v>283</v>
      </c>
      <c r="N32" s="373" t="s">
        <v>144</v>
      </c>
      <c r="O32" s="373" t="str">
        <f t="shared" si="12"/>
        <v>--</v>
      </c>
      <c r="P32" s="380">
        <f t="shared" si="13"/>
        <v>25</v>
      </c>
      <c r="Q32" s="381">
        <f t="shared" si="14"/>
        <v>78.293</v>
      </c>
      <c r="R32" s="382" t="str">
        <f t="shared" si="15"/>
        <v>--</v>
      </c>
      <c r="S32" s="383" t="str">
        <f t="shared" si="16"/>
        <v>--</v>
      </c>
      <c r="T32" s="384" t="str">
        <f t="shared" si="17"/>
        <v>--</v>
      </c>
      <c r="U32" s="362" t="s">
        <v>145</v>
      </c>
      <c r="V32" s="28">
        <f t="shared" si="18"/>
        <v>78.293</v>
      </c>
      <c r="W32" s="30"/>
    </row>
    <row r="33" spans="2:23" s="8" customFormat="1" ht="16.5" customHeight="1">
      <c r="B33" s="66"/>
      <c r="C33" s="355">
        <v>69</v>
      </c>
      <c r="D33" s="352">
        <v>248442</v>
      </c>
      <c r="E33" s="352">
        <v>4690</v>
      </c>
      <c r="F33" s="352" t="s">
        <v>175</v>
      </c>
      <c r="G33" s="352" t="s">
        <v>212</v>
      </c>
      <c r="H33" s="436">
        <v>13.2</v>
      </c>
      <c r="I33" s="202">
        <f t="shared" si="0"/>
        <v>6.635</v>
      </c>
      <c r="J33" s="370">
        <v>41070.39722222222</v>
      </c>
      <c r="K33" s="372">
        <v>41070.58194444444</v>
      </c>
      <c r="L33" s="26">
        <f t="shared" si="10"/>
        <v>4.433333333290648</v>
      </c>
      <c r="M33" s="23">
        <f t="shared" si="11"/>
        <v>266</v>
      </c>
      <c r="N33" s="373" t="s">
        <v>144</v>
      </c>
      <c r="O33" s="373" t="str">
        <f t="shared" si="12"/>
        <v>--</v>
      </c>
      <c r="P33" s="380">
        <f t="shared" si="13"/>
        <v>20</v>
      </c>
      <c r="Q33" s="381">
        <f t="shared" si="14"/>
        <v>58.78609999999999</v>
      </c>
      <c r="R33" s="382" t="str">
        <f t="shared" si="15"/>
        <v>--</v>
      </c>
      <c r="S33" s="383" t="str">
        <f t="shared" si="16"/>
        <v>--</v>
      </c>
      <c r="T33" s="384" t="str">
        <f t="shared" si="17"/>
        <v>--</v>
      </c>
      <c r="U33" s="362" t="s">
        <v>145</v>
      </c>
      <c r="V33" s="28">
        <f t="shared" si="18"/>
        <v>58.78609999999999</v>
      </c>
      <c r="W33" s="30"/>
    </row>
    <row r="34" spans="2:23" s="8" customFormat="1" ht="16.5" customHeight="1">
      <c r="B34" s="66"/>
      <c r="C34" s="355">
        <v>70</v>
      </c>
      <c r="D34" s="352">
        <v>248443</v>
      </c>
      <c r="E34" s="352">
        <v>3582</v>
      </c>
      <c r="F34" s="352" t="s">
        <v>174</v>
      </c>
      <c r="G34" s="352" t="s">
        <v>194</v>
      </c>
      <c r="H34" s="436">
        <v>13.199999809265137</v>
      </c>
      <c r="I34" s="202">
        <f t="shared" si="0"/>
        <v>6.635</v>
      </c>
      <c r="J34" s="370">
        <v>41070.39722222222</v>
      </c>
      <c r="K34" s="372">
        <v>41070.58194444444</v>
      </c>
      <c r="L34" s="26">
        <f t="shared" si="10"/>
        <v>4.433333333290648</v>
      </c>
      <c r="M34" s="23">
        <f t="shared" si="11"/>
        <v>266</v>
      </c>
      <c r="N34" s="373" t="s">
        <v>144</v>
      </c>
      <c r="O34" s="373" t="str">
        <f t="shared" si="12"/>
        <v>--</v>
      </c>
      <c r="P34" s="380">
        <f t="shared" si="13"/>
        <v>20</v>
      </c>
      <c r="Q34" s="381">
        <f t="shared" si="14"/>
        <v>58.78609999999999</v>
      </c>
      <c r="R34" s="382" t="str">
        <f t="shared" si="15"/>
        <v>--</v>
      </c>
      <c r="S34" s="383" t="str">
        <f t="shared" si="16"/>
        <v>--</v>
      </c>
      <c r="T34" s="384" t="str">
        <f t="shared" si="17"/>
        <v>--</v>
      </c>
      <c r="U34" s="362" t="s">
        <v>145</v>
      </c>
      <c r="V34" s="28">
        <f t="shared" si="18"/>
        <v>58.78609999999999</v>
      </c>
      <c r="W34" s="30"/>
    </row>
    <row r="35" spans="2:23" s="8" customFormat="1" ht="16.5" customHeight="1">
      <c r="B35" s="66"/>
      <c r="C35" s="355">
        <v>71</v>
      </c>
      <c r="D35" s="352">
        <v>248444</v>
      </c>
      <c r="E35" s="352">
        <v>3583</v>
      </c>
      <c r="F35" s="352" t="s">
        <v>174</v>
      </c>
      <c r="G35" s="352" t="s">
        <v>195</v>
      </c>
      <c r="H35" s="436">
        <v>13.199999809265137</v>
      </c>
      <c r="I35" s="202">
        <f t="shared" si="0"/>
        <v>6.635</v>
      </c>
      <c r="J35" s="370">
        <v>41070.39722222222</v>
      </c>
      <c r="K35" s="372">
        <v>41070.58194444444</v>
      </c>
      <c r="L35" s="26">
        <f t="shared" si="10"/>
        <v>4.433333333290648</v>
      </c>
      <c r="M35" s="23">
        <f t="shared" si="11"/>
        <v>266</v>
      </c>
      <c r="N35" s="373" t="s">
        <v>144</v>
      </c>
      <c r="O35" s="373" t="str">
        <f t="shared" si="12"/>
        <v>--</v>
      </c>
      <c r="P35" s="380">
        <f t="shared" si="13"/>
        <v>20</v>
      </c>
      <c r="Q35" s="381">
        <f t="shared" si="14"/>
        <v>58.78609999999999</v>
      </c>
      <c r="R35" s="382" t="str">
        <f t="shared" si="15"/>
        <v>--</v>
      </c>
      <c r="S35" s="383" t="str">
        <f t="shared" si="16"/>
        <v>--</v>
      </c>
      <c r="T35" s="384" t="str">
        <f t="shared" si="17"/>
        <v>--</v>
      </c>
      <c r="U35" s="362" t="s">
        <v>145</v>
      </c>
      <c r="V35" s="28">
        <f t="shared" si="18"/>
        <v>58.78609999999999</v>
      </c>
      <c r="W35" s="30"/>
    </row>
    <row r="36" spans="2:23" s="8" customFormat="1" ht="16.5" customHeight="1">
      <c r="B36" s="66"/>
      <c r="C36" s="355">
        <v>72</v>
      </c>
      <c r="D36" s="352">
        <v>248445</v>
      </c>
      <c r="E36" s="352">
        <v>3584</v>
      </c>
      <c r="F36" s="352" t="s">
        <v>174</v>
      </c>
      <c r="G36" s="352" t="s">
        <v>196</v>
      </c>
      <c r="H36" s="436">
        <v>13.199999809265137</v>
      </c>
      <c r="I36" s="202">
        <f t="shared" si="0"/>
        <v>6.635</v>
      </c>
      <c r="J36" s="370">
        <v>41070.39722222222</v>
      </c>
      <c r="K36" s="372">
        <v>41070.58194444444</v>
      </c>
      <c r="L36" s="26">
        <f t="shared" si="10"/>
        <v>4.433333333290648</v>
      </c>
      <c r="M36" s="23">
        <f t="shared" si="11"/>
        <v>266</v>
      </c>
      <c r="N36" s="373" t="s">
        <v>144</v>
      </c>
      <c r="O36" s="373" t="str">
        <f t="shared" si="12"/>
        <v>--</v>
      </c>
      <c r="P36" s="380">
        <f t="shared" si="13"/>
        <v>20</v>
      </c>
      <c r="Q36" s="381">
        <f t="shared" si="14"/>
        <v>58.78609999999999</v>
      </c>
      <c r="R36" s="382" t="str">
        <f t="shared" si="15"/>
        <v>--</v>
      </c>
      <c r="S36" s="383" t="str">
        <f t="shared" si="16"/>
        <v>--</v>
      </c>
      <c r="T36" s="384" t="str">
        <f t="shared" si="17"/>
        <v>--</v>
      </c>
      <c r="U36" s="362" t="s">
        <v>145</v>
      </c>
      <c r="V36" s="28">
        <f t="shared" si="18"/>
        <v>58.78609999999999</v>
      </c>
      <c r="W36" s="30"/>
    </row>
    <row r="37" spans="2:23" s="8" customFormat="1" ht="16.5" customHeight="1">
      <c r="B37" s="66"/>
      <c r="C37" s="355">
        <v>73</v>
      </c>
      <c r="D37" s="352">
        <v>248446</v>
      </c>
      <c r="E37" s="352">
        <v>3735</v>
      </c>
      <c r="F37" s="352" t="s">
        <v>174</v>
      </c>
      <c r="G37" s="352" t="s">
        <v>197</v>
      </c>
      <c r="H37" s="436">
        <v>33</v>
      </c>
      <c r="I37" s="202">
        <f t="shared" si="0"/>
        <v>6.635</v>
      </c>
      <c r="J37" s="370">
        <v>41070.39722222222</v>
      </c>
      <c r="K37" s="372">
        <v>41070.58194444444</v>
      </c>
      <c r="L37" s="26">
        <f t="shared" si="10"/>
        <v>4.433333333290648</v>
      </c>
      <c r="M37" s="23">
        <f t="shared" si="11"/>
        <v>266</v>
      </c>
      <c r="N37" s="373" t="s">
        <v>144</v>
      </c>
      <c r="O37" s="373" t="str">
        <f t="shared" si="12"/>
        <v>--</v>
      </c>
      <c r="P37" s="380">
        <f t="shared" si="13"/>
        <v>25</v>
      </c>
      <c r="Q37" s="381">
        <f t="shared" si="14"/>
        <v>73.482625</v>
      </c>
      <c r="R37" s="382" t="str">
        <f t="shared" si="15"/>
        <v>--</v>
      </c>
      <c r="S37" s="383" t="str">
        <f t="shared" si="16"/>
        <v>--</v>
      </c>
      <c r="T37" s="384" t="str">
        <f t="shared" si="17"/>
        <v>--</v>
      </c>
      <c r="U37" s="362" t="s">
        <v>145</v>
      </c>
      <c r="V37" s="28">
        <f t="shared" si="18"/>
        <v>73.482625</v>
      </c>
      <c r="W37" s="30"/>
    </row>
    <row r="38" spans="2:23" s="8" customFormat="1" ht="16.5" customHeight="1">
      <c r="B38" s="66"/>
      <c r="C38" s="355">
        <v>74</v>
      </c>
      <c r="D38" s="352">
        <v>248447</v>
      </c>
      <c r="E38" s="352">
        <v>3814</v>
      </c>
      <c r="F38" s="352" t="s">
        <v>174</v>
      </c>
      <c r="G38" s="352" t="s">
        <v>198</v>
      </c>
      <c r="H38" s="436">
        <v>33</v>
      </c>
      <c r="I38" s="202">
        <f t="shared" si="0"/>
        <v>6.635</v>
      </c>
      <c r="J38" s="370">
        <v>41070.39722222222</v>
      </c>
      <c r="K38" s="372">
        <v>41070.58194444444</v>
      </c>
      <c r="L38" s="26">
        <f t="shared" si="10"/>
        <v>4.433333333290648</v>
      </c>
      <c r="M38" s="23">
        <f t="shared" si="11"/>
        <v>266</v>
      </c>
      <c r="N38" s="373" t="s">
        <v>144</v>
      </c>
      <c r="O38" s="373" t="str">
        <f t="shared" si="12"/>
        <v>--</v>
      </c>
      <c r="P38" s="380">
        <f t="shared" si="13"/>
        <v>25</v>
      </c>
      <c r="Q38" s="381">
        <f t="shared" si="14"/>
        <v>73.482625</v>
      </c>
      <c r="R38" s="382" t="str">
        <f t="shared" si="15"/>
        <v>--</v>
      </c>
      <c r="S38" s="383" t="str">
        <f t="shared" si="16"/>
        <v>--</v>
      </c>
      <c r="T38" s="384" t="str">
        <f t="shared" si="17"/>
        <v>--</v>
      </c>
      <c r="U38" s="362" t="s">
        <v>145</v>
      </c>
      <c r="V38" s="28">
        <f t="shared" si="18"/>
        <v>73.482625</v>
      </c>
      <c r="W38" s="30"/>
    </row>
    <row r="39" spans="2:23" s="8" customFormat="1" ht="16.5" customHeight="1">
      <c r="B39" s="66"/>
      <c r="C39" s="355"/>
      <c r="D39" s="352"/>
      <c r="E39" s="352"/>
      <c r="F39" s="365"/>
      <c r="G39" s="365"/>
      <c r="H39" s="366"/>
      <c r="I39" s="202">
        <f t="shared" si="0"/>
        <v>6.635</v>
      </c>
      <c r="J39" s="370"/>
      <c r="K39" s="372"/>
      <c r="L39" s="26">
        <f t="shared" si="1"/>
      </c>
      <c r="M39" s="23">
        <f t="shared" si="2"/>
      </c>
      <c r="N39" s="373"/>
      <c r="O39" s="373">
        <f t="shared" si="3"/>
      </c>
      <c r="P39" s="380">
        <f t="shared" si="4"/>
        <v>20</v>
      </c>
      <c r="Q39" s="381" t="str">
        <f t="shared" si="5"/>
        <v>--</v>
      </c>
      <c r="R39" s="382" t="str">
        <f t="shared" si="6"/>
        <v>--</v>
      </c>
      <c r="S39" s="383" t="str">
        <f t="shared" si="7"/>
        <v>--</v>
      </c>
      <c r="T39" s="384" t="str">
        <f t="shared" si="8"/>
        <v>--</v>
      </c>
      <c r="U39" s="362">
        <f>IF(F39="","","SI")</f>
      </c>
      <c r="V39" s="28">
        <f t="shared" si="9"/>
      </c>
      <c r="W39" s="30"/>
    </row>
    <row r="40" spans="2:23" s="8" customFormat="1" ht="16.5" customHeight="1" thickBot="1">
      <c r="B40" s="66"/>
      <c r="C40" s="367"/>
      <c r="D40" s="408"/>
      <c r="E40" s="408"/>
      <c r="F40" s="368"/>
      <c r="G40" s="368"/>
      <c r="H40" s="369"/>
      <c r="I40" s="203"/>
      <c r="J40" s="371"/>
      <c r="K40" s="371"/>
      <c r="L40" s="31"/>
      <c r="M40" s="31"/>
      <c r="N40" s="385"/>
      <c r="O40" s="385"/>
      <c r="P40" s="386"/>
      <c r="Q40" s="387"/>
      <c r="R40" s="388"/>
      <c r="S40" s="389"/>
      <c r="T40" s="390"/>
      <c r="U40" s="391"/>
      <c r="V40" s="171"/>
      <c r="W40" s="30"/>
    </row>
    <row r="41" spans="2:23" s="8" customFormat="1" ht="16.5" customHeight="1" thickBot="1" thickTop="1">
      <c r="B41" s="66"/>
      <c r="C41" s="434" t="s">
        <v>204</v>
      </c>
      <c r="D41" s="433" t="s">
        <v>203</v>
      </c>
      <c r="E41" s="185"/>
      <c r="F41" s="184"/>
      <c r="Q41" s="314">
        <f>SUM(Q21:Q40)</f>
        <v>977.1364500000002</v>
      </c>
      <c r="R41" s="315">
        <f>SUM(R21:R40)</f>
        <v>165.875</v>
      </c>
      <c r="S41" s="315">
        <f>SUM(S21:S40)</f>
        <v>749.7549999999999</v>
      </c>
      <c r="T41" s="260">
        <f>SUM(T21:T40)</f>
        <v>0</v>
      </c>
      <c r="V41" s="194">
        <f>ROUND(SUM(V21:V40),2)</f>
        <v>1892.77</v>
      </c>
      <c r="W41" s="30"/>
    </row>
    <row r="42" spans="2:23" s="189" customFormat="1" ht="9.75" thickTop="1">
      <c r="B42" s="188"/>
      <c r="C42" s="185"/>
      <c r="D42" s="185"/>
      <c r="E42" s="185"/>
      <c r="F42" s="186"/>
      <c r="V42" s="193"/>
      <c r="W42" s="192"/>
    </row>
    <row r="43" spans="2:23" s="8" customFormat="1" ht="16.5" customHeight="1" thickBo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135"/>
    </row>
    <row r="44" spans="1:23" ht="16.5" customHeight="1" thickTop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135"/>
  <sheetViews>
    <sheetView zoomScale="70" zoomScaleNormal="70" zoomScalePageLayoutView="0" workbookViewId="0" topLeftCell="A1">
      <selection activeCell="B37" sqref="B37"/>
    </sheetView>
  </sheetViews>
  <sheetFormatPr defaultColWidth="11.421875" defaultRowHeight="12.75"/>
  <cols>
    <col min="1" max="1" width="65.28125" style="0" customWidth="1"/>
    <col min="2" max="2" width="8.7109375" style="0" customWidth="1"/>
    <col min="3" max="3" width="5.7109375" style="0" customWidth="1"/>
    <col min="4" max="4" width="53.140625" style="0" bestFit="1" customWidth="1"/>
    <col min="5" max="5" width="8.57421875" style="0" customWidth="1"/>
    <col min="6" max="6" width="10.7109375" style="0" customWidth="1"/>
    <col min="7" max="19" width="7.7109375" style="0" customWidth="1"/>
    <col min="20" max="20" width="8.7109375" style="0" customWidth="1"/>
  </cols>
  <sheetData>
    <row r="1" ht="40.5" customHeight="1">
      <c r="T1" s="437"/>
    </row>
    <row r="2" spans="2:20" s="438" customFormat="1" ht="31.5" customHeight="1">
      <c r="B2" s="439" t="str">
        <f>'TOT-0612'!B2</f>
        <v>ANEXO III al Memorándum  D.T.E.E.  N°  1052 / 2013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</row>
    <row r="3" spans="1:3" ht="12.75" customHeight="1">
      <c r="A3" s="520" t="s">
        <v>3</v>
      </c>
      <c r="B3" s="520"/>
      <c r="C3" s="520"/>
    </row>
    <row r="4" spans="1:4" ht="12.75" customHeight="1">
      <c r="A4" s="520" t="s">
        <v>4</v>
      </c>
      <c r="B4" s="520"/>
      <c r="C4" s="520"/>
      <c r="D4" s="441"/>
    </row>
    <row r="5" spans="1:4" ht="12" customHeight="1">
      <c r="A5" s="442"/>
      <c r="D5" s="441"/>
    </row>
    <row r="6" spans="1:20" ht="26.25">
      <c r="A6" s="442"/>
      <c r="B6" s="443" t="s">
        <v>214</v>
      </c>
      <c r="C6" s="444"/>
      <c r="D6" s="441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</row>
    <row r="7" spans="1:4" ht="18.75" customHeight="1">
      <c r="A7" s="442"/>
      <c r="D7" s="441"/>
    </row>
    <row r="8" spans="1:20" ht="26.25">
      <c r="A8" s="442"/>
      <c r="B8" s="445" t="s">
        <v>1</v>
      </c>
      <c r="C8" s="444"/>
      <c r="D8" s="441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</row>
    <row r="9" spans="1:4" ht="18.75" customHeight="1">
      <c r="A9" s="442"/>
      <c r="D9" s="441"/>
    </row>
    <row r="10" spans="1:20" ht="26.25">
      <c r="A10" s="442"/>
      <c r="B10" s="445" t="s">
        <v>215</v>
      </c>
      <c r="C10" s="444"/>
      <c r="D10" s="441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</row>
    <row r="11" ht="18.75" customHeight="1" thickBot="1"/>
    <row r="12" spans="2:20" ht="18.75" customHeight="1" thickTop="1">
      <c r="B12" s="446"/>
      <c r="C12" s="447"/>
      <c r="D12" s="448"/>
      <c r="E12" s="448"/>
      <c r="F12" s="448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9"/>
    </row>
    <row r="13" spans="1:20" ht="19.5">
      <c r="A13" s="450"/>
      <c r="B13" s="451" t="s">
        <v>216</v>
      </c>
      <c r="C13" s="452"/>
      <c r="D13" s="55" t="s">
        <v>226</v>
      </c>
      <c r="E13" s="453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5"/>
    </row>
    <row r="14" spans="2:20" ht="18.75" customHeight="1" thickBot="1">
      <c r="B14" s="456"/>
      <c r="C14" s="457"/>
      <c r="D14" s="458"/>
      <c r="E14" s="458"/>
      <c r="F14" s="45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50"/>
    </row>
    <row r="15" spans="1:20" s="467" customFormat="1" ht="34.5" customHeight="1" thickBot="1" thickTop="1">
      <c r="A15" s="460"/>
      <c r="B15" s="461"/>
      <c r="C15" s="114" t="s">
        <v>23</v>
      </c>
      <c r="D15" s="462" t="s">
        <v>2</v>
      </c>
      <c r="E15" s="463" t="s">
        <v>24</v>
      </c>
      <c r="F15" s="464" t="s">
        <v>25</v>
      </c>
      <c r="G15" s="465">
        <v>40695</v>
      </c>
      <c r="H15" s="465">
        <v>40725</v>
      </c>
      <c r="I15" s="465">
        <v>40756</v>
      </c>
      <c r="J15" s="465">
        <v>40787</v>
      </c>
      <c r="K15" s="465">
        <v>40817</v>
      </c>
      <c r="L15" s="465">
        <v>40848</v>
      </c>
      <c r="M15" s="465">
        <v>40878</v>
      </c>
      <c r="N15" s="465">
        <v>40909</v>
      </c>
      <c r="O15" s="465">
        <v>40940</v>
      </c>
      <c r="P15" s="465">
        <v>40969</v>
      </c>
      <c r="Q15" s="465">
        <v>41000</v>
      </c>
      <c r="R15" s="465">
        <v>41030</v>
      </c>
      <c r="S15" s="465">
        <v>41061</v>
      </c>
      <c r="T15" s="466"/>
    </row>
    <row r="16" spans="2:20" s="468" customFormat="1" ht="19.5" customHeight="1" thickTop="1">
      <c r="B16" s="469"/>
      <c r="C16" s="470"/>
      <c r="D16" s="471"/>
      <c r="E16" s="471"/>
      <c r="F16" s="472"/>
      <c r="G16" s="473">
        <f>IF('[1]Tasa de Falla'!HC16=0,"",'[1]Tasa de Falla'!HC16)</f>
      </c>
      <c r="H16" s="473">
        <f>IF('[1]Tasa de Falla'!HD16=0,"",'[1]Tasa de Falla'!HD16)</f>
      </c>
      <c r="I16" s="473">
        <f>IF('[1]Tasa de Falla'!HE16=0,"",'[1]Tasa de Falla'!HE16)</f>
      </c>
      <c r="J16" s="473">
        <f>IF('[1]Tasa de Falla'!HF16=0,"",'[1]Tasa de Falla'!HF16)</f>
      </c>
      <c r="K16" s="473">
        <f>IF('[1]Tasa de Falla'!HG16=0,"",'[1]Tasa de Falla'!HG16)</f>
      </c>
      <c r="L16" s="473">
        <f>IF('[1]Tasa de Falla'!HH16=0,"",'[1]Tasa de Falla'!HH16)</f>
      </c>
      <c r="M16" s="473">
        <f>IF('[1]Tasa de Falla'!HI16=0,"",'[1]Tasa de Falla'!HI16)</f>
      </c>
      <c r="N16" s="473">
        <f>IF('[1]Tasa de Falla'!HJ16=0,"",'[1]Tasa de Falla'!HJ16)</f>
      </c>
      <c r="O16" s="473">
        <f>IF('[1]Tasa de Falla'!HK16=0,"",'[1]Tasa de Falla'!HK16)</f>
      </c>
      <c r="P16" s="473">
        <f>IF('[1]Tasa de Falla'!HL16=0,"",'[1]Tasa de Falla'!HL16)</f>
      </c>
      <c r="Q16" s="473">
        <f>IF('[1]Tasa de Falla'!HM16=0,"",'[1]Tasa de Falla'!HM16)</f>
      </c>
      <c r="R16" s="473">
        <f>IF('[1]Tasa de Falla'!HN16=0,"",'[1]Tasa de Falla'!HN16)</f>
      </c>
      <c r="S16" s="472"/>
      <c r="T16" s="474"/>
    </row>
    <row r="17" spans="2:20" s="468" customFormat="1" ht="19.5" customHeight="1">
      <c r="B17" s="469"/>
      <c r="C17" s="475">
        <f>'[3]Tasa de Falla'!C17</f>
        <v>1</v>
      </c>
      <c r="D17" s="476" t="str">
        <f>'[3]Tasa de Falla'!D17</f>
        <v>AGUA BLANCA - VILLA QUINTEROS</v>
      </c>
      <c r="E17" s="476">
        <f>'[3]Tasa de Falla'!E17</f>
        <v>132</v>
      </c>
      <c r="F17" s="477">
        <f>'[3]Tasa de Falla'!F17</f>
        <v>23.8</v>
      </c>
      <c r="G17" s="473">
        <f>IF('[3]Tasa de Falla'!HC17=0,"",'[3]Tasa de Falla'!HC17)</f>
      </c>
      <c r="H17" s="473">
        <f>IF('[3]Tasa de Falla'!HD17=0,"",'[3]Tasa de Falla'!HD17)</f>
      </c>
      <c r="I17" s="473">
        <f>IF('[3]Tasa de Falla'!HE17=0,"",'[3]Tasa de Falla'!HE17)</f>
      </c>
      <c r="J17" s="473">
        <f>IF('[3]Tasa de Falla'!HF17=0,"",'[3]Tasa de Falla'!HF17)</f>
        <v>1</v>
      </c>
      <c r="K17" s="473">
        <f>IF('[3]Tasa de Falla'!HG17=0,"",'[3]Tasa de Falla'!HG17)</f>
      </c>
      <c r="L17" s="473">
        <f>IF('[3]Tasa de Falla'!HH17=0,"",'[3]Tasa de Falla'!HH17)</f>
      </c>
      <c r="M17" s="473">
        <f>IF('[3]Tasa de Falla'!HI17=0,"",'[3]Tasa de Falla'!HI17)</f>
      </c>
      <c r="N17" s="473">
        <f>IF('[3]Tasa de Falla'!HJ17=0,"",'[3]Tasa de Falla'!HJ17)</f>
      </c>
      <c r="O17" s="473">
        <f>IF('[3]Tasa de Falla'!HK17=0,"",'[3]Tasa de Falla'!HK17)</f>
      </c>
      <c r="P17" s="473">
        <f>IF('[3]Tasa de Falla'!HL17=0,"",'[3]Tasa de Falla'!HL17)</f>
      </c>
      <c r="Q17" s="473">
        <f>IF('[3]Tasa de Falla'!HM17=0,"",'[3]Tasa de Falla'!HM17)</f>
      </c>
      <c r="R17" s="473">
        <f>IF('[3]Tasa de Falla'!HN17=0,"",'[3]Tasa de Falla'!HN17)</f>
      </c>
      <c r="S17" s="478"/>
      <c r="T17" s="474"/>
    </row>
    <row r="18" spans="2:20" s="468" customFormat="1" ht="19.5" customHeight="1">
      <c r="B18" s="469"/>
      <c r="C18" s="475">
        <f>'[3]Tasa de Falla'!C18</f>
        <v>2</v>
      </c>
      <c r="D18" s="476" t="str">
        <f>'[3]Tasa de Falla'!D18</f>
        <v>AGUILARES - ESCABA</v>
      </c>
      <c r="E18" s="476">
        <f>'[3]Tasa de Falla'!E18</f>
        <v>132</v>
      </c>
      <c r="F18" s="477">
        <f>'[3]Tasa de Falla'!F18</f>
        <v>27.6</v>
      </c>
      <c r="G18" s="473">
        <f>IF('[3]Tasa de Falla'!HC18=0,"",'[3]Tasa de Falla'!HC18)</f>
      </c>
      <c r="H18" s="473">
        <f>IF('[3]Tasa de Falla'!HD18=0,"",'[3]Tasa de Falla'!HD18)</f>
      </c>
      <c r="I18" s="473">
        <f>IF('[3]Tasa de Falla'!HE18=0,"",'[3]Tasa de Falla'!HE18)</f>
      </c>
      <c r="J18" s="473">
        <f>IF('[3]Tasa de Falla'!HF18=0,"",'[3]Tasa de Falla'!HF18)</f>
      </c>
      <c r="K18" s="473">
        <f>IF('[3]Tasa de Falla'!HG18=0,"",'[3]Tasa de Falla'!HG18)</f>
      </c>
      <c r="L18" s="473">
        <f>IF('[3]Tasa de Falla'!HH18=0,"",'[3]Tasa de Falla'!HH18)</f>
      </c>
      <c r="M18" s="473">
        <f>IF('[3]Tasa de Falla'!HI18=0,"",'[3]Tasa de Falla'!HI18)</f>
      </c>
      <c r="N18" s="473">
        <f>IF('[3]Tasa de Falla'!HJ18=0,"",'[3]Tasa de Falla'!HJ18)</f>
      </c>
      <c r="O18" s="473">
        <f>IF('[3]Tasa de Falla'!HK18=0,"",'[3]Tasa de Falla'!HK18)</f>
      </c>
      <c r="P18" s="473">
        <f>IF('[3]Tasa de Falla'!HL18=0,"",'[3]Tasa de Falla'!HL18)</f>
      </c>
      <c r="Q18" s="473">
        <f>IF('[3]Tasa de Falla'!HM18=0,"",'[3]Tasa de Falla'!HM18)</f>
      </c>
      <c r="R18" s="473">
        <f>IF('[3]Tasa de Falla'!HN18=0,"",'[3]Tasa de Falla'!HN18)</f>
      </c>
      <c r="S18" s="478"/>
      <c r="T18" s="474"/>
    </row>
    <row r="19" spans="2:20" s="468" customFormat="1" ht="18">
      <c r="B19" s="469"/>
      <c r="C19" s="475">
        <f>'[3]Tasa de Falla'!C19</f>
        <v>3</v>
      </c>
      <c r="D19" s="476" t="str">
        <f>'[3]Tasa de Falla'!D19</f>
        <v>CABRA CORRAL - SALTA SUR</v>
      </c>
      <c r="E19" s="476">
        <f>'[3]Tasa de Falla'!E19</f>
        <v>132</v>
      </c>
      <c r="F19" s="477">
        <f>'[3]Tasa de Falla'!F19</f>
        <v>62</v>
      </c>
      <c r="G19" s="473" t="str">
        <f>IF('[3]Tasa de Falla'!HC19=0,"",'[3]Tasa de Falla'!HC19)</f>
        <v>XXXX</v>
      </c>
      <c r="H19" s="473" t="str">
        <f>IF('[3]Tasa de Falla'!HD19=0,"",'[3]Tasa de Falla'!HD19)</f>
        <v>XXXX</v>
      </c>
      <c r="I19" s="473" t="str">
        <f>IF('[3]Tasa de Falla'!HE19=0,"",'[3]Tasa de Falla'!HE19)</f>
        <v>XXXX</v>
      </c>
      <c r="J19" s="473" t="str">
        <f>IF('[3]Tasa de Falla'!HF19=0,"",'[3]Tasa de Falla'!HF19)</f>
        <v>XXXX</v>
      </c>
      <c r="K19" s="473" t="str">
        <f>IF('[3]Tasa de Falla'!HG19=0,"",'[3]Tasa de Falla'!HG19)</f>
        <v>XXXX</v>
      </c>
      <c r="L19" s="473" t="str">
        <f>IF('[3]Tasa de Falla'!HH19=0,"",'[3]Tasa de Falla'!HH19)</f>
        <v>XXXX</v>
      </c>
      <c r="M19" s="473" t="str">
        <f>IF('[3]Tasa de Falla'!HI19=0,"",'[3]Tasa de Falla'!HI19)</f>
        <v>XXXX</v>
      </c>
      <c r="N19" s="473" t="str">
        <f>IF('[3]Tasa de Falla'!HJ19=0,"",'[3]Tasa de Falla'!HJ19)</f>
        <v>XXXX</v>
      </c>
      <c r="O19" s="473" t="str">
        <f>IF('[3]Tasa de Falla'!HK19=0,"",'[3]Tasa de Falla'!HK19)</f>
        <v>XXXX</v>
      </c>
      <c r="P19" s="473" t="str">
        <f>IF('[3]Tasa de Falla'!HL19=0,"",'[3]Tasa de Falla'!HL19)</f>
        <v>XXXX</v>
      </c>
      <c r="Q19" s="473" t="str">
        <f>IF('[3]Tasa de Falla'!HM19=0,"",'[3]Tasa de Falla'!HM19)</f>
        <v>XXXX</v>
      </c>
      <c r="R19" s="473" t="str">
        <f>IF('[3]Tasa de Falla'!HN19=0,"",'[3]Tasa de Falla'!HN19)</f>
        <v>XXXX</v>
      </c>
      <c r="S19" s="478"/>
      <c r="T19" s="474"/>
    </row>
    <row r="20" spans="2:20" s="468" customFormat="1" ht="19.5" customHeight="1">
      <c r="B20" s="469"/>
      <c r="C20" s="475">
        <f>'[3]Tasa de Falla'!C20</f>
        <v>4</v>
      </c>
      <c r="D20" s="476" t="str">
        <f>'[3]Tasa de Falla'!D20</f>
        <v>CEVIL POZO - TUCUMAN NORTE</v>
      </c>
      <c r="E20" s="476">
        <f>'[3]Tasa de Falla'!E20</f>
        <v>132</v>
      </c>
      <c r="F20" s="477">
        <f>'[3]Tasa de Falla'!F20</f>
        <v>14.5</v>
      </c>
      <c r="G20" s="473">
        <f>IF('[3]Tasa de Falla'!HC20=0,"",'[3]Tasa de Falla'!HC20)</f>
      </c>
      <c r="H20" s="473">
        <f>IF('[3]Tasa de Falla'!HD20=0,"",'[3]Tasa de Falla'!HD20)</f>
      </c>
      <c r="I20" s="473">
        <f>IF('[3]Tasa de Falla'!HE20=0,"",'[3]Tasa de Falla'!HE20)</f>
        <v>1</v>
      </c>
      <c r="J20" s="473">
        <f>IF('[3]Tasa de Falla'!HF20=0,"",'[3]Tasa de Falla'!HF20)</f>
        <v>1</v>
      </c>
      <c r="K20" s="473">
        <f>IF('[3]Tasa de Falla'!HG20=0,"",'[3]Tasa de Falla'!HG20)</f>
      </c>
      <c r="L20" s="473">
        <f>IF('[3]Tasa de Falla'!HH20=0,"",'[3]Tasa de Falla'!HH20)</f>
      </c>
      <c r="M20" s="473">
        <f>IF('[3]Tasa de Falla'!HI20=0,"",'[3]Tasa de Falla'!HI20)</f>
      </c>
      <c r="N20" s="473">
        <f>IF('[3]Tasa de Falla'!HJ20=0,"",'[3]Tasa de Falla'!HJ20)</f>
      </c>
      <c r="O20" s="473">
        <f>IF('[3]Tasa de Falla'!HK20=0,"",'[3]Tasa de Falla'!HK20)</f>
        <v>1</v>
      </c>
      <c r="P20" s="473">
        <f>IF('[3]Tasa de Falla'!HL20=0,"",'[3]Tasa de Falla'!HL20)</f>
      </c>
      <c r="Q20" s="473">
        <f>IF('[3]Tasa de Falla'!HM20=0,"",'[3]Tasa de Falla'!HM20)</f>
      </c>
      <c r="R20" s="473">
        <f>IF('[3]Tasa de Falla'!HN20=0,"",'[3]Tasa de Falla'!HN20)</f>
      </c>
      <c r="S20" s="478"/>
      <c r="T20" s="474"/>
    </row>
    <row r="21" spans="2:20" s="468" customFormat="1" ht="18">
      <c r="B21" s="469"/>
      <c r="C21" s="475">
        <f>'[3]Tasa de Falla'!C21</f>
        <v>5</v>
      </c>
      <c r="D21" s="476" t="str">
        <f>'[3]Tasa de Falla'!D21</f>
        <v>CAMPO SANTO - MINETTI</v>
      </c>
      <c r="E21" s="476">
        <f>'[3]Tasa de Falla'!E21</f>
        <v>132</v>
      </c>
      <c r="F21" s="477">
        <f>'[3]Tasa de Falla'!F21</f>
        <v>29.9</v>
      </c>
      <c r="G21" s="473" t="str">
        <f>IF('[3]Tasa de Falla'!HC21=0,"",'[3]Tasa de Falla'!HC21)</f>
        <v>XXXX</v>
      </c>
      <c r="H21" s="473" t="str">
        <f>IF('[3]Tasa de Falla'!HD21=0,"",'[3]Tasa de Falla'!HD21)</f>
        <v>XXXX</v>
      </c>
      <c r="I21" s="473" t="str">
        <f>IF('[3]Tasa de Falla'!HE21=0,"",'[3]Tasa de Falla'!HE21)</f>
        <v>XXXX</v>
      </c>
      <c r="J21" s="473" t="str">
        <f>IF('[3]Tasa de Falla'!HF21=0,"",'[3]Tasa de Falla'!HF21)</f>
        <v>XXXX</v>
      </c>
      <c r="K21" s="473" t="str">
        <f>IF('[3]Tasa de Falla'!HG21=0,"",'[3]Tasa de Falla'!HG21)</f>
        <v>XXXX</v>
      </c>
      <c r="L21" s="473" t="str">
        <f>IF('[3]Tasa de Falla'!HH21=0,"",'[3]Tasa de Falla'!HH21)</f>
        <v>XXXX</v>
      </c>
      <c r="M21" s="473" t="str">
        <f>IF('[3]Tasa de Falla'!HI21=0,"",'[3]Tasa de Falla'!HI21)</f>
        <v>XXXX</v>
      </c>
      <c r="N21" s="473" t="str">
        <f>IF('[3]Tasa de Falla'!HJ21=0,"",'[3]Tasa de Falla'!HJ21)</f>
        <v>XXXX</v>
      </c>
      <c r="O21" s="473" t="str">
        <f>IF('[3]Tasa de Falla'!HK21=0,"",'[3]Tasa de Falla'!HK21)</f>
        <v>XXXX</v>
      </c>
      <c r="P21" s="473" t="str">
        <f>IF('[3]Tasa de Falla'!HL21=0,"",'[3]Tasa de Falla'!HL21)</f>
        <v>XXXX</v>
      </c>
      <c r="Q21" s="473" t="str">
        <f>IF('[3]Tasa de Falla'!HM21=0,"",'[3]Tasa de Falla'!HM21)</f>
        <v>XXXX</v>
      </c>
      <c r="R21" s="473" t="str">
        <f>IF('[3]Tasa de Falla'!HN21=0,"",'[3]Tasa de Falla'!HN21)</f>
        <v>XXXX</v>
      </c>
      <c r="S21" s="478"/>
      <c r="T21" s="474"/>
    </row>
    <row r="22" spans="2:20" s="468" customFormat="1" ht="18">
      <c r="B22" s="469"/>
      <c r="C22" s="475">
        <f>'[3]Tasa de Falla'!C22</f>
        <v>6</v>
      </c>
      <c r="D22" s="476" t="str">
        <f>'[3]Tasa de Falla'!D22</f>
        <v>ESCABA - HUACRA</v>
      </c>
      <c r="E22" s="476">
        <f>'[3]Tasa de Falla'!E22</f>
        <v>132</v>
      </c>
      <c r="F22" s="477">
        <f>'[3]Tasa de Falla'!F22</f>
        <v>49.9</v>
      </c>
      <c r="G22" s="473" t="str">
        <f>IF('[3]Tasa de Falla'!HC22=0,"",'[3]Tasa de Falla'!HC22)</f>
        <v>XXXX</v>
      </c>
      <c r="H22" s="473" t="str">
        <f>IF('[3]Tasa de Falla'!HD22=0,"",'[3]Tasa de Falla'!HD22)</f>
        <v>XXXX</v>
      </c>
      <c r="I22" s="473" t="str">
        <f>IF('[3]Tasa de Falla'!HE22=0,"",'[3]Tasa de Falla'!HE22)</f>
        <v>XXXX</v>
      </c>
      <c r="J22" s="473" t="str">
        <f>IF('[3]Tasa de Falla'!HF22=0,"",'[3]Tasa de Falla'!HF22)</f>
        <v>XXXX</v>
      </c>
      <c r="K22" s="473" t="str">
        <f>IF('[3]Tasa de Falla'!HG22=0,"",'[3]Tasa de Falla'!HG22)</f>
        <v>XXXX</v>
      </c>
      <c r="L22" s="473" t="str">
        <f>IF('[3]Tasa de Falla'!HH22=0,"",'[3]Tasa de Falla'!HH22)</f>
        <v>XXXX</v>
      </c>
      <c r="M22" s="473" t="str">
        <f>IF('[3]Tasa de Falla'!HI22=0,"",'[3]Tasa de Falla'!HI22)</f>
        <v>XXXX</v>
      </c>
      <c r="N22" s="473" t="str">
        <f>IF('[3]Tasa de Falla'!HJ22=0,"",'[3]Tasa de Falla'!HJ22)</f>
        <v>XXXX</v>
      </c>
      <c r="O22" s="473" t="str">
        <f>IF('[3]Tasa de Falla'!HK22=0,"",'[3]Tasa de Falla'!HK22)</f>
        <v>XXXX</v>
      </c>
      <c r="P22" s="473" t="str">
        <f>IF('[3]Tasa de Falla'!HL22=0,"",'[3]Tasa de Falla'!HL22)</f>
        <v>XXXX</v>
      </c>
      <c r="Q22" s="473" t="str">
        <f>IF('[3]Tasa de Falla'!HM22=0,"",'[3]Tasa de Falla'!HM22)</f>
        <v>XXXX</v>
      </c>
      <c r="R22" s="473" t="str">
        <f>IF('[3]Tasa de Falla'!HN22=0,"",'[3]Tasa de Falla'!HN22)</f>
        <v>XXXX</v>
      </c>
      <c r="S22" s="478"/>
      <c r="T22" s="474"/>
    </row>
    <row r="23" spans="2:20" s="468" customFormat="1" ht="19.5" customHeight="1">
      <c r="B23" s="469"/>
      <c r="C23" s="475">
        <f>'[3]Tasa de Falla'!C23</f>
        <v>7</v>
      </c>
      <c r="D23" s="476" t="str">
        <f>'[3]Tasa de Falla'!D23</f>
        <v>ESTATICA SUR - EL BRACHO</v>
      </c>
      <c r="E23" s="476">
        <f>'[3]Tasa de Falla'!E23</f>
        <v>132</v>
      </c>
      <c r="F23" s="477">
        <f>'[3]Tasa de Falla'!F23</f>
        <v>19.6</v>
      </c>
      <c r="G23" s="473">
        <f>IF('[3]Tasa de Falla'!HC23=0,"",'[3]Tasa de Falla'!HC23)</f>
      </c>
      <c r="H23" s="473">
        <f>IF('[3]Tasa de Falla'!HD23=0,"",'[3]Tasa de Falla'!HD23)</f>
      </c>
      <c r="I23" s="473">
        <f>IF('[3]Tasa de Falla'!HE23=0,"",'[3]Tasa de Falla'!HE23)</f>
      </c>
      <c r="J23" s="473">
        <f>IF('[3]Tasa de Falla'!HF23=0,"",'[3]Tasa de Falla'!HF23)</f>
      </c>
      <c r="K23" s="473">
        <f>IF('[3]Tasa de Falla'!HG23=0,"",'[3]Tasa de Falla'!HG23)</f>
      </c>
      <c r="L23" s="473">
        <f>IF('[3]Tasa de Falla'!HH23=0,"",'[3]Tasa de Falla'!HH23)</f>
      </c>
      <c r="M23" s="473">
        <f>IF('[3]Tasa de Falla'!HI23=0,"",'[3]Tasa de Falla'!HI23)</f>
      </c>
      <c r="N23" s="473">
        <f>IF('[3]Tasa de Falla'!HJ23=0,"",'[3]Tasa de Falla'!HJ23)</f>
      </c>
      <c r="O23" s="473">
        <f>IF('[3]Tasa de Falla'!HK23=0,"",'[3]Tasa de Falla'!HK23)</f>
      </c>
      <c r="P23" s="473">
        <f>IF('[3]Tasa de Falla'!HL23=0,"",'[3]Tasa de Falla'!HL23)</f>
      </c>
      <c r="Q23" s="473">
        <f>IF('[3]Tasa de Falla'!HM23=0,"",'[3]Tasa de Falla'!HM23)</f>
      </c>
      <c r="R23" s="473">
        <f>IF('[3]Tasa de Falla'!HN23=0,"",'[3]Tasa de Falla'!HN23)</f>
      </c>
      <c r="S23" s="478"/>
      <c r="T23" s="474"/>
    </row>
    <row r="24" spans="2:20" s="468" customFormat="1" ht="19.5" customHeight="1">
      <c r="B24" s="469"/>
      <c r="C24" s="475">
        <f>'[3]Tasa de Falla'!C24</f>
        <v>8</v>
      </c>
      <c r="D24" s="476" t="str">
        <f>'[3]Tasa de Falla'!D24</f>
        <v>ESTATICA SUR - INDEPENDENCIA (O.F.)</v>
      </c>
      <c r="E24" s="476">
        <f>'[3]Tasa de Falla'!E24</f>
        <v>132</v>
      </c>
      <c r="F24" s="477">
        <f>'[3]Tasa de Falla'!F24</f>
        <v>2.6</v>
      </c>
      <c r="G24" s="473">
        <f>IF('[3]Tasa de Falla'!HC24=0,"",'[3]Tasa de Falla'!HC24)</f>
      </c>
      <c r="H24" s="473">
        <f>IF('[3]Tasa de Falla'!HD24=0,"",'[3]Tasa de Falla'!HD24)</f>
      </c>
      <c r="I24" s="473">
        <f>IF('[3]Tasa de Falla'!HE24=0,"",'[3]Tasa de Falla'!HE24)</f>
      </c>
      <c r="J24" s="473">
        <f>IF('[3]Tasa de Falla'!HF24=0,"",'[3]Tasa de Falla'!HF24)</f>
      </c>
      <c r="K24" s="473">
        <f>IF('[3]Tasa de Falla'!HG24=0,"",'[3]Tasa de Falla'!HG24)</f>
      </c>
      <c r="L24" s="473">
        <f>IF('[3]Tasa de Falla'!HH24=0,"",'[3]Tasa de Falla'!HH24)</f>
      </c>
      <c r="M24" s="473">
        <f>IF('[3]Tasa de Falla'!HI24=0,"",'[3]Tasa de Falla'!HI24)</f>
      </c>
      <c r="N24" s="473">
        <f>IF('[3]Tasa de Falla'!HJ24=0,"",'[3]Tasa de Falla'!HJ24)</f>
      </c>
      <c r="O24" s="473">
        <f>IF('[3]Tasa de Falla'!HK24=0,"",'[3]Tasa de Falla'!HK24)</f>
      </c>
      <c r="P24" s="473">
        <f>IF('[3]Tasa de Falla'!HL24=0,"",'[3]Tasa de Falla'!HL24)</f>
      </c>
      <c r="Q24" s="473">
        <f>IF('[3]Tasa de Falla'!HM24=0,"",'[3]Tasa de Falla'!HM24)</f>
      </c>
      <c r="R24" s="473">
        <f>IF('[3]Tasa de Falla'!HN24=0,"",'[3]Tasa de Falla'!HN24)</f>
      </c>
      <c r="S24" s="478"/>
      <c r="T24" s="474"/>
    </row>
    <row r="25" spans="2:20" s="468" customFormat="1" ht="19.5" customHeight="1">
      <c r="B25" s="469"/>
      <c r="C25" s="475">
        <f>'[3]Tasa de Falla'!C25</f>
        <v>9</v>
      </c>
      <c r="D25" s="476" t="str">
        <f>'[3]Tasa de Falla'!D25</f>
        <v>ESTATICA SUR - SARMIENTO "TRANSNOA S.A."</v>
      </c>
      <c r="E25" s="476">
        <f>'[3]Tasa de Falla'!E25</f>
        <v>132</v>
      </c>
      <c r="F25" s="477">
        <f>'[3]Tasa de Falla'!F25</f>
        <v>4.4</v>
      </c>
      <c r="G25" s="473">
        <f>IF('[3]Tasa de Falla'!HC25=0,"",'[3]Tasa de Falla'!HC25)</f>
      </c>
      <c r="H25" s="473">
        <f>IF('[3]Tasa de Falla'!HD25=0,"",'[3]Tasa de Falla'!HD25)</f>
      </c>
      <c r="I25" s="473">
        <f>IF('[3]Tasa de Falla'!HE25=0,"",'[3]Tasa de Falla'!HE25)</f>
      </c>
      <c r="J25" s="473">
        <f>IF('[3]Tasa de Falla'!HF25=0,"",'[3]Tasa de Falla'!HF25)</f>
      </c>
      <c r="K25" s="473">
        <f>IF('[3]Tasa de Falla'!HG25=0,"",'[3]Tasa de Falla'!HG25)</f>
      </c>
      <c r="L25" s="473">
        <f>IF('[3]Tasa de Falla'!HH25=0,"",'[3]Tasa de Falla'!HH25)</f>
      </c>
      <c r="M25" s="473">
        <f>IF('[3]Tasa de Falla'!HI25=0,"",'[3]Tasa de Falla'!HI25)</f>
      </c>
      <c r="N25" s="473">
        <f>IF('[3]Tasa de Falla'!HJ25=0,"",'[3]Tasa de Falla'!HJ25)</f>
      </c>
      <c r="O25" s="473">
        <f>IF('[3]Tasa de Falla'!HK25=0,"",'[3]Tasa de Falla'!HK25)</f>
      </c>
      <c r="P25" s="473">
        <f>IF('[3]Tasa de Falla'!HL25=0,"",'[3]Tasa de Falla'!HL25)</f>
      </c>
      <c r="Q25" s="473">
        <f>IF('[3]Tasa de Falla'!HM25=0,"",'[3]Tasa de Falla'!HM25)</f>
      </c>
      <c r="R25" s="473">
        <f>IF('[3]Tasa de Falla'!HN25=0,"",'[3]Tasa de Falla'!HN25)</f>
      </c>
      <c r="S25" s="478"/>
      <c r="T25" s="474"/>
    </row>
    <row r="26" spans="2:20" s="468" customFormat="1" ht="18">
      <c r="B26" s="469"/>
      <c r="C26" s="475">
        <f>'[3]Tasa de Falla'!C26</f>
        <v>10</v>
      </c>
      <c r="D26" s="476" t="str">
        <f>'[3]Tasa de Falla'!D26</f>
        <v>GÜEMES - EL BRACHO</v>
      </c>
      <c r="E26" s="476">
        <f>'[3]Tasa de Falla'!E26</f>
        <v>132</v>
      </c>
      <c r="F26" s="477">
        <f>'[3]Tasa de Falla'!F26</f>
        <v>308</v>
      </c>
      <c r="G26" s="473" t="str">
        <f>IF('[3]Tasa de Falla'!HC26=0,"",'[3]Tasa de Falla'!HC26)</f>
        <v>XXXX</v>
      </c>
      <c r="H26" s="473" t="str">
        <f>IF('[3]Tasa de Falla'!HD26=0,"",'[3]Tasa de Falla'!HD26)</f>
        <v>XXXX</v>
      </c>
      <c r="I26" s="473" t="str">
        <f>IF('[3]Tasa de Falla'!HE26=0,"",'[3]Tasa de Falla'!HE26)</f>
        <v>XXXX</v>
      </c>
      <c r="J26" s="473" t="str">
        <f>IF('[3]Tasa de Falla'!HF26=0,"",'[3]Tasa de Falla'!HF26)</f>
        <v>XXXX</v>
      </c>
      <c r="K26" s="473" t="str">
        <f>IF('[3]Tasa de Falla'!HG26=0,"",'[3]Tasa de Falla'!HG26)</f>
        <v>XXXX</v>
      </c>
      <c r="L26" s="473" t="str">
        <f>IF('[3]Tasa de Falla'!HH26=0,"",'[3]Tasa de Falla'!HH26)</f>
        <v>XXXX</v>
      </c>
      <c r="M26" s="473" t="str">
        <f>IF('[3]Tasa de Falla'!HI26=0,"",'[3]Tasa de Falla'!HI26)</f>
        <v>XXXX</v>
      </c>
      <c r="N26" s="473" t="str">
        <f>IF('[3]Tasa de Falla'!HJ26=0,"",'[3]Tasa de Falla'!HJ26)</f>
        <v>XXXX</v>
      </c>
      <c r="O26" s="473" t="str">
        <f>IF('[3]Tasa de Falla'!HK26=0,"",'[3]Tasa de Falla'!HK26)</f>
        <v>XXXX</v>
      </c>
      <c r="P26" s="473" t="str">
        <f>IF('[3]Tasa de Falla'!HL26=0,"",'[3]Tasa de Falla'!HL26)</f>
        <v>XXXX</v>
      </c>
      <c r="Q26" s="473" t="str">
        <f>IF('[3]Tasa de Falla'!HM26=0,"",'[3]Tasa de Falla'!HM26)</f>
        <v>XXXX</v>
      </c>
      <c r="R26" s="473" t="str">
        <f>IF('[3]Tasa de Falla'!HN26=0,"",'[3]Tasa de Falla'!HN26)</f>
        <v>XXXX</v>
      </c>
      <c r="S26" s="478"/>
      <c r="T26" s="474"/>
    </row>
    <row r="27" spans="2:20" s="468" customFormat="1" ht="19.5" customHeight="1">
      <c r="B27" s="469"/>
      <c r="C27" s="475">
        <f>'[3]Tasa de Falla'!C27</f>
        <v>11</v>
      </c>
      <c r="D27" s="476" t="str">
        <f>'[3]Tasa de Falla'!D27</f>
        <v>CAMPO SANTO - GÜEMES</v>
      </c>
      <c r="E27" s="476">
        <f>'[3]Tasa de Falla'!E27</f>
        <v>132</v>
      </c>
      <c r="F27" s="477">
        <f>'[3]Tasa de Falla'!F27</f>
        <v>6.2</v>
      </c>
      <c r="G27" s="473" t="str">
        <f>IF('[3]Tasa de Falla'!HC27=0,"",'[3]Tasa de Falla'!HC27)</f>
        <v>XXXX</v>
      </c>
      <c r="H27" s="473" t="str">
        <f>IF('[3]Tasa de Falla'!HD27=0,"",'[3]Tasa de Falla'!HD27)</f>
        <v>XXXX</v>
      </c>
      <c r="I27" s="473" t="str">
        <f>IF('[3]Tasa de Falla'!HE27=0,"",'[3]Tasa de Falla'!HE27)</f>
        <v>XXXX</v>
      </c>
      <c r="J27" s="473" t="str">
        <f>IF('[3]Tasa de Falla'!HF27=0,"",'[3]Tasa de Falla'!HF27)</f>
        <v>XXXX</v>
      </c>
      <c r="K27" s="473" t="str">
        <f>IF('[3]Tasa de Falla'!HG27=0,"",'[3]Tasa de Falla'!HG27)</f>
        <v>XXXX</v>
      </c>
      <c r="L27" s="473" t="str">
        <f>IF('[3]Tasa de Falla'!HH27=0,"",'[3]Tasa de Falla'!HH27)</f>
        <v>XXXX</v>
      </c>
      <c r="M27" s="473" t="str">
        <f>IF('[3]Tasa de Falla'!HI27=0,"",'[3]Tasa de Falla'!HI27)</f>
        <v>XXXX</v>
      </c>
      <c r="N27" s="473" t="str">
        <f>IF('[3]Tasa de Falla'!HJ27=0,"",'[3]Tasa de Falla'!HJ27)</f>
        <v>XXXX</v>
      </c>
      <c r="O27" s="473" t="str">
        <f>IF('[3]Tasa de Falla'!HK27=0,"",'[3]Tasa de Falla'!HK27)</f>
        <v>XXXX</v>
      </c>
      <c r="P27" s="473" t="str">
        <f>IF('[3]Tasa de Falla'!HL27=0,"",'[3]Tasa de Falla'!HL27)</f>
        <v>XXXX</v>
      </c>
      <c r="Q27" s="473" t="str">
        <f>IF('[3]Tasa de Falla'!HM27=0,"",'[3]Tasa de Falla'!HM27)</f>
        <v>XXXX</v>
      </c>
      <c r="R27" s="473" t="str">
        <f>IF('[3]Tasa de Falla'!HN27=0,"",'[3]Tasa de Falla'!HN27)</f>
        <v>XXXX</v>
      </c>
      <c r="S27" s="478"/>
      <c r="T27" s="474"/>
    </row>
    <row r="28" spans="2:20" s="468" customFormat="1" ht="19.5" customHeight="1">
      <c r="B28" s="469"/>
      <c r="C28" s="475">
        <f>'[3]Tasa de Falla'!C28</f>
        <v>12</v>
      </c>
      <c r="D28" s="476" t="str">
        <f>'[3]Tasa de Falla'!D28</f>
        <v>GÜEMES - SAN JUANCITO</v>
      </c>
      <c r="E28" s="476">
        <f>'[3]Tasa de Falla'!E28</f>
        <v>132</v>
      </c>
      <c r="F28" s="477">
        <f>'[3]Tasa de Falla'!F28</f>
        <v>36.24</v>
      </c>
      <c r="G28" s="473">
        <f>IF('[3]Tasa de Falla'!HC28=0,"",'[3]Tasa de Falla'!HC28)</f>
      </c>
      <c r="H28" s="473">
        <f>IF('[3]Tasa de Falla'!HD28=0,"",'[3]Tasa de Falla'!HD28)</f>
        <v>1</v>
      </c>
      <c r="I28" s="473">
        <f>IF('[3]Tasa de Falla'!HE28=0,"",'[3]Tasa de Falla'!HE28)</f>
      </c>
      <c r="J28" s="473">
        <f>IF('[3]Tasa de Falla'!HF28=0,"",'[3]Tasa de Falla'!HF28)</f>
      </c>
      <c r="K28" s="473">
        <f>IF('[3]Tasa de Falla'!HG28=0,"",'[3]Tasa de Falla'!HG28)</f>
      </c>
      <c r="L28" s="473">
        <f>IF('[3]Tasa de Falla'!HH28=0,"",'[3]Tasa de Falla'!HH28)</f>
      </c>
      <c r="M28" s="473">
        <f>IF('[3]Tasa de Falla'!HI28=0,"",'[3]Tasa de Falla'!HI28)</f>
        <v>1</v>
      </c>
      <c r="N28" s="473">
        <f>IF('[3]Tasa de Falla'!HJ28=0,"",'[3]Tasa de Falla'!HJ28)</f>
      </c>
      <c r="O28" s="473">
        <f>IF('[3]Tasa de Falla'!HK28=0,"",'[3]Tasa de Falla'!HK28)</f>
      </c>
      <c r="P28" s="473">
        <f>IF('[3]Tasa de Falla'!HL28=0,"",'[3]Tasa de Falla'!HL28)</f>
      </c>
      <c r="Q28" s="473">
        <f>IF('[3]Tasa de Falla'!HM28=0,"",'[3]Tasa de Falla'!HM28)</f>
      </c>
      <c r="R28" s="473">
        <f>IF('[3]Tasa de Falla'!HN28=0,"",'[3]Tasa de Falla'!HN28)</f>
      </c>
      <c r="S28" s="478"/>
      <c r="T28" s="474"/>
    </row>
    <row r="29" spans="2:20" s="468" customFormat="1" ht="19.5" customHeight="1">
      <c r="B29" s="469"/>
      <c r="C29" s="475">
        <f>'[3]Tasa de Falla'!C29</f>
        <v>13</v>
      </c>
      <c r="D29" s="476" t="str">
        <f>'[3]Tasa de Falla'!D29</f>
        <v>CATAMARCA - HUACRA</v>
      </c>
      <c r="E29" s="476">
        <f>'[3]Tasa de Falla'!E29</f>
        <v>132</v>
      </c>
      <c r="F29" s="477">
        <f>'[3]Tasa de Falla'!F29</f>
        <v>67.3</v>
      </c>
      <c r="G29" s="473">
        <f>IF('[3]Tasa de Falla'!HC29=0,"",'[3]Tasa de Falla'!HC29)</f>
      </c>
      <c r="H29" s="473">
        <f>IF('[3]Tasa de Falla'!HD29=0,"",'[3]Tasa de Falla'!HD29)</f>
      </c>
      <c r="I29" s="473">
        <f>IF('[3]Tasa de Falla'!HE29=0,"",'[3]Tasa de Falla'!HE29)</f>
      </c>
      <c r="J29" s="473">
        <f>IF('[3]Tasa de Falla'!HF29=0,"",'[3]Tasa de Falla'!HF29)</f>
      </c>
      <c r="K29" s="473">
        <f>IF('[3]Tasa de Falla'!HG29=0,"",'[3]Tasa de Falla'!HG29)</f>
      </c>
      <c r="L29" s="473">
        <f>IF('[3]Tasa de Falla'!HH29=0,"",'[3]Tasa de Falla'!HH29)</f>
      </c>
      <c r="M29" s="473">
        <f>IF('[3]Tasa de Falla'!HI29=0,"",'[3]Tasa de Falla'!HI29)</f>
      </c>
      <c r="N29" s="473">
        <f>IF('[3]Tasa de Falla'!HJ29=0,"",'[3]Tasa de Falla'!HJ29)</f>
      </c>
      <c r="O29" s="473">
        <f>IF('[3]Tasa de Falla'!HK29=0,"",'[3]Tasa de Falla'!HK29)</f>
      </c>
      <c r="P29" s="473">
        <f>IF('[3]Tasa de Falla'!HL29=0,"",'[3]Tasa de Falla'!HL29)</f>
      </c>
      <c r="Q29" s="473">
        <f>IF('[3]Tasa de Falla'!HM29=0,"",'[3]Tasa de Falla'!HM29)</f>
      </c>
      <c r="R29" s="473">
        <f>IF('[3]Tasa de Falla'!HN29=0,"",'[3]Tasa de Falla'!HN29)</f>
      </c>
      <c r="S29" s="478"/>
      <c r="T29" s="474"/>
    </row>
    <row r="30" spans="2:20" s="468" customFormat="1" ht="19.5" customHeight="1">
      <c r="B30" s="469"/>
      <c r="C30" s="475">
        <f>'[3]Tasa de Falla'!C30</f>
        <v>14</v>
      </c>
      <c r="D30" s="476" t="str">
        <f>'[3]Tasa de Falla'!D30</f>
        <v>HUACRA - LA CALERA</v>
      </c>
      <c r="E30" s="476">
        <f>'[3]Tasa de Falla'!E30</f>
        <v>132</v>
      </c>
      <c r="F30" s="477">
        <f>'[3]Tasa de Falla'!F30</f>
        <v>91.2</v>
      </c>
      <c r="G30" s="473">
        <f>IF('[3]Tasa de Falla'!HC30=0,"",'[3]Tasa de Falla'!HC30)</f>
      </c>
      <c r="H30" s="473">
        <f>IF('[3]Tasa de Falla'!HD30=0,"",'[3]Tasa de Falla'!HD30)</f>
      </c>
      <c r="I30" s="473">
        <f>IF('[3]Tasa de Falla'!HE30=0,"",'[3]Tasa de Falla'!HE30)</f>
      </c>
      <c r="J30" s="473">
        <f>IF('[3]Tasa de Falla'!HF30=0,"",'[3]Tasa de Falla'!HF30)</f>
        <v>1</v>
      </c>
      <c r="K30" s="473">
        <f>IF('[3]Tasa de Falla'!HG30=0,"",'[3]Tasa de Falla'!HG30)</f>
      </c>
      <c r="L30" s="473">
        <f>IF('[3]Tasa de Falla'!HH30=0,"",'[3]Tasa de Falla'!HH30)</f>
      </c>
      <c r="M30" s="473">
        <f>IF('[3]Tasa de Falla'!HI30=0,"",'[3]Tasa de Falla'!HI30)</f>
      </c>
      <c r="N30" s="473">
        <f>IF('[3]Tasa de Falla'!HJ30=0,"",'[3]Tasa de Falla'!HJ30)</f>
      </c>
      <c r="O30" s="473">
        <f>IF('[3]Tasa de Falla'!HK30=0,"",'[3]Tasa de Falla'!HK30)</f>
      </c>
      <c r="P30" s="473">
        <f>IF('[3]Tasa de Falla'!HL30=0,"",'[3]Tasa de Falla'!HL30)</f>
        <v>2</v>
      </c>
      <c r="Q30" s="473">
        <f>IF('[3]Tasa de Falla'!HM30=0,"",'[3]Tasa de Falla'!HM30)</f>
        <v>1</v>
      </c>
      <c r="R30" s="473">
        <f>IF('[3]Tasa de Falla'!HN30=0,"",'[3]Tasa de Falla'!HN30)</f>
      </c>
      <c r="S30" s="478"/>
      <c r="T30" s="474"/>
    </row>
    <row r="31" spans="2:20" s="468" customFormat="1" ht="19.5" customHeight="1">
      <c r="B31" s="469"/>
      <c r="C31" s="475">
        <f>'[3]Tasa de Falla'!C31</f>
        <v>15</v>
      </c>
      <c r="D31" s="476" t="str">
        <f>'[3]Tasa de Falla'!D31</f>
        <v>AGUA BLANCA - INDEPENDENCIA</v>
      </c>
      <c r="E31" s="476">
        <f>'[3]Tasa de Falla'!E31</f>
        <v>132</v>
      </c>
      <c r="F31" s="477">
        <f>'[3]Tasa de Falla'!F31</f>
        <v>34.14</v>
      </c>
      <c r="G31" s="473">
        <f>IF('[3]Tasa de Falla'!HC31=0,"",'[3]Tasa de Falla'!HC31)</f>
      </c>
      <c r="H31" s="473">
        <f>IF('[3]Tasa de Falla'!HD31=0,"",'[3]Tasa de Falla'!HD31)</f>
        <v>1</v>
      </c>
      <c r="I31" s="473">
        <f>IF('[3]Tasa de Falla'!HE31=0,"",'[3]Tasa de Falla'!HE31)</f>
      </c>
      <c r="J31" s="473">
        <f>IF('[3]Tasa de Falla'!HF31=0,"",'[3]Tasa de Falla'!HF31)</f>
        <v>1</v>
      </c>
      <c r="K31" s="473">
        <f>IF('[3]Tasa de Falla'!HG31=0,"",'[3]Tasa de Falla'!HG31)</f>
      </c>
      <c r="L31" s="473">
        <f>IF('[3]Tasa de Falla'!HH31=0,"",'[3]Tasa de Falla'!HH31)</f>
      </c>
      <c r="M31" s="473">
        <f>IF('[3]Tasa de Falla'!HI31=0,"",'[3]Tasa de Falla'!HI31)</f>
      </c>
      <c r="N31" s="473">
        <f>IF('[3]Tasa de Falla'!HJ31=0,"",'[3]Tasa de Falla'!HJ31)</f>
      </c>
      <c r="O31" s="473">
        <f>IF('[3]Tasa de Falla'!HK31=0,"",'[3]Tasa de Falla'!HK31)</f>
      </c>
      <c r="P31" s="473">
        <f>IF('[3]Tasa de Falla'!HL31=0,"",'[3]Tasa de Falla'!HL31)</f>
        <v>2</v>
      </c>
      <c r="Q31" s="473">
        <f>IF('[3]Tasa de Falla'!HM31=0,"",'[3]Tasa de Falla'!HM31)</f>
      </c>
      <c r="R31" s="473">
        <f>IF('[3]Tasa de Falla'!HN31=0,"",'[3]Tasa de Falla'!HN31)</f>
      </c>
      <c r="S31" s="478"/>
      <c r="T31" s="474"/>
    </row>
    <row r="32" spans="2:20" s="468" customFormat="1" ht="19.5" customHeight="1">
      <c r="B32" s="469"/>
      <c r="C32" s="475">
        <f>'[3]Tasa de Falla'!C32</f>
        <v>16</v>
      </c>
      <c r="D32" s="476" t="str">
        <f>'[3]Tasa de Falla'!D32</f>
        <v>INDEPENDENCIA - EL BRACHO 1</v>
      </c>
      <c r="E32" s="476">
        <f>'[3]Tasa de Falla'!E32</f>
        <v>132</v>
      </c>
      <c r="F32" s="477">
        <f>'[3]Tasa de Falla'!F32</f>
        <v>17.1</v>
      </c>
      <c r="G32" s="473">
        <f>IF('[3]Tasa de Falla'!HC32=0,"",'[3]Tasa de Falla'!HC32)</f>
      </c>
      <c r="H32" s="473">
        <f>IF('[3]Tasa de Falla'!HD32=0,"",'[3]Tasa de Falla'!HD32)</f>
      </c>
      <c r="I32" s="473">
        <f>IF('[3]Tasa de Falla'!HE32=0,"",'[3]Tasa de Falla'!HE32)</f>
      </c>
      <c r="J32" s="473">
        <f>IF('[3]Tasa de Falla'!HF32=0,"",'[3]Tasa de Falla'!HF32)</f>
      </c>
      <c r="K32" s="473">
        <f>IF('[3]Tasa de Falla'!HG32=0,"",'[3]Tasa de Falla'!HG32)</f>
      </c>
      <c r="L32" s="473">
        <f>IF('[3]Tasa de Falla'!HH32=0,"",'[3]Tasa de Falla'!HH32)</f>
      </c>
      <c r="M32" s="473">
        <f>IF('[3]Tasa de Falla'!HI32=0,"",'[3]Tasa de Falla'!HI32)</f>
      </c>
      <c r="N32" s="473">
        <f>IF('[3]Tasa de Falla'!HJ32=0,"",'[3]Tasa de Falla'!HJ32)</f>
        <v>1</v>
      </c>
      <c r="O32" s="473">
        <f>IF('[3]Tasa de Falla'!HK32=0,"",'[3]Tasa de Falla'!HK32)</f>
        <v>1</v>
      </c>
      <c r="P32" s="473">
        <f>IF('[3]Tasa de Falla'!HL32=0,"",'[3]Tasa de Falla'!HL32)</f>
      </c>
      <c r="Q32" s="473">
        <f>IF('[3]Tasa de Falla'!HM32=0,"",'[3]Tasa de Falla'!HM32)</f>
      </c>
      <c r="R32" s="473">
        <f>IF('[3]Tasa de Falla'!HN32=0,"",'[3]Tasa de Falla'!HN32)</f>
      </c>
      <c r="S32" s="478"/>
      <c r="T32" s="474"/>
    </row>
    <row r="33" spans="2:20" s="468" customFormat="1" ht="19.5" customHeight="1">
      <c r="B33" s="469"/>
      <c r="C33" s="475">
        <f>'[3]Tasa de Falla'!C33</f>
        <v>17</v>
      </c>
      <c r="D33" s="476" t="str">
        <f>'[3]Tasa de Falla'!D33</f>
        <v>INDEPENDENCIA - LULES - PAPEL TUCUMAN</v>
      </c>
      <c r="E33" s="476">
        <f>'[3]Tasa de Falla'!E33</f>
        <v>132</v>
      </c>
      <c r="F33" s="477">
        <f>'[3]Tasa de Falla'!F33</f>
        <v>19.3</v>
      </c>
      <c r="G33" s="473">
        <f>IF('[3]Tasa de Falla'!HC33=0,"",'[3]Tasa de Falla'!HC33)</f>
      </c>
      <c r="H33" s="473">
        <f>IF('[3]Tasa de Falla'!HD33=0,"",'[3]Tasa de Falla'!HD33)</f>
      </c>
      <c r="I33" s="473">
        <f>IF('[3]Tasa de Falla'!HE33=0,"",'[3]Tasa de Falla'!HE33)</f>
      </c>
      <c r="J33" s="473">
        <f>IF('[3]Tasa de Falla'!HF33=0,"",'[3]Tasa de Falla'!HF33)</f>
      </c>
      <c r="K33" s="473">
        <f>IF('[3]Tasa de Falla'!HG33=0,"",'[3]Tasa de Falla'!HG33)</f>
      </c>
      <c r="L33" s="473">
        <f>IF('[3]Tasa de Falla'!HH33=0,"",'[3]Tasa de Falla'!HH33)</f>
      </c>
      <c r="M33" s="473">
        <f>IF('[3]Tasa de Falla'!HI33=0,"",'[3]Tasa de Falla'!HI33)</f>
      </c>
      <c r="N33" s="473">
        <f>IF('[3]Tasa de Falla'!HJ33=0,"",'[3]Tasa de Falla'!HJ33)</f>
      </c>
      <c r="O33" s="473">
        <f>IF('[3]Tasa de Falla'!HK33=0,"",'[3]Tasa de Falla'!HK33)</f>
      </c>
      <c r="P33" s="473">
        <f>IF('[3]Tasa de Falla'!HL33=0,"",'[3]Tasa de Falla'!HL33)</f>
      </c>
      <c r="Q33" s="473">
        <f>IF('[3]Tasa de Falla'!HM33=0,"",'[3]Tasa de Falla'!HM33)</f>
      </c>
      <c r="R33" s="473">
        <f>IF('[3]Tasa de Falla'!HN33=0,"",'[3]Tasa de Falla'!HN33)</f>
      </c>
      <c r="S33" s="478"/>
      <c r="T33" s="474"/>
    </row>
    <row r="34" spans="2:20" s="468" customFormat="1" ht="19.5" customHeight="1">
      <c r="B34" s="469"/>
      <c r="C34" s="475">
        <f>'[3]Tasa de Falla'!C34</f>
        <v>18</v>
      </c>
      <c r="D34" s="476" t="str">
        <f>'[3]Tasa de Falla'!D34</f>
        <v>FRIAS - LA CALERA NOA.</v>
      </c>
      <c r="E34" s="476">
        <f>'[3]Tasa de Falla'!E34</f>
        <v>132</v>
      </c>
      <c r="F34" s="477">
        <f>'[3]Tasa de Falla'!F34</f>
        <v>27.3</v>
      </c>
      <c r="G34" s="473">
        <f>IF('[3]Tasa de Falla'!HC34=0,"",'[3]Tasa de Falla'!HC34)</f>
      </c>
      <c r="H34" s="473">
        <f>IF('[3]Tasa de Falla'!HD34=0,"",'[3]Tasa de Falla'!HD34)</f>
      </c>
      <c r="I34" s="473">
        <f>IF('[3]Tasa de Falla'!HE34=0,"",'[3]Tasa de Falla'!HE34)</f>
      </c>
      <c r="J34" s="473">
        <f>IF('[3]Tasa de Falla'!HF34=0,"",'[3]Tasa de Falla'!HF34)</f>
      </c>
      <c r="K34" s="473">
        <f>IF('[3]Tasa de Falla'!HG34=0,"",'[3]Tasa de Falla'!HG34)</f>
      </c>
      <c r="L34" s="473">
        <f>IF('[3]Tasa de Falla'!HH34=0,"",'[3]Tasa de Falla'!HH34)</f>
      </c>
      <c r="M34" s="473">
        <f>IF('[3]Tasa de Falla'!HI34=0,"",'[3]Tasa de Falla'!HI34)</f>
      </c>
      <c r="N34" s="473">
        <f>IF('[3]Tasa de Falla'!HJ34=0,"",'[3]Tasa de Falla'!HJ34)</f>
      </c>
      <c r="O34" s="473">
        <f>IF('[3]Tasa de Falla'!HK34=0,"",'[3]Tasa de Falla'!HK34)</f>
      </c>
      <c r="P34" s="473">
        <f>IF('[3]Tasa de Falla'!HL34=0,"",'[3]Tasa de Falla'!HL34)</f>
        <v>2</v>
      </c>
      <c r="Q34" s="473">
        <f>IF('[3]Tasa de Falla'!HM34=0,"",'[3]Tasa de Falla'!HM34)</f>
      </c>
      <c r="R34" s="473">
        <f>IF('[3]Tasa de Falla'!HN34=0,"",'[3]Tasa de Falla'!HN34)</f>
      </c>
      <c r="S34" s="478"/>
      <c r="T34" s="474"/>
    </row>
    <row r="35" spans="2:20" s="468" customFormat="1" ht="19.5" customHeight="1">
      <c r="B35" s="469"/>
      <c r="C35" s="475">
        <f>'[3]Tasa de Falla'!C35</f>
        <v>19</v>
      </c>
      <c r="D35" s="476" t="str">
        <f>'[3]Tasa de Falla'!D35</f>
        <v>LA BANDA - SANTIAGO CENTRO</v>
      </c>
      <c r="E35" s="476">
        <f>'[3]Tasa de Falla'!E35</f>
        <v>132</v>
      </c>
      <c r="F35" s="477">
        <f>'[3]Tasa de Falla'!F35</f>
        <v>10.91</v>
      </c>
      <c r="G35" s="473">
        <f>IF('[3]Tasa de Falla'!HC35=0,"",'[3]Tasa de Falla'!HC35)</f>
      </c>
      <c r="H35" s="473">
        <f>IF('[3]Tasa de Falla'!HD35=0,"",'[3]Tasa de Falla'!HD35)</f>
      </c>
      <c r="I35" s="473">
        <f>IF('[3]Tasa de Falla'!HE35=0,"",'[3]Tasa de Falla'!HE35)</f>
      </c>
      <c r="J35" s="473">
        <f>IF('[3]Tasa de Falla'!HF35=0,"",'[3]Tasa de Falla'!HF35)</f>
      </c>
      <c r="K35" s="473">
        <f>IF('[3]Tasa de Falla'!HG35=0,"",'[3]Tasa de Falla'!HG35)</f>
      </c>
      <c r="L35" s="473">
        <f>IF('[3]Tasa de Falla'!HH35=0,"",'[3]Tasa de Falla'!HH35)</f>
      </c>
      <c r="M35" s="473">
        <f>IF('[3]Tasa de Falla'!HI35=0,"",'[3]Tasa de Falla'!HI35)</f>
      </c>
      <c r="N35" s="473">
        <f>IF('[3]Tasa de Falla'!HJ35=0,"",'[3]Tasa de Falla'!HJ35)</f>
      </c>
      <c r="O35" s="473">
        <f>IF('[3]Tasa de Falla'!HK35=0,"",'[3]Tasa de Falla'!HK35)</f>
      </c>
      <c r="P35" s="473">
        <f>IF('[3]Tasa de Falla'!HL35=0,"",'[3]Tasa de Falla'!HL35)</f>
      </c>
      <c r="Q35" s="473">
        <f>IF('[3]Tasa de Falla'!HM35=0,"",'[3]Tasa de Falla'!HM35)</f>
      </c>
      <c r="R35" s="473">
        <f>IF('[3]Tasa de Falla'!HN35=0,"",'[3]Tasa de Falla'!HN35)</f>
      </c>
      <c r="S35" s="478"/>
      <c r="T35" s="474"/>
    </row>
    <row r="36" spans="2:20" s="468" customFormat="1" ht="19.5" customHeight="1">
      <c r="B36" s="469"/>
      <c r="C36" s="475">
        <f>'[3]Tasa de Falla'!C36</f>
        <v>20</v>
      </c>
      <c r="D36" s="476" t="str">
        <f>'[3]Tasa de Falla'!D36</f>
        <v>LIBERTADOR NOA. - PICHANAL</v>
      </c>
      <c r="E36" s="476">
        <f>'[3]Tasa de Falla'!E36</f>
        <v>132</v>
      </c>
      <c r="F36" s="477">
        <f>'[3]Tasa de Falla'!F36</f>
        <v>76</v>
      </c>
      <c r="G36" s="473">
        <f>IF('[3]Tasa de Falla'!HC36=0,"",'[3]Tasa de Falla'!HC36)</f>
      </c>
      <c r="H36" s="473">
        <f>IF('[3]Tasa de Falla'!HD36=0,"",'[3]Tasa de Falla'!HD36)</f>
      </c>
      <c r="I36" s="473">
        <f>IF('[3]Tasa de Falla'!HE36=0,"",'[3]Tasa de Falla'!HE36)</f>
      </c>
      <c r="J36" s="473">
        <f>IF('[3]Tasa de Falla'!HF36=0,"",'[3]Tasa de Falla'!HF36)</f>
      </c>
      <c r="K36" s="473">
        <f>IF('[3]Tasa de Falla'!HG36=0,"",'[3]Tasa de Falla'!HG36)</f>
      </c>
      <c r="L36" s="473">
        <f>IF('[3]Tasa de Falla'!HH36=0,"",'[3]Tasa de Falla'!HH36)</f>
        <v>1</v>
      </c>
      <c r="M36" s="473">
        <f>IF('[3]Tasa de Falla'!HI36=0,"",'[3]Tasa de Falla'!HI36)</f>
      </c>
      <c r="N36" s="473">
        <f>IF('[3]Tasa de Falla'!HJ36=0,"",'[3]Tasa de Falla'!HJ36)</f>
        <v>1</v>
      </c>
      <c r="O36" s="473">
        <f>IF('[3]Tasa de Falla'!HK36=0,"",'[3]Tasa de Falla'!HK36)</f>
        <v>2</v>
      </c>
      <c r="P36" s="473">
        <f>IF('[3]Tasa de Falla'!HL36=0,"",'[3]Tasa de Falla'!HL36)</f>
      </c>
      <c r="Q36" s="473">
        <f>IF('[3]Tasa de Falla'!HM36=0,"",'[3]Tasa de Falla'!HM36)</f>
      </c>
      <c r="R36" s="473">
        <f>IF('[3]Tasa de Falla'!HN36=0,"",'[3]Tasa de Falla'!HN36)</f>
        <v>2</v>
      </c>
      <c r="S36" s="478"/>
      <c r="T36" s="474"/>
    </row>
    <row r="37" spans="2:20" s="468" customFormat="1" ht="19.5" customHeight="1">
      <c r="B37" s="469"/>
      <c r="C37" s="475">
        <f>'[3]Tasa de Falla'!C37</f>
        <v>21</v>
      </c>
      <c r="D37" s="476" t="str">
        <f>'[3]Tasa de Falla'!D37</f>
        <v>GÜEMES - METAN</v>
      </c>
      <c r="E37" s="476">
        <f>'[3]Tasa de Falla'!E37</f>
        <v>132</v>
      </c>
      <c r="F37" s="477">
        <f>'[3]Tasa de Falla'!F37</f>
        <v>97.13</v>
      </c>
      <c r="G37" s="473" t="str">
        <f>IF('[3]Tasa de Falla'!HC37=0,"",'[3]Tasa de Falla'!HC37)</f>
        <v>XXXX</v>
      </c>
      <c r="H37" s="473" t="str">
        <f>IF('[3]Tasa de Falla'!HD37=0,"",'[3]Tasa de Falla'!HD37)</f>
        <v>XXXX</v>
      </c>
      <c r="I37" s="473" t="str">
        <f>IF('[3]Tasa de Falla'!HE37=0,"",'[3]Tasa de Falla'!HE37)</f>
        <v>XXXX</v>
      </c>
      <c r="J37" s="473" t="str">
        <f>IF('[3]Tasa de Falla'!HF37=0,"",'[3]Tasa de Falla'!HF37)</f>
        <v>XXXX</v>
      </c>
      <c r="K37" s="473" t="str">
        <f>IF('[3]Tasa de Falla'!HG37=0,"",'[3]Tasa de Falla'!HG37)</f>
        <v>XXXX</v>
      </c>
      <c r="L37" s="473" t="str">
        <f>IF('[3]Tasa de Falla'!HH37=0,"",'[3]Tasa de Falla'!HH37)</f>
        <v>XXXX</v>
      </c>
      <c r="M37" s="473" t="str">
        <f>IF('[3]Tasa de Falla'!HI37=0,"",'[3]Tasa de Falla'!HI37)</f>
        <v>XXXX</v>
      </c>
      <c r="N37" s="473" t="str">
        <f>IF('[3]Tasa de Falla'!HJ37=0,"",'[3]Tasa de Falla'!HJ37)</f>
        <v>XXXX</v>
      </c>
      <c r="O37" s="473" t="str">
        <f>IF('[3]Tasa de Falla'!HK37=0,"",'[3]Tasa de Falla'!HK37)</f>
        <v>XXXX</v>
      </c>
      <c r="P37" s="473" t="str">
        <f>IF('[3]Tasa de Falla'!HL37=0,"",'[3]Tasa de Falla'!HL37)</f>
        <v>XXXX</v>
      </c>
      <c r="Q37" s="473" t="str">
        <f>IF('[3]Tasa de Falla'!HM37=0,"",'[3]Tasa de Falla'!HM37)</f>
        <v>XXXX</v>
      </c>
      <c r="R37" s="473" t="str">
        <f>IF('[3]Tasa de Falla'!HN37=0,"",'[3]Tasa de Falla'!HN37)</f>
        <v>XXXX</v>
      </c>
      <c r="S37" s="478"/>
      <c r="T37" s="474"/>
    </row>
    <row r="38" spans="2:20" s="468" customFormat="1" ht="19.5" customHeight="1">
      <c r="B38" s="469"/>
      <c r="C38" s="475">
        <f>'[3]Tasa de Falla'!C38</f>
        <v>22</v>
      </c>
      <c r="D38" s="476" t="str">
        <f>'[3]Tasa de Falla'!D38</f>
        <v>MINETTI - SAN JUANCITO</v>
      </c>
      <c r="E38" s="476">
        <f>'[3]Tasa de Falla'!E38</f>
        <v>132</v>
      </c>
      <c r="F38" s="477">
        <f>'[3]Tasa de Falla'!F38</f>
        <v>26</v>
      </c>
      <c r="G38" s="473">
        <f>IF('[3]Tasa de Falla'!HC38=0,"",'[3]Tasa de Falla'!HC38)</f>
      </c>
      <c r="H38" s="473">
        <f>IF('[3]Tasa de Falla'!HD38=0,"",'[3]Tasa de Falla'!HD38)</f>
      </c>
      <c r="I38" s="473">
        <f>IF('[3]Tasa de Falla'!HE38=0,"",'[3]Tasa de Falla'!HE38)</f>
      </c>
      <c r="J38" s="473">
        <f>IF('[3]Tasa de Falla'!HF38=0,"",'[3]Tasa de Falla'!HF38)</f>
      </c>
      <c r="K38" s="473">
        <f>IF('[3]Tasa de Falla'!HG38=0,"",'[3]Tasa de Falla'!HG38)</f>
      </c>
      <c r="L38" s="473">
        <f>IF('[3]Tasa de Falla'!HH38=0,"",'[3]Tasa de Falla'!HH38)</f>
      </c>
      <c r="M38" s="473">
        <f>IF('[3]Tasa de Falla'!HI38=0,"",'[3]Tasa de Falla'!HI38)</f>
      </c>
      <c r="N38" s="473">
        <f>IF('[3]Tasa de Falla'!HJ38=0,"",'[3]Tasa de Falla'!HJ38)</f>
      </c>
      <c r="O38" s="473">
        <f>IF('[3]Tasa de Falla'!HK38=0,"",'[3]Tasa de Falla'!HK38)</f>
      </c>
      <c r="P38" s="473">
        <f>IF('[3]Tasa de Falla'!HL38=0,"",'[3]Tasa de Falla'!HL38)</f>
        <v>1</v>
      </c>
      <c r="Q38" s="473">
        <f>IF('[3]Tasa de Falla'!HM38=0,"",'[3]Tasa de Falla'!HM38)</f>
        <v>1</v>
      </c>
      <c r="R38" s="473">
        <f>IF('[3]Tasa de Falla'!HN38=0,"",'[3]Tasa de Falla'!HN38)</f>
      </c>
      <c r="S38" s="478"/>
      <c r="T38" s="474"/>
    </row>
    <row r="39" spans="2:20" s="468" customFormat="1" ht="18">
      <c r="B39" s="469"/>
      <c r="C39" s="475">
        <f>'[3]Tasa de Falla'!C39</f>
        <v>23</v>
      </c>
      <c r="D39" s="476" t="str">
        <f>'[3]Tasa de Falla'!D39</f>
        <v>PALPALA - JUJUY SUR</v>
      </c>
      <c r="E39" s="476">
        <f>'[3]Tasa de Falla'!E39</f>
        <v>132</v>
      </c>
      <c r="F39" s="477">
        <f>'[3]Tasa de Falla'!F39</f>
        <v>14</v>
      </c>
      <c r="G39" s="473" t="str">
        <f>IF('[3]Tasa de Falla'!HC39=0,"",'[3]Tasa de Falla'!HC39)</f>
        <v>XXXX</v>
      </c>
      <c r="H39" s="473" t="str">
        <f>IF('[3]Tasa de Falla'!HD39=0,"",'[3]Tasa de Falla'!HD39)</f>
        <v>XXXX</v>
      </c>
      <c r="I39" s="473" t="str">
        <f>IF('[3]Tasa de Falla'!HE39=0,"",'[3]Tasa de Falla'!HE39)</f>
        <v>XXXX</v>
      </c>
      <c r="J39" s="473" t="str">
        <f>IF('[3]Tasa de Falla'!HF39=0,"",'[3]Tasa de Falla'!HF39)</f>
        <v>XXXX</v>
      </c>
      <c r="K39" s="473" t="str">
        <f>IF('[3]Tasa de Falla'!HG39=0,"",'[3]Tasa de Falla'!HG39)</f>
        <v>XXXX</v>
      </c>
      <c r="L39" s="473" t="str">
        <f>IF('[3]Tasa de Falla'!HH39=0,"",'[3]Tasa de Falla'!HH39)</f>
        <v>XXXX</v>
      </c>
      <c r="M39" s="473" t="str">
        <f>IF('[3]Tasa de Falla'!HI39=0,"",'[3]Tasa de Falla'!HI39)</f>
        <v>XXXX</v>
      </c>
      <c r="N39" s="473" t="str">
        <f>IF('[3]Tasa de Falla'!HJ39=0,"",'[3]Tasa de Falla'!HJ39)</f>
        <v>XXXX</v>
      </c>
      <c r="O39" s="473" t="str">
        <f>IF('[3]Tasa de Falla'!HK39=0,"",'[3]Tasa de Falla'!HK39)</f>
        <v>XXXX</v>
      </c>
      <c r="P39" s="473" t="str">
        <f>IF('[3]Tasa de Falla'!HL39=0,"",'[3]Tasa de Falla'!HL39)</f>
        <v>XXXX</v>
      </c>
      <c r="Q39" s="473" t="str">
        <f>IF('[3]Tasa de Falla'!HM39=0,"",'[3]Tasa de Falla'!HM39)</f>
        <v>XXXX</v>
      </c>
      <c r="R39" s="473" t="str">
        <f>IF('[3]Tasa de Falla'!HN39=0,"",'[3]Tasa de Falla'!HN39)</f>
        <v>XXXX</v>
      </c>
      <c r="S39" s="478"/>
      <c r="T39" s="474"/>
    </row>
    <row r="40" spans="2:20" s="468" customFormat="1" ht="19.5" customHeight="1">
      <c r="B40" s="469"/>
      <c r="C40" s="475">
        <f>'[3]Tasa de Falla'!C40</f>
        <v>24</v>
      </c>
      <c r="D40" s="476" t="str">
        <f>'[3]Tasa de Falla'!D40</f>
        <v>ORAN - PICHANAL</v>
      </c>
      <c r="E40" s="476">
        <f>'[3]Tasa de Falla'!E40</f>
        <v>132</v>
      </c>
      <c r="F40" s="477">
        <f>'[3]Tasa de Falla'!F40</f>
        <v>17</v>
      </c>
      <c r="G40" s="473">
        <f>IF('[3]Tasa de Falla'!HC40=0,"",'[3]Tasa de Falla'!HC40)</f>
      </c>
      <c r="H40" s="473">
        <f>IF('[3]Tasa de Falla'!HD40=0,"",'[3]Tasa de Falla'!HD40)</f>
      </c>
      <c r="I40" s="473">
        <f>IF('[3]Tasa de Falla'!HE40=0,"",'[3]Tasa de Falla'!HE40)</f>
      </c>
      <c r="J40" s="473">
        <f>IF('[3]Tasa de Falla'!HF40=0,"",'[3]Tasa de Falla'!HF40)</f>
      </c>
      <c r="K40" s="473">
        <f>IF('[3]Tasa de Falla'!HG40=0,"",'[3]Tasa de Falla'!HG40)</f>
      </c>
      <c r="L40" s="473">
        <f>IF('[3]Tasa de Falla'!HH40=0,"",'[3]Tasa de Falla'!HH40)</f>
      </c>
      <c r="M40" s="473">
        <f>IF('[3]Tasa de Falla'!HI40=0,"",'[3]Tasa de Falla'!HI40)</f>
        <v>1</v>
      </c>
      <c r="N40" s="473" t="str">
        <f>IF('[3]Tasa de Falla'!HJ40=0,"",'[3]Tasa de Falla'!HJ40)</f>
        <v>XXXX</v>
      </c>
      <c r="O40" s="473" t="str">
        <f>IF('[3]Tasa de Falla'!HK40=0,"",'[3]Tasa de Falla'!HK40)</f>
        <v>XXXX</v>
      </c>
      <c r="P40" s="473" t="str">
        <f>IF('[3]Tasa de Falla'!HL40=0,"",'[3]Tasa de Falla'!HL40)</f>
        <v>XXXX</v>
      </c>
      <c r="Q40" s="473" t="str">
        <f>IF('[3]Tasa de Falla'!HM40=0,"",'[3]Tasa de Falla'!HM40)</f>
        <v>XXXX</v>
      </c>
      <c r="R40" s="473" t="str">
        <f>IF('[3]Tasa de Falla'!HN40=0,"",'[3]Tasa de Falla'!HN40)</f>
        <v>XXXX</v>
      </c>
      <c r="S40" s="478"/>
      <c r="T40" s="474"/>
    </row>
    <row r="41" spans="2:20" s="468" customFormat="1" ht="19.5" customHeight="1">
      <c r="B41" s="469"/>
      <c r="C41" s="475">
        <f>'[3]Tasa de Falla'!C41</f>
        <v>25</v>
      </c>
      <c r="D41" s="476" t="str">
        <f>'[3]Tasa de Falla'!D41</f>
        <v>PICHANAL - TARTAGAL</v>
      </c>
      <c r="E41" s="476">
        <f>'[3]Tasa de Falla'!E41</f>
        <v>132</v>
      </c>
      <c r="F41" s="477">
        <f>'[3]Tasa de Falla'!F41</f>
        <v>105</v>
      </c>
      <c r="G41" s="473">
        <f>IF('[3]Tasa de Falla'!HC41=0,"",'[3]Tasa de Falla'!HC41)</f>
      </c>
      <c r="H41" s="473">
        <f>IF('[3]Tasa de Falla'!HD41=0,"",'[3]Tasa de Falla'!HD41)</f>
      </c>
      <c r="I41" s="473">
        <f>IF('[3]Tasa de Falla'!HE41=0,"",'[3]Tasa de Falla'!HE41)</f>
      </c>
      <c r="J41" s="473">
        <f>IF('[3]Tasa de Falla'!HF41=0,"",'[3]Tasa de Falla'!HF41)</f>
      </c>
      <c r="K41" s="473">
        <f>IF('[3]Tasa de Falla'!HG41=0,"",'[3]Tasa de Falla'!HG41)</f>
      </c>
      <c r="L41" s="473">
        <f>IF('[3]Tasa de Falla'!HH41=0,"",'[3]Tasa de Falla'!HH41)</f>
      </c>
      <c r="M41" s="473">
        <f>IF('[3]Tasa de Falla'!HI41=0,"",'[3]Tasa de Falla'!HI41)</f>
      </c>
      <c r="N41" s="473">
        <f>IF('[3]Tasa de Falla'!HJ41=0,"",'[3]Tasa de Falla'!HJ41)</f>
      </c>
      <c r="O41" s="473">
        <f>IF('[3]Tasa de Falla'!HK41=0,"",'[3]Tasa de Falla'!HK41)</f>
      </c>
      <c r="P41" s="473">
        <f>IF('[3]Tasa de Falla'!HL41=0,"",'[3]Tasa de Falla'!HL41)</f>
      </c>
      <c r="Q41" s="473">
        <f>IF('[3]Tasa de Falla'!HM41=0,"",'[3]Tasa de Falla'!HM41)</f>
      </c>
      <c r="R41" s="473">
        <f>IF('[3]Tasa de Falla'!HN41=0,"",'[3]Tasa de Falla'!HN41)</f>
      </c>
      <c r="S41" s="478"/>
      <c r="T41" s="474"/>
    </row>
    <row r="42" spans="2:20" s="468" customFormat="1" ht="19.5" customHeight="1">
      <c r="B42" s="469"/>
      <c r="C42" s="475">
        <f>'[3]Tasa de Falla'!C42</f>
        <v>26</v>
      </c>
      <c r="D42" s="476" t="str">
        <f>'[3]Tasa de Falla'!D42</f>
        <v>C.H. RIO HONDO - LA BANDA</v>
      </c>
      <c r="E42" s="476">
        <f>'[3]Tasa de Falla'!E42</f>
        <v>132</v>
      </c>
      <c r="F42" s="477">
        <f>'[3]Tasa de Falla'!F42</f>
        <v>76.5</v>
      </c>
      <c r="G42" s="473">
        <f>IF('[3]Tasa de Falla'!HC42=0,"",'[3]Tasa de Falla'!HC42)</f>
      </c>
      <c r="H42" s="473">
        <f>IF('[3]Tasa de Falla'!HD42=0,"",'[3]Tasa de Falla'!HD42)</f>
      </c>
      <c r="I42" s="473">
        <f>IF('[3]Tasa de Falla'!HE42=0,"",'[3]Tasa de Falla'!HE42)</f>
        <v>1</v>
      </c>
      <c r="J42" s="473">
        <f>IF('[3]Tasa de Falla'!HF42=0,"",'[3]Tasa de Falla'!HF42)</f>
        <v>1</v>
      </c>
      <c r="K42" s="473">
        <f>IF('[3]Tasa de Falla'!HG42=0,"",'[3]Tasa de Falla'!HG42)</f>
      </c>
      <c r="L42" s="473">
        <f>IF('[3]Tasa de Falla'!HH42=0,"",'[3]Tasa de Falla'!HH42)</f>
      </c>
      <c r="M42" s="473">
        <f>IF('[3]Tasa de Falla'!HI42=0,"",'[3]Tasa de Falla'!HI42)</f>
      </c>
      <c r="N42" s="473">
        <f>IF('[3]Tasa de Falla'!HJ42=0,"",'[3]Tasa de Falla'!HJ42)</f>
      </c>
      <c r="O42" s="473">
        <f>IF('[3]Tasa de Falla'!HK42=0,"",'[3]Tasa de Falla'!HK42)</f>
      </c>
      <c r="P42" s="473">
        <f>IF('[3]Tasa de Falla'!HL42=0,"",'[3]Tasa de Falla'!HL42)</f>
      </c>
      <c r="Q42" s="473">
        <f>IF('[3]Tasa de Falla'!HM42=0,"",'[3]Tasa de Falla'!HM42)</f>
      </c>
      <c r="R42" s="473">
        <f>IF('[3]Tasa de Falla'!HN42=0,"",'[3]Tasa de Falla'!HN42)</f>
      </c>
      <c r="S42" s="478"/>
      <c r="T42" s="474"/>
    </row>
    <row r="43" spans="2:20" s="468" customFormat="1" ht="18">
      <c r="B43" s="469"/>
      <c r="C43" s="475">
        <f>'[3]Tasa de Falla'!C43</f>
        <v>27</v>
      </c>
      <c r="D43" s="476" t="str">
        <f>'[3]Tasa de Falla'!D43</f>
        <v>LA RIOJA - RECREO  2</v>
      </c>
      <c r="E43" s="476">
        <f>'[3]Tasa de Falla'!E43</f>
        <v>132</v>
      </c>
      <c r="F43" s="477">
        <f>'[3]Tasa de Falla'!F43</f>
        <v>220</v>
      </c>
      <c r="G43" s="473" t="str">
        <f>IF('[3]Tasa de Falla'!HC43=0,"",'[3]Tasa de Falla'!HC43)</f>
        <v>XXXX</v>
      </c>
      <c r="H43" s="473" t="str">
        <f>IF('[3]Tasa de Falla'!HD43=0,"",'[3]Tasa de Falla'!HD43)</f>
        <v>XXXX</v>
      </c>
      <c r="I43" s="473" t="str">
        <f>IF('[3]Tasa de Falla'!HE43=0,"",'[3]Tasa de Falla'!HE43)</f>
        <v>XXXX</v>
      </c>
      <c r="J43" s="473" t="str">
        <f>IF('[3]Tasa de Falla'!HF43=0,"",'[3]Tasa de Falla'!HF43)</f>
        <v>XXXX</v>
      </c>
      <c r="K43" s="473" t="str">
        <f>IF('[3]Tasa de Falla'!HG43=0,"",'[3]Tasa de Falla'!HG43)</f>
        <v>XXXX</v>
      </c>
      <c r="L43" s="473" t="str">
        <f>IF('[3]Tasa de Falla'!HH43=0,"",'[3]Tasa de Falla'!HH43)</f>
        <v>XXXX</v>
      </c>
      <c r="M43" s="473" t="str">
        <f>IF('[3]Tasa de Falla'!HI43=0,"",'[3]Tasa de Falla'!HI43)</f>
        <v>XXXX</v>
      </c>
      <c r="N43" s="473" t="str">
        <f>IF('[3]Tasa de Falla'!HJ43=0,"",'[3]Tasa de Falla'!HJ43)</f>
        <v>XXXX</v>
      </c>
      <c r="O43" s="473" t="str">
        <f>IF('[3]Tasa de Falla'!HK43=0,"",'[3]Tasa de Falla'!HK43)</f>
        <v>XXXX</v>
      </c>
      <c r="P43" s="473" t="str">
        <f>IF('[3]Tasa de Falla'!HL43=0,"",'[3]Tasa de Falla'!HL43)</f>
        <v>XXXX</v>
      </c>
      <c r="Q43" s="473" t="str">
        <f>IF('[3]Tasa de Falla'!HM43=0,"",'[3]Tasa de Falla'!HM43)</f>
        <v>XXXX</v>
      </c>
      <c r="R43" s="473" t="str">
        <f>IF('[3]Tasa de Falla'!HN43=0,"",'[3]Tasa de Falla'!HN43)</f>
        <v>XXXX</v>
      </c>
      <c r="S43" s="478"/>
      <c r="T43" s="474"/>
    </row>
    <row r="44" spans="2:20" s="468" customFormat="1" ht="19.5" customHeight="1">
      <c r="B44" s="469"/>
      <c r="C44" s="475">
        <f>'[3]Tasa de Falla'!C44</f>
        <v>28</v>
      </c>
      <c r="D44" s="476" t="str">
        <f>'[3]Tasa de Falla'!D44</f>
        <v>CAMPO SANTO - SALTA SUR</v>
      </c>
      <c r="E44" s="476">
        <f>'[3]Tasa de Falla'!E44</f>
        <v>132</v>
      </c>
      <c r="F44" s="477">
        <f>'[3]Tasa de Falla'!F44</f>
        <v>40.92</v>
      </c>
      <c r="G44" s="473" t="str">
        <f>IF('[3]Tasa de Falla'!HC44=0,"",'[3]Tasa de Falla'!HC44)</f>
        <v>XXXX</v>
      </c>
      <c r="H44" s="473" t="str">
        <f>IF('[3]Tasa de Falla'!HD44=0,"",'[3]Tasa de Falla'!HD44)</f>
        <v>XXXX</v>
      </c>
      <c r="I44" s="473" t="str">
        <f>IF('[3]Tasa de Falla'!HE44=0,"",'[3]Tasa de Falla'!HE44)</f>
        <v>XXXX</v>
      </c>
      <c r="J44" s="473" t="str">
        <f>IF('[3]Tasa de Falla'!HF44=0,"",'[3]Tasa de Falla'!HF44)</f>
        <v>XXXX</v>
      </c>
      <c r="K44" s="473" t="str">
        <f>IF('[3]Tasa de Falla'!HG44=0,"",'[3]Tasa de Falla'!HG44)</f>
        <v>XXXX</v>
      </c>
      <c r="L44" s="473" t="str">
        <f>IF('[3]Tasa de Falla'!HH44=0,"",'[3]Tasa de Falla'!HH44)</f>
        <v>XXXX</v>
      </c>
      <c r="M44" s="473" t="str">
        <f>IF('[3]Tasa de Falla'!HI44=0,"",'[3]Tasa de Falla'!HI44)</f>
        <v>XXXX</v>
      </c>
      <c r="N44" s="473" t="str">
        <f>IF('[3]Tasa de Falla'!HJ44=0,"",'[3]Tasa de Falla'!HJ44)</f>
        <v>XXXX</v>
      </c>
      <c r="O44" s="473" t="str">
        <f>IF('[3]Tasa de Falla'!HK44=0,"",'[3]Tasa de Falla'!HK44)</f>
        <v>XXXX</v>
      </c>
      <c r="P44" s="473" t="str">
        <f>IF('[3]Tasa de Falla'!HL44=0,"",'[3]Tasa de Falla'!HL44)</f>
        <v>XXXX</v>
      </c>
      <c r="Q44" s="473" t="str">
        <f>IF('[3]Tasa de Falla'!HM44=0,"",'[3]Tasa de Falla'!HM44)</f>
        <v>XXXX</v>
      </c>
      <c r="R44" s="473" t="str">
        <f>IF('[3]Tasa de Falla'!HN44=0,"",'[3]Tasa de Falla'!HN44)</f>
        <v>XXXX</v>
      </c>
      <c r="S44" s="478"/>
      <c r="T44" s="474"/>
    </row>
    <row r="45" spans="2:20" s="468" customFormat="1" ht="19.5" customHeight="1">
      <c r="B45" s="469"/>
      <c r="C45" s="475">
        <f>'[3]Tasa de Falla'!C45</f>
        <v>29</v>
      </c>
      <c r="D45" s="476" t="str">
        <f>'[3]Tasa de Falla'!D45</f>
        <v>PALPALA - SAN JUANCITO</v>
      </c>
      <c r="E45" s="476">
        <f>'[3]Tasa de Falla'!E45</f>
        <v>132</v>
      </c>
      <c r="F45" s="477">
        <f>'[3]Tasa de Falla'!F45</f>
        <v>23.9</v>
      </c>
      <c r="G45" s="473">
        <f>IF('[3]Tasa de Falla'!HC45=0,"",'[3]Tasa de Falla'!HC45)</f>
      </c>
      <c r="H45" s="473">
        <f>IF('[3]Tasa de Falla'!HD45=0,"",'[3]Tasa de Falla'!HD45)</f>
        <v>2</v>
      </c>
      <c r="I45" s="473">
        <f>IF('[3]Tasa de Falla'!HE45=0,"",'[3]Tasa de Falla'!HE45)</f>
        <v>1</v>
      </c>
      <c r="J45" s="473">
        <f>IF('[3]Tasa de Falla'!HF45=0,"",'[3]Tasa de Falla'!HF45)</f>
      </c>
      <c r="K45" s="473">
        <f>IF('[3]Tasa de Falla'!HG45=0,"",'[3]Tasa de Falla'!HG45)</f>
      </c>
      <c r="L45" s="473">
        <f>IF('[3]Tasa de Falla'!HH45=0,"",'[3]Tasa de Falla'!HH45)</f>
      </c>
      <c r="M45" s="473">
        <f>IF('[3]Tasa de Falla'!HI45=0,"",'[3]Tasa de Falla'!HI45)</f>
      </c>
      <c r="N45" s="473">
        <f>IF('[3]Tasa de Falla'!HJ45=0,"",'[3]Tasa de Falla'!HJ45)</f>
      </c>
      <c r="O45" s="473">
        <f>IF('[3]Tasa de Falla'!HK45=0,"",'[3]Tasa de Falla'!HK45)</f>
        <v>1</v>
      </c>
      <c r="P45" s="473">
        <f>IF('[3]Tasa de Falla'!HL45=0,"",'[3]Tasa de Falla'!HL45)</f>
      </c>
      <c r="Q45" s="473">
        <f>IF('[3]Tasa de Falla'!HM45=0,"",'[3]Tasa de Falla'!HM45)</f>
        <v>1</v>
      </c>
      <c r="R45" s="473">
        <f>IF('[3]Tasa de Falla'!HN45=0,"",'[3]Tasa de Falla'!HN45)</f>
      </c>
      <c r="S45" s="478"/>
      <c r="T45" s="474"/>
    </row>
    <row r="46" spans="2:20" s="468" customFormat="1" ht="19.5" customHeight="1">
      <c r="B46" s="469"/>
      <c r="C46" s="475">
        <f>'[3]Tasa de Falla'!C46</f>
        <v>30</v>
      </c>
      <c r="D46" s="476" t="str">
        <f>'[3]Tasa de Falla'!D46</f>
        <v>SAN JUANCITO - SAN PEDRO JUJUY</v>
      </c>
      <c r="E46" s="476">
        <f>'[3]Tasa de Falla'!E46</f>
        <v>132</v>
      </c>
      <c r="F46" s="477">
        <f>'[3]Tasa de Falla'!F46</f>
        <v>27</v>
      </c>
      <c r="G46" s="473">
        <f>IF('[3]Tasa de Falla'!HC46=0,"",'[3]Tasa de Falla'!HC46)</f>
      </c>
      <c r="H46" s="473">
        <f>IF('[3]Tasa de Falla'!HD46=0,"",'[3]Tasa de Falla'!HD46)</f>
      </c>
      <c r="I46" s="473">
        <f>IF('[3]Tasa de Falla'!HE46=0,"",'[3]Tasa de Falla'!HE46)</f>
      </c>
      <c r="J46" s="473">
        <f>IF('[3]Tasa de Falla'!HF46=0,"",'[3]Tasa de Falla'!HF46)</f>
      </c>
      <c r="K46" s="473">
        <f>IF('[3]Tasa de Falla'!HG46=0,"",'[3]Tasa de Falla'!HG46)</f>
      </c>
      <c r="L46" s="473">
        <f>IF('[3]Tasa de Falla'!HH46=0,"",'[3]Tasa de Falla'!HH46)</f>
        <v>2</v>
      </c>
      <c r="M46" s="473">
        <f>IF('[3]Tasa de Falla'!HI46=0,"",'[3]Tasa de Falla'!HI46)</f>
      </c>
      <c r="N46" s="473">
        <f>IF('[3]Tasa de Falla'!HJ46=0,"",'[3]Tasa de Falla'!HJ46)</f>
      </c>
      <c r="O46" s="473">
        <f>IF('[3]Tasa de Falla'!HK46=0,"",'[3]Tasa de Falla'!HK46)</f>
      </c>
      <c r="P46" s="473">
        <f>IF('[3]Tasa de Falla'!HL46=0,"",'[3]Tasa de Falla'!HL46)</f>
      </c>
      <c r="Q46" s="473">
        <f>IF('[3]Tasa de Falla'!HM46=0,"",'[3]Tasa de Falla'!HM46)</f>
      </c>
      <c r="R46" s="473">
        <f>IF('[3]Tasa de Falla'!HN46=0,"",'[3]Tasa de Falla'!HN46)</f>
      </c>
      <c r="S46" s="478"/>
      <c r="T46" s="474"/>
    </row>
    <row r="47" spans="2:20" s="468" customFormat="1" ht="18">
      <c r="B47" s="469"/>
      <c r="C47" s="475">
        <f>'[3]Tasa de Falla'!C47</f>
        <v>31</v>
      </c>
      <c r="D47" s="476" t="str">
        <f>'[3]Tasa de Falla'!D47</f>
        <v>SAN MARTIN - CATAMARCA</v>
      </c>
      <c r="E47" s="476">
        <f>'[3]Tasa de Falla'!E47</f>
        <v>132</v>
      </c>
      <c r="F47" s="477">
        <f>'[3]Tasa de Falla'!F47</f>
        <v>88</v>
      </c>
      <c r="G47" s="473" t="str">
        <f>IF('[3]Tasa de Falla'!HC47=0,"",'[3]Tasa de Falla'!HC47)</f>
        <v>XXXX</v>
      </c>
      <c r="H47" s="473" t="str">
        <f>IF('[3]Tasa de Falla'!HD47=0,"",'[3]Tasa de Falla'!HD47)</f>
        <v>XXXX</v>
      </c>
      <c r="I47" s="473" t="str">
        <f>IF('[3]Tasa de Falla'!HE47=0,"",'[3]Tasa de Falla'!HE47)</f>
        <v>XXXX</v>
      </c>
      <c r="J47" s="473" t="str">
        <f>IF('[3]Tasa de Falla'!HF47=0,"",'[3]Tasa de Falla'!HF47)</f>
        <v>XXXX</v>
      </c>
      <c r="K47" s="473" t="str">
        <f>IF('[3]Tasa de Falla'!HG47=0,"",'[3]Tasa de Falla'!HG47)</f>
        <v>XXXX</v>
      </c>
      <c r="L47" s="473" t="str">
        <f>IF('[3]Tasa de Falla'!HH47=0,"",'[3]Tasa de Falla'!HH47)</f>
        <v>XXXX</v>
      </c>
      <c r="M47" s="473" t="str">
        <f>IF('[3]Tasa de Falla'!HI47=0,"",'[3]Tasa de Falla'!HI47)</f>
        <v>XXXX</v>
      </c>
      <c r="N47" s="473" t="str">
        <f>IF('[3]Tasa de Falla'!HJ47=0,"",'[3]Tasa de Falla'!HJ47)</f>
        <v>XXXX</v>
      </c>
      <c r="O47" s="473" t="str">
        <f>IF('[3]Tasa de Falla'!HK47=0,"",'[3]Tasa de Falla'!HK47)</f>
        <v>XXXX</v>
      </c>
      <c r="P47" s="473" t="str">
        <f>IF('[3]Tasa de Falla'!HL47=0,"",'[3]Tasa de Falla'!HL47)</f>
        <v>XXXX</v>
      </c>
      <c r="Q47" s="473" t="str">
        <f>IF('[3]Tasa de Falla'!HM47=0,"",'[3]Tasa de Falla'!HM47)</f>
        <v>XXXX</v>
      </c>
      <c r="R47" s="473" t="str">
        <f>IF('[3]Tasa de Falla'!HN47=0,"",'[3]Tasa de Falla'!HN47)</f>
        <v>XXXX</v>
      </c>
      <c r="S47" s="478"/>
      <c r="T47" s="474"/>
    </row>
    <row r="48" spans="2:20" s="468" customFormat="1" ht="18">
      <c r="B48" s="469"/>
      <c r="C48" s="475">
        <f>'[3]Tasa de Falla'!C48</f>
        <v>32</v>
      </c>
      <c r="D48" s="476" t="str">
        <f>'[3]Tasa de Falla'!D48</f>
        <v>SAN MARTIN - RECREO</v>
      </c>
      <c r="E48" s="476">
        <f>'[3]Tasa de Falla'!E48</f>
        <v>132</v>
      </c>
      <c r="F48" s="477">
        <f>'[3]Tasa de Falla'!F48</f>
        <v>115</v>
      </c>
      <c r="G48" s="473" t="str">
        <f>IF('[3]Tasa de Falla'!HC48=0,"",'[3]Tasa de Falla'!HC48)</f>
        <v>XXXX</v>
      </c>
      <c r="H48" s="473" t="str">
        <f>IF('[3]Tasa de Falla'!HD48=0,"",'[3]Tasa de Falla'!HD48)</f>
        <v>XXXX</v>
      </c>
      <c r="I48" s="473" t="str">
        <f>IF('[3]Tasa de Falla'!HE48=0,"",'[3]Tasa de Falla'!HE48)</f>
        <v>XXXX</v>
      </c>
      <c r="J48" s="473" t="str">
        <f>IF('[3]Tasa de Falla'!HF48=0,"",'[3]Tasa de Falla'!HF48)</f>
        <v>XXXX</v>
      </c>
      <c r="K48" s="473" t="str">
        <f>IF('[3]Tasa de Falla'!HG48=0,"",'[3]Tasa de Falla'!HG48)</f>
        <v>XXXX</v>
      </c>
      <c r="L48" s="473" t="str">
        <f>IF('[3]Tasa de Falla'!HH48=0,"",'[3]Tasa de Falla'!HH48)</f>
        <v>XXXX</v>
      </c>
      <c r="M48" s="473" t="str">
        <f>IF('[3]Tasa de Falla'!HI48=0,"",'[3]Tasa de Falla'!HI48)</f>
        <v>XXXX</v>
      </c>
      <c r="N48" s="473" t="str">
        <f>IF('[3]Tasa de Falla'!HJ48=0,"",'[3]Tasa de Falla'!HJ48)</f>
        <v>XXXX</v>
      </c>
      <c r="O48" s="473" t="str">
        <f>IF('[3]Tasa de Falla'!HK48=0,"",'[3]Tasa de Falla'!HK48)</f>
        <v>XXXX</v>
      </c>
      <c r="P48" s="473" t="str">
        <f>IF('[3]Tasa de Falla'!HL48=0,"",'[3]Tasa de Falla'!HL48)</f>
        <v>XXXX</v>
      </c>
      <c r="Q48" s="473" t="str">
        <f>IF('[3]Tasa de Falla'!HM48=0,"",'[3]Tasa de Falla'!HM48)</f>
        <v>XXXX</v>
      </c>
      <c r="R48" s="473" t="str">
        <f>IF('[3]Tasa de Falla'!HN48=0,"",'[3]Tasa de Falla'!HN48)</f>
        <v>XXXX</v>
      </c>
      <c r="S48" s="478"/>
      <c r="T48" s="474"/>
    </row>
    <row r="49" spans="2:20" s="468" customFormat="1" ht="18">
      <c r="B49" s="469"/>
      <c r="C49" s="475">
        <f>'[3]Tasa de Falla'!C49</f>
        <v>33</v>
      </c>
      <c r="D49" s="476" t="str">
        <f>'[3]Tasa de Falla'!D49</f>
        <v>SAN MARTIN C. - LA RIOJA</v>
      </c>
      <c r="E49" s="476">
        <f>'[3]Tasa de Falla'!E49</f>
        <v>132</v>
      </c>
      <c r="F49" s="477">
        <f>'[3]Tasa de Falla'!F49</f>
        <v>105</v>
      </c>
      <c r="G49" s="473" t="str">
        <f>IF('[3]Tasa de Falla'!HC49=0,"",'[3]Tasa de Falla'!HC49)</f>
        <v>XXXX</v>
      </c>
      <c r="H49" s="473" t="str">
        <f>IF('[3]Tasa de Falla'!HD49=0,"",'[3]Tasa de Falla'!HD49)</f>
        <v>XXXX</v>
      </c>
      <c r="I49" s="473" t="str">
        <f>IF('[3]Tasa de Falla'!HE49=0,"",'[3]Tasa de Falla'!HE49)</f>
        <v>XXXX</v>
      </c>
      <c r="J49" s="473" t="str">
        <f>IF('[3]Tasa de Falla'!HF49=0,"",'[3]Tasa de Falla'!HF49)</f>
        <v>XXXX</v>
      </c>
      <c r="K49" s="473" t="str">
        <f>IF('[3]Tasa de Falla'!HG49=0,"",'[3]Tasa de Falla'!HG49)</f>
        <v>XXXX</v>
      </c>
      <c r="L49" s="473" t="str">
        <f>IF('[3]Tasa de Falla'!HH49=0,"",'[3]Tasa de Falla'!HH49)</f>
        <v>XXXX</v>
      </c>
      <c r="M49" s="473" t="str">
        <f>IF('[3]Tasa de Falla'!HI49=0,"",'[3]Tasa de Falla'!HI49)</f>
        <v>XXXX</v>
      </c>
      <c r="N49" s="473" t="str">
        <f>IF('[3]Tasa de Falla'!HJ49=0,"",'[3]Tasa de Falla'!HJ49)</f>
        <v>XXXX</v>
      </c>
      <c r="O49" s="473" t="str">
        <f>IF('[3]Tasa de Falla'!HK49=0,"",'[3]Tasa de Falla'!HK49)</f>
        <v>XXXX</v>
      </c>
      <c r="P49" s="473" t="str">
        <f>IF('[3]Tasa de Falla'!HL49=0,"",'[3]Tasa de Falla'!HL49)</f>
        <v>XXXX</v>
      </c>
      <c r="Q49" s="473" t="str">
        <f>IF('[3]Tasa de Falla'!HM49=0,"",'[3]Tasa de Falla'!HM49)</f>
        <v>XXXX</v>
      </c>
      <c r="R49" s="473" t="str">
        <f>IF('[3]Tasa de Falla'!HN49=0,"",'[3]Tasa de Falla'!HN49)</f>
        <v>XXXX</v>
      </c>
      <c r="S49" s="478"/>
      <c r="T49" s="474"/>
    </row>
    <row r="50" spans="2:20" s="468" customFormat="1" ht="19.5" customHeight="1">
      <c r="B50" s="469"/>
      <c r="C50" s="475">
        <f>'[3]Tasa de Falla'!C50</f>
        <v>34</v>
      </c>
      <c r="D50" s="476" t="str">
        <f>'[3]Tasa de Falla'!D50</f>
        <v>SAN PEDRO JUJUY - LIBERTADOR NOA.</v>
      </c>
      <c r="E50" s="476">
        <f>'[3]Tasa de Falla'!E50</f>
        <v>132</v>
      </c>
      <c r="F50" s="477">
        <f>'[3]Tasa de Falla'!F50</f>
        <v>49</v>
      </c>
      <c r="G50" s="473">
        <f>IF('[3]Tasa de Falla'!HC50=0,"",'[3]Tasa de Falla'!HC50)</f>
      </c>
      <c r="H50" s="473">
        <f>IF('[3]Tasa de Falla'!HD50=0,"",'[3]Tasa de Falla'!HD50)</f>
      </c>
      <c r="I50" s="473">
        <f>IF('[3]Tasa de Falla'!HE50=0,"",'[3]Tasa de Falla'!HE50)</f>
      </c>
      <c r="J50" s="473">
        <f>IF('[3]Tasa de Falla'!HF50=0,"",'[3]Tasa de Falla'!HF50)</f>
        <v>1</v>
      </c>
      <c r="K50" s="473">
        <f>IF('[3]Tasa de Falla'!HG50=0,"",'[3]Tasa de Falla'!HG50)</f>
      </c>
      <c r="L50" s="473">
        <f>IF('[3]Tasa de Falla'!HH50=0,"",'[3]Tasa de Falla'!HH50)</f>
      </c>
      <c r="M50" s="473">
        <f>IF('[3]Tasa de Falla'!HI50=0,"",'[3]Tasa de Falla'!HI50)</f>
      </c>
      <c r="N50" s="473">
        <f>IF('[3]Tasa de Falla'!HJ50=0,"",'[3]Tasa de Falla'!HJ50)</f>
      </c>
      <c r="O50" s="473">
        <f>IF('[3]Tasa de Falla'!HK50=0,"",'[3]Tasa de Falla'!HK50)</f>
      </c>
      <c r="P50" s="473">
        <f>IF('[3]Tasa de Falla'!HL50=0,"",'[3]Tasa de Falla'!HL50)</f>
      </c>
      <c r="Q50" s="473">
        <f>IF('[3]Tasa de Falla'!HM50=0,"",'[3]Tasa de Falla'!HM50)</f>
      </c>
      <c r="R50" s="473">
        <f>IF('[3]Tasa de Falla'!HN50=0,"",'[3]Tasa de Falla'!HN50)</f>
      </c>
      <c r="S50" s="478"/>
      <c r="T50" s="474"/>
    </row>
    <row r="51" spans="2:20" s="468" customFormat="1" ht="19.5" customHeight="1">
      <c r="B51" s="469"/>
      <c r="C51" s="475">
        <f>'[3]Tasa de Falla'!C51</f>
        <v>35</v>
      </c>
      <c r="D51" s="476" t="str">
        <f>'[3]Tasa de Falla'!D51</f>
        <v>TUCUMAN NORTE - EL BRACHO</v>
      </c>
      <c r="E51" s="476">
        <f>'[3]Tasa de Falla'!E51</f>
        <v>132</v>
      </c>
      <c r="F51" s="477">
        <f>'[3]Tasa de Falla'!F51</f>
        <v>31.5</v>
      </c>
      <c r="G51" s="473">
        <f>IF('[3]Tasa de Falla'!HC51=0,"",'[3]Tasa de Falla'!HC51)</f>
      </c>
      <c r="H51" s="473">
        <f>IF('[3]Tasa de Falla'!HD51=0,"",'[3]Tasa de Falla'!HD51)</f>
      </c>
      <c r="I51" s="473">
        <f>IF('[3]Tasa de Falla'!HE51=0,"",'[3]Tasa de Falla'!HE51)</f>
      </c>
      <c r="J51" s="473">
        <f>IF('[3]Tasa de Falla'!HF51=0,"",'[3]Tasa de Falla'!HF51)</f>
      </c>
      <c r="K51" s="473">
        <f>IF('[3]Tasa de Falla'!HG51=0,"",'[3]Tasa de Falla'!HG51)</f>
      </c>
      <c r="L51" s="473">
        <f>IF('[3]Tasa de Falla'!HH51=0,"",'[3]Tasa de Falla'!HH51)</f>
      </c>
      <c r="M51" s="473">
        <f>IF('[3]Tasa de Falla'!HI51=0,"",'[3]Tasa de Falla'!HI51)</f>
      </c>
      <c r="N51" s="473">
        <f>IF('[3]Tasa de Falla'!HJ51=0,"",'[3]Tasa de Falla'!HJ51)</f>
      </c>
      <c r="O51" s="473">
        <f>IF('[3]Tasa de Falla'!HK51=0,"",'[3]Tasa de Falla'!HK51)</f>
      </c>
      <c r="P51" s="473">
        <f>IF('[3]Tasa de Falla'!HL51=0,"",'[3]Tasa de Falla'!HL51)</f>
      </c>
      <c r="Q51" s="473">
        <f>IF('[3]Tasa de Falla'!HM51=0,"",'[3]Tasa de Falla'!HM51)</f>
      </c>
      <c r="R51" s="473">
        <f>IF('[3]Tasa de Falla'!HN51=0,"",'[3]Tasa de Falla'!HN51)</f>
      </c>
      <c r="S51" s="478"/>
      <c r="T51" s="474"/>
    </row>
    <row r="52" spans="2:20" s="468" customFormat="1" ht="19.5" customHeight="1">
      <c r="B52" s="469"/>
      <c r="C52" s="475">
        <f>'[3]Tasa de Falla'!C52</f>
        <v>36</v>
      </c>
      <c r="D52" s="476" t="str">
        <f>'[3]Tasa de Falla'!D52</f>
        <v>C.H. EL CADILLAL - TUCUMAN NORTE</v>
      </c>
      <c r="E52" s="476">
        <f>'[3]Tasa de Falla'!E52</f>
        <v>132</v>
      </c>
      <c r="F52" s="477">
        <f>'[3]Tasa de Falla'!F52</f>
        <v>21.78</v>
      </c>
      <c r="G52" s="473">
        <f>IF('[3]Tasa de Falla'!HC52=0,"",'[3]Tasa de Falla'!HC52)</f>
      </c>
      <c r="H52" s="473">
        <f>IF('[3]Tasa de Falla'!HD52=0,"",'[3]Tasa de Falla'!HD52)</f>
      </c>
      <c r="I52" s="473">
        <f>IF('[3]Tasa de Falla'!HE52=0,"",'[3]Tasa de Falla'!HE52)</f>
      </c>
      <c r="J52" s="473">
        <f>IF('[3]Tasa de Falla'!HF52=0,"",'[3]Tasa de Falla'!HF52)</f>
      </c>
      <c r="K52" s="473">
        <f>IF('[3]Tasa de Falla'!HG52=0,"",'[3]Tasa de Falla'!HG52)</f>
      </c>
      <c r="L52" s="473">
        <f>IF('[3]Tasa de Falla'!HH52=0,"",'[3]Tasa de Falla'!HH52)</f>
      </c>
      <c r="M52" s="473">
        <f>IF('[3]Tasa de Falla'!HI52=0,"",'[3]Tasa de Falla'!HI52)</f>
      </c>
      <c r="N52" s="473">
        <f>IF('[3]Tasa de Falla'!HJ52=0,"",'[3]Tasa de Falla'!HJ52)</f>
        <v>1</v>
      </c>
      <c r="O52" s="473">
        <f>IF('[3]Tasa de Falla'!HK52=0,"",'[3]Tasa de Falla'!HK52)</f>
      </c>
      <c r="P52" s="473">
        <f>IF('[3]Tasa de Falla'!HL52=0,"",'[3]Tasa de Falla'!HL52)</f>
      </c>
      <c r="Q52" s="473">
        <f>IF('[3]Tasa de Falla'!HM52=0,"",'[3]Tasa de Falla'!HM52)</f>
      </c>
      <c r="R52" s="473">
        <f>IF('[3]Tasa de Falla'!HN52=0,"",'[3]Tasa de Falla'!HN52)</f>
      </c>
      <c r="S52" s="478"/>
      <c r="T52" s="474"/>
    </row>
    <row r="53" spans="2:20" s="468" customFormat="1" ht="19.5" customHeight="1">
      <c r="B53" s="469"/>
      <c r="C53" s="475">
        <f>'[3]Tasa de Falla'!C53</f>
        <v>37</v>
      </c>
      <c r="D53" s="476" t="str">
        <f>'[3]Tasa de Falla'!D53</f>
        <v>TUCUMAN NORTE - CABRA CORRAL</v>
      </c>
      <c r="E53" s="476">
        <f>'[3]Tasa de Falla'!E53</f>
        <v>132</v>
      </c>
      <c r="F53" s="477">
        <f>'[3]Tasa de Falla'!F53</f>
        <v>190</v>
      </c>
      <c r="G53" s="473" t="str">
        <f>IF('[3]Tasa de Falla'!HC53=0,"",'[3]Tasa de Falla'!HC53)</f>
        <v>XXXX</v>
      </c>
      <c r="H53" s="473" t="str">
        <f>IF('[3]Tasa de Falla'!HD53=0,"",'[3]Tasa de Falla'!HD53)</f>
        <v>XXXX</v>
      </c>
      <c r="I53" s="473" t="str">
        <f>IF('[3]Tasa de Falla'!HE53=0,"",'[3]Tasa de Falla'!HE53)</f>
        <v>XXXX</v>
      </c>
      <c r="J53" s="473" t="str">
        <f>IF('[3]Tasa de Falla'!HF53=0,"",'[3]Tasa de Falla'!HF53)</f>
        <v>XXXX</v>
      </c>
      <c r="K53" s="473" t="str">
        <f>IF('[3]Tasa de Falla'!HG53=0,"",'[3]Tasa de Falla'!HG53)</f>
        <v>XXXX</v>
      </c>
      <c r="L53" s="473" t="str">
        <f>IF('[3]Tasa de Falla'!HH53=0,"",'[3]Tasa de Falla'!HH53)</f>
        <v>XXXX</v>
      </c>
      <c r="M53" s="473" t="str">
        <f>IF('[3]Tasa de Falla'!HI53=0,"",'[3]Tasa de Falla'!HI53)</f>
        <v>XXXX</v>
      </c>
      <c r="N53" s="473" t="str">
        <f>IF('[3]Tasa de Falla'!HJ53=0,"",'[3]Tasa de Falla'!HJ53)</f>
        <v>XXXX</v>
      </c>
      <c r="O53" s="473" t="str">
        <f>IF('[3]Tasa de Falla'!HK53=0,"",'[3]Tasa de Falla'!HK53)</f>
        <v>XXXX</v>
      </c>
      <c r="P53" s="473" t="str">
        <f>IF('[3]Tasa de Falla'!HL53=0,"",'[3]Tasa de Falla'!HL53)</f>
        <v>XXXX</v>
      </c>
      <c r="Q53" s="473" t="str">
        <f>IF('[3]Tasa de Falla'!HM53=0,"",'[3]Tasa de Falla'!HM53)</f>
        <v>XXXX</v>
      </c>
      <c r="R53" s="473" t="str">
        <f>IF('[3]Tasa de Falla'!HN53=0,"",'[3]Tasa de Falla'!HN53)</f>
        <v>XXXX</v>
      </c>
      <c r="S53" s="478"/>
      <c r="T53" s="474"/>
    </row>
    <row r="54" spans="2:20" s="468" customFormat="1" ht="19.5" customHeight="1">
      <c r="B54" s="469"/>
      <c r="C54" s="475">
        <f>'[3]Tasa de Falla'!C54</f>
        <v>38</v>
      </c>
      <c r="D54" s="476" t="str">
        <f>'[3]Tasa de Falla'!D54</f>
        <v>METAN - TUCUMAN NORTE</v>
      </c>
      <c r="E54" s="476">
        <f>'[3]Tasa de Falla'!E54</f>
        <v>132</v>
      </c>
      <c r="F54" s="477">
        <f>'[3]Tasa de Falla'!F54</f>
        <v>155.6</v>
      </c>
      <c r="G54" s="473">
        <f>IF('[3]Tasa de Falla'!HC54=0,"",'[3]Tasa de Falla'!HC54)</f>
      </c>
      <c r="H54" s="473">
        <f>IF('[3]Tasa de Falla'!HD54=0,"",'[3]Tasa de Falla'!HD54)</f>
      </c>
      <c r="I54" s="473">
        <f>IF('[3]Tasa de Falla'!HE54=0,"",'[3]Tasa de Falla'!HE54)</f>
      </c>
      <c r="J54" s="473">
        <f>IF('[3]Tasa de Falla'!HF54=0,"",'[3]Tasa de Falla'!HF54)</f>
      </c>
      <c r="K54" s="473">
        <f>IF('[3]Tasa de Falla'!HG54=0,"",'[3]Tasa de Falla'!HG54)</f>
      </c>
      <c r="L54" s="473">
        <f>IF('[3]Tasa de Falla'!HH54=0,"",'[3]Tasa de Falla'!HH54)</f>
      </c>
      <c r="M54" s="473">
        <f>IF('[3]Tasa de Falla'!HI54=0,"",'[3]Tasa de Falla'!HI54)</f>
      </c>
      <c r="N54" s="473">
        <f>IF('[3]Tasa de Falla'!HJ54=0,"",'[3]Tasa de Falla'!HJ54)</f>
      </c>
      <c r="O54" s="473">
        <f>IF('[3]Tasa de Falla'!HK54=0,"",'[3]Tasa de Falla'!HK54)</f>
        <v>1</v>
      </c>
      <c r="P54" s="473">
        <f>IF('[3]Tasa de Falla'!HL54=0,"",'[3]Tasa de Falla'!HL54)</f>
        <v>1</v>
      </c>
      <c r="Q54" s="473">
        <f>IF('[3]Tasa de Falla'!HM54=0,"",'[3]Tasa de Falla'!HM54)</f>
        <v>1</v>
      </c>
      <c r="R54" s="473">
        <f>IF('[3]Tasa de Falla'!HN54=0,"",'[3]Tasa de Falla'!HN54)</f>
      </c>
      <c r="S54" s="478"/>
      <c r="T54" s="474"/>
    </row>
    <row r="55" spans="2:20" s="468" customFormat="1" ht="19.5" customHeight="1">
      <c r="B55" s="469"/>
      <c r="C55" s="475">
        <f>'[3]Tasa de Falla'!C55</f>
        <v>39</v>
      </c>
      <c r="D55" s="476" t="str">
        <f>'[3]Tasa de Falla'!D55</f>
        <v>SARMIENTO - TUCUMAN NORTE (O.F.)</v>
      </c>
      <c r="E55" s="476">
        <f>'[3]Tasa de Falla'!E55</f>
        <v>132</v>
      </c>
      <c r="F55" s="477">
        <f>'[3]Tasa de Falla'!F55</f>
        <v>3.3</v>
      </c>
      <c r="G55" s="473">
        <f>IF('[3]Tasa de Falla'!HC55=0,"",'[3]Tasa de Falla'!HC55)</f>
      </c>
      <c r="H55" s="473">
        <f>IF('[3]Tasa de Falla'!HD55=0,"",'[3]Tasa de Falla'!HD55)</f>
      </c>
      <c r="I55" s="473">
        <f>IF('[3]Tasa de Falla'!HE55=0,"",'[3]Tasa de Falla'!HE55)</f>
      </c>
      <c r="J55" s="473">
        <f>IF('[3]Tasa de Falla'!HF55=0,"",'[3]Tasa de Falla'!HF55)</f>
      </c>
      <c r="K55" s="473">
        <f>IF('[3]Tasa de Falla'!HG55=0,"",'[3]Tasa de Falla'!HG55)</f>
      </c>
      <c r="L55" s="473">
        <f>IF('[3]Tasa de Falla'!HH55=0,"",'[3]Tasa de Falla'!HH55)</f>
      </c>
      <c r="M55" s="473">
        <f>IF('[3]Tasa de Falla'!HI55=0,"",'[3]Tasa de Falla'!HI55)</f>
      </c>
      <c r="N55" s="473">
        <f>IF('[3]Tasa de Falla'!HJ55=0,"",'[3]Tasa de Falla'!HJ55)</f>
      </c>
      <c r="O55" s="473">
        <f>IF('[3]Tasa de Falla'!HK55=0,"",'[3]Tasa de Falla'!HK55)</f>
      </c>
      <c r="P55" s="473">
        <f>IF('[3]Tasa de Falla'!HL55=0,"",'[3]Tasa de Falla'!HL55)</f>
      </c>
      <c r="Q55" s="473">
        <f>IF('[3]Tasa de Falla'!HM55=0,"",'[3]Tasa de Falla'!HM55)</f>
      </c>
      <c r="R55" s="473">
        <f>IF('[3]Tasa de Falla'!HN55=0,"",'[3]Tasa de Falla'!HN55)</f>
      </c>
      <c r="S55" s="478"/>
      <c r="T55" s="474"/>
    </row>
    <row r="56" spans="2:20" s="468" customFormat="1" ht="19.5" customHeight="1">
      <c r="B56" s="469"/>
      <c r="C56" s="475">
        <f>'[3]Tasa de Falla'!C56</f>
        <v>40</v>
      </c>
      <c r="D56" s="476" t="str">
        <f>'[3]Tasa de Falla'!D56</f>
        <v>TUCUMAN OESTE - TUCUMAN NORTE</v>
      </c>
      <c r="E56" s="476">
        <f>'[3]Tasa de Falla'!E56</f>
        <v>132</v>
      </c>
      <c r="F56" s="477">
        <f>'[3]Tasa de Falla'!F56</f>
        <v>7</v>
      </c>
      <c r="G56" s="473">
        <f>IF('[3]Tasa de Falla'!HC56=0,"",'[3]Tasa de Falla'!HC56)</f>
      </c>
      <c r="H56" s="473">
        <f>IF('[3]Tasa de Falla'!HD56=0,"",'[3]Tasa de Falla'!HD56)</f>
      </c>
      <c r="I56" s="473">
        <f>IF('[3]Tasa de Falla'!HE56=0,"",'[3]Tasa de Falla'!HE56)</f>
      </c>
      <c r="J56" s="473">
        <f>IF('[3]Tasa de Falla'!HF56=0,"",'[3]Tasa de Falla'!HF56)</f>
      </c>
      <c r="K56" s="473">
        <f>IF('[3]Tasa de Falla'!HG56=0,"",'[3]Tasa de Falla'!HG56)</f>
      </c>
      <c r="L56" s="473">
        <f>IF('[3]Tasa de Falla'!HH56=0,"",'[3]Tasa de Falla'!HH56)</f>
      </c>
      <c r="M56" s="473">
        <f>IF('[3]Tasa de Falla'!HI56=0,"",'[3]Tasa de Falla'!HI56)</f>
      </c>
      <c r="N56" s="473">
        <f>IF('[3]Tasa de Falla'!HJ56=0,"",'[3]Tasa de Falla'!HJ56)</f>
      </c>
      <c r="O56" s="473">
        <f>IF('[3]Tasa de Falla'!HK56=0,"",'[3]Tasa de Falla'!HK56)</f>
      </c>
      <c r="P56" s="473">
        <f>IF('[3]Tasa de Falla'!HL56=0,"",'[3]Tasa de Falla'!HL56)</f>
      </c>
      <c r="Q56" s="473">
        <f>IF('[3]Tasa de Falla'!HM56=0,"",'[3]Tasa de Falla'!HM56)</f>
      </c>
      <c r="R56" s="473">
        <f>IF('[3]Tasa de Falla'!HN56=0,"",'[3]Tasa de Falla'!HN56)</f>
      </c>
      <c r="S56" s="478"/>
      <c r="T56" s="474"/>
    </row>
    <row r="57" spans="2:20" s="468" customFormat="1" ht="19.5" customHeight="1">
      <c r="B57" s="469"/>
      <c r="C57" s="475">
        <f>'[3]Tasa de Falla'!C57</f>
        <v>41</v>
      </c>
      <c r="D57" s="476" t="str">
        <f>'[3]Tasa de Falla'!D57</f>
        <v>AGUILARES - VILLA QUINTEROS</v>
      </c>
      <c r="E57" s="476">
        <f>'[3]Tasa de Falla'!E57</f>
        <v>132</v>
      </c>
      <c r="F57" s="477">
        <f>'[3]Tasa de Falla'!F57</f>
        <v>21</v>
      </c>
      <c r="G57" s="473">
        <f>IF('[3]Tasa de Falla'!HC57=0,"",'[3]Tasa de Falla'!HC57)</f>
      </c>
      <c r="H57" s="473">
        <f>IF('[3]Tasa de Falla'!HD57=0,"",'[3]Tasa de Falla'!HD57)</f>
      </c>
      <c r="I57" s="473">
        <f>IF('[3]Tasa de Falla'!HE57=0,"",'[3]Tasa de Falla'!HE57)</f>
      </c>
      <c r="J57" s="473">
        <f>IF('[3]Tasa de Falla'!HF57=0,"",'[3]Tasa de Falla'!HF57)</f>
        <v>1</v>
      </c>
      <c r="K57" s="473">
        <f>IF('[3]Tasa de Falla'!HG57=0,"",'[3]Tasa de Falla'!HG57)</f>
      </c>
      <c r="L57" s="473">
        <f>IF('[3]Tasa de Falla'!HH57=0,"",'[3]Tasa de Falla'!HH57)</f>
      </c>
      <c r="M57" s="473">
        <f>IF('[3]Tasa de Falla'!HI57=0,"",'[3]Tasa de Falla'!HI57)</f>
      </c>
      <c r="N57" s="473">
        <f>IF('[3]Tasa de Falla'!HJ57=0,"",'[3]Tasa de Falla'!HJ57)</f>
      </c>
      <c r="O57" s="473">
        <f>IF('[3]Tasa de Falla'!HK57=0,"",'[3]Tasa de Falla'!HK57)</f>
      </c>
      <c r="P57" s="473">
        <f>IF('[3]Tasa de Falla'!HL57=0,"",'[3]Tasa de Falla'!HL57)</f>
      </c>
      <c r="Q57" s="473">
        <f>IF('[3]Tasa de Falla'!HM57=0,"",'[3]Tasa de Falla'!HM57)</f>
      </c>
      <c r="R57" s="473">
        <f>IF('[3]Tasa de Falla'!HN57=0,"",'[3]Tasa de Falla'!HN57)</f>
      </c>
      <c r="S57" s="478"/>
      <c r="T57" s="474"/>
    </row>
    <row r="58" spans="2:20" s="468" customFormat="1" ht="19.5" customHeight="1">
      <c r="B58" s="469"/>
      <c r="C58" s="475">
        <f>'[3]Tasa de Falla'!C58</f>
        <v>42</v>
      </c>
      <c r="D58" s="476" t="str">
        <f>'[3]Tasa de Falla'!D58</f>
        <v>C.H. PUEBLO VIEJO - VILLA QUINTEROS </v>
      </c>
      <c r="E58" s="476">
        <f>'[3]Tasa de Falla'!E58</f>
        <v>132</v>
      </c>
      <c r="F58" s="477">
        <f>'[3]Tasa de Falla'!F58</f>
        <v>24.5</v>
      </c>
      <c r="G58" s="473">
        <f>IF('[3]Tasa de Falla'!HC58=0,"",'[3]Tasa de Falla'!HC58)</f>
      </c>
      <c r="H58" s="473">
        <f>IF('[3]Tasa de Falla'!HD58=0,"",'[3]Tasa de Falla'!HD58)</f>
      </c>
      <c r="I58" s="473">
        <f>IF('[3]Tasa de Falla'!HE58=0,"",'[3]Tasa de Falla'!HE58)</f>
      </c>
      <c r="J58" s="473">
        <f>IF('[3]Tasa de Falla'!HF58=0,"",'[3]Tasa de Falla'!HF58)</f>
      </c>
      <c r="K58" s="473">
        <f>IF('[3]Tasa de Falla'!HG58=0,"",'[3]Tasa de Falla'!HG58)</f>
      </c>
      <c r="L58" s="473">
        <f>IF('[3]Tasa de Falla'!HH58=0,"",'[3]Tasa de Falla'!HH58)</f>
      </c>
      <c r="M58" s="473">
        <f>IF('[3]Tasa de Falla'!HI58=0,"",'[3]Tasa de Falla'!HI58)</f>
      </c>
      <c r="N58" s="473">
        <f>IF('[3]Tasa de Falla'!HJ58=0,"",'[3]Tasa de Falla'!HJ58)</f>
      </c>
      <c r="O58" s="473">
        <f>IF('[3]Tasa de Falla'!HK58=0,"",'[3]Tasa de Falla'!HK58)</f>
      </c>
      <c r="P58" s="473">
        <f>IF('[3]Tasa de Falla'!HL58=0,"",'[3]Tasa de Falla'!HL58)</f>
      </c>
      <c r="Q58" s="473">
        <f>IF('[3]Tasa de Falla'!HM58=0,"",'[3]Tasa de Falla'!HM58)</f>
      </c>
      <c r="R58" s="473">
        <f>IF('[3]Tasa de Falla'!HN58=0,"",'[3]Tasa de Falla'!HN58)</f>
        <v>1</v>
      </c>
      <c r="S58" s="478"/>
      <c r="T58" s="474"/>
    </row>
    <row r="59" spans="2:20" s="468" customFormat="1" ht="19.5" customHeight="1">
      <c r="B59" s="469"/>
      <c r="C59" s="475">
        <f>'[3]Tasa de Falla'!C59</f>
        <v>43</v>
      </c>
      <c r="D59" s="476" t="str">
        <f>'[3]Tasa de Falla'!D59</f>
        <v>C.H. RIO HONDO - VILLA QUINTEROS</v>
      </c>
      <c r="E59" s="476">
        <f>'[3]Tasa de Falla'!E59</f>
        <v>132</v>
      </c>
      <c r="F59" s="477">
        <f>'[3]Tasa de Falla'!F59</f>
        <v>75.4</v>
      </c>
      <c r="G59" s="473">
        <f>IF('[3]Tasa de Falla'!HC59=0,"",'[3]Tasa de Falla'!HC59)</f>
      </c>
      <c r="H59" s="473">
        <f>IF('[3]Tasa de Falla'!HD59=0,"",'[3]Tasa de Falla'!HD59)</f>
      </c>
      <c r="I59" s="473">
        <f>IF('[3]Tasa de Falla'!HE59=0,"",'[3]Tasa de Falla'!HE59)</f>
      </c>
      <c r="J59" s="473">
        <f>IF('[3]Tasa de Falla'!HF59=0,"",'[3]Tasa de Falla'!HF59)</f>
      </c>
      <c r="K59" s="473">
        <f>IF('[3]Tasa de Falla'!HG59=0,"",'[3]Tasa de Falla'!HG59)</f>
      </c>
      <c r="L59" s="473">
        <f>IF('[3]Tasa de Falla'!HH59=0,"",'[3]Tasa de Falla'!HH59)</f>
      </c>
      <c r="M59" s="473">
        <f>IF('[3]Tasa de Falla'!HI59=0,"",'[3]Tasa de Falla'!HI59)</f>
      </c>
      <c r="N59" s="473">
        <f>IF('[3]Tasa de Falla'!HJ59=0,"",'[3]Tasa de Falla'!HJ59)</f>
      </c>
      <c r="O59" s="473">
        <f>IF('[3]Tasa de Falla'!HK59=0,"",'[3]Tasa de Falla'!HK59)</f>
      </c>
      <c r="P59" s="473">
        <f>IF('[3]Tasa de Falla'!HL59=0,"",'[3]Tasa de Falla'!HL59)</f>
        <v>1</v>
      </c>
      <c r="Q59" s="473">
        <f>IF('[3]Tasa de Falla'!HM59=0,"",'[3]Tasa de Falla'!HM59)</f>
      </c>
      <c r="R59" s="473">
        <f>IF('[3]Tasa de Falla'!HN59=0,"",'[3]Tasa de Falla'!HN59)</f>
      </c>
      <c r="S59" s="478"/>
      <c r="T59" s="474"/>
    </row>
    <row r="60" spans="2:20" s="468" customFormat="1" ht="19.5" customHeight="1">
      <c r="B60" s="469"/>
      <c r="C60" s="475">
        <f>'[3]Tasa de Falla'!C60</f>
        <v>44</v>
      </c>
      <c r="D60" s="476" t="str">
        <f>'[3]Tasa de Falla'!D60</f>
        <v>C.H. RIO HONDO - SANTIAGO CENTRO</v>
      </c>
      <c r="E60" s="476">
        <f>'[3]Tasa de Falla'!E60</f>
        <v>132</v>
      </c>
      <c r="F60" s="477">
        <f>'[3]Tasa de Falla'!F60</f>
        <v>79</v>
      </c>
      <c r="G60" s="473" t="str">
        <f>IF('[3]Tasa de Falla'!HC60=0,"",'[3]Tasa de Falla'!HC60)</f>
        <v>XXXX</v>
      </c>
      <c r="H60" s="473" t="str">
        <f>IF('[3]Tasa de Falla'!HD60=0,"",'[3]Tasa de Falla'!HD60)</f>
        <v>XXXX</v>
      </c>
      <c r="I60" s="473" t="str">
        <f>IF('[3]Tasa de Falla'!HE60=0,"",'[3]Tasa de Falla'!HE60)</f>
        <v>XXXX</v>
      </c>
      <c r="J60" s="473" t="str">
        <f>IF('[3]Tasa de Falla'!HF60=0,"",'[3]Tasa de Falla'!HF60)</f>
        <v>XXXX</v>
      </c>
      <c r="K60" s="473" t="str">
        <f>IF('[3]Tasa de Falla'!HG60=0,"",'[3]Tasa de Falla'!HG60)</f>
        <v>XXXX</v>
      </c>
      <c r="L60" s="473" t="str">
        <f>IF('[3]Tasa de Falla'!HH60=0,"",'[3]Tasa de Falla'!HH60)</f>
        <v>XXXX</v>
      </c>
      <c r="M60" s="473" t="str">
        <f>IF('[3]Tasa de Falla'!HI60=0,"",'[3]Tasa de Falla'!HI60)</f>
        <v>XXXX</v>
      </c>
      <c r="N60" s="473" t="str">
        <f>IF('[3]Tasa de Falla'!HJ60=0,"",'[3]Tasa de Falla'!HJ60)</f>
        <v>XXXX</v>
      </c>
      <c r="O60" s="473" t="str">
        <f>IF('[3]Tasa de Falla'!HK60=0,"",'[3]Tasa de Falla'!HK60)</f>
        <v>XXXX</v>
      </c>
      <c r="P60" s="473" t="str">
        <f>IF('[3]Tasa de Falla'!HL60=0,"",'[3]Tasa de Falla'!HL60)</f>
        <v>XXXX</v>
      </c>
      <c r="Q60" s="473" t="str">
        <f>IF('[3]Tasa de Falla'!HM60=0,"",'[3]Tasa de Falla'!HM60)</f>
        <v>XXXX</v>
      </c>
      <c r="R60" s="473" t="str">
        <f>IF('[3]Tasa de Falla'!HN60=0,"",'[3]Tasa de Falla'!HN60)</f>
        <v>XXXX</v>
      </c>
      <c r="S60" s="478"/>
      <c r="T60" s="474"/>
    </row>
    <row r="61" spans="2:20" s="468" customFormat="1" ht="19.5" customHeight="1">
      <c r="B61" s="469"/>
      <c r="C61" s="475">
        <f>'[3]Tasa de Falla'!C61</f>
        <v>45</v>
      </c>
      <c r="D61" s="476" t="str">
        <f>'[3]Tasa de Falla'!D61</f>
        <v>C.H. RIO HONDO - EL BRACHO</v>
      </c>
      <c r="E61" s="476">
        <f>'[3]Tasa de Falla'!E61</f>
        <v>132</v>
      </c>
      <c r="F61" s="477">
        <f>'[3]Tasa de Falla'!F61</f>
        <v>80.66</v>
      </c>
      <c r="G61" s="473">
        <f>IF('[3]Tasa de Falla'!HC61=0,"",'[3]Tasa de Falla'!HC61)</f>
      </c>
      <c r="H61" s="473">
        <f>IF('[3]Tasa de Falla'!HD61=0,"",'[3]Tasa de Falla'!HD61)</f>
      </c>
      <c r="I61" s="473">
        <f>IF('[3]Tasa de Falla'!HE61=0,"",'[3]Tasa de Falla'!HE61)</f>
      </c>
      <c r="J61" s="473">
        <f>IF('[3]Tasa de Falla'!HF61=0,"",'[3]Tasa de Falla'!HF61)</f>
      </c>
      <c r="K61" s="473">
        <f>IF('[3]Tasa de Falla'!HG61=0,"",'[3]Tasa de Falla'!HG61)</f>
      </c>
      <c r="L61" s="473">
        <f>IF('[3]Tasa de Falla'!HH61=0,"",'[3]Tasa de Falla'!HH61)</f>
      </c>
      <c r="M61" s="473">
        <f>IF('[3]Tasa de Falla'!HI61=0,"",'[3]Tasa de Falla'!HI61)</f>
      </c>
      <c r="N61" s="473">
        <f>IF('[3]Tasa de Falla'!HJ61=0,"",'[3]Tasa de Falla'!HJ61)</f>
        <v>1</v>
      </c>
      <c r="O61" s="473">
        <f>IF('[3]Tasa de Falla'!HK61=0,"",'[3]Tasa de Falla'!HK61)</f>
      </c>
      <c r="P61" s="473">
        <f>IF('[3]Tasa de Falla'!HL61=0,"",'[3]Tasa de Falla'!HL61)</f>
      </c>
      <c r="Q61" s="473">
        <f>IF('[3]Tasa de Falla'!HM61=0,"",'[3]Tasa de Falla'!HM61)</f>
      </c>
      <c r="R61" s="473">
        <f>IF('[3]Tasa de Falla'!HN61=0,"",'[3]Tasa de Falla'!HN61)</f>
      </c>
      <c r="S61" s="478"/>
      <c r="T61" s="474"/>
    </row>
    <row r="62" spans="2:20" s="468" customFormat="1" ht="19.5" customHeight="1">
      <c r="B62" s="469"/>
      <c r="C62" s="475">
        <f>'[3]Tasa de Falla'!C62</f>
        <v>46</v>
      </c>
      <c r="D62" s="476" t="str">
        <f>'[3]Tasa de Falla'!D62</f>
        <v>SALTA SUR - SALTA NORTE</v>
      </c>
      <c r="E62" s="476">
        <f>'[3]Tasa de Falla'!E62</f>
        <v>132</v>
      </c>
      <c r="F62" s="477">
        <f>'[3]Tasa de Falla'!F62</f>
        <v>10</v>
      </c>
      <c r="G62" s="473">
        <f>IF('[3]Tasa de Falla'!HC62=0,"",'[3]Tasa de Falla'!HC62)</f>
      </c>
      <c r="H62" s="473">
        <f>IF('[3]Tasa de Falla'!HD62=0,"",'[3]Tasa de Falla'!HD62)</f>
      </c>
      <c r="I62" s="473">
        <f>IF('[3]Tasa de Falla'!HE62=0,"",'[3]Tasa de Falla'!HE62)</f>
      </c>
      <c r="J62" s="473">
        <f>IF('[3]Tasa de Falla'!HF62=0,"",'[3]Tasa de Falla'!HF62)</f>
      </c>
      <c r="K62" s="473">
        <f>IF('[3]Tasa de Falla'!HG62=0,"",'[3]Tasa de Falla'!HG62)</f>
      </c>
      <c r="L62" s="473">
        <f>IF('[3]Tasa de Falla'!HH62=0,"",'[3]Tasa de Falla'!HH62)</f>
      </c>
      <c r="M62" s="473">
        <f>IF('[3]Tasa de Falla'!HI62=0,"",'[3]Tasa de Falla'!HI62)</f>
      </c>
      <c r="N62" s="473">
        <f>IF('[3]Tasa de Falla'!HJ62=0,"",'[3]Tasa de Falla'!HJ62)</f>
      </c>
      <c r="O62" s="473">
        <f>IF('[3]Tasa de Falla'!HK62=0,"",'[3]Tasa de Falla'!HK62)</f>
      </c>
      <c r="P62" s="473">
        <f>IF('[3]Tasa de Falla'!HL62=0,"",'[3]Tasa de Falla'!HL62)</f>
      </c>
      <c r="Q62" s="473">
        <f>IF('[3]Tasa de Falla'!HM62=0,"",'[3]Tasa de Falla'!HM62)</f>
      </c>
      <c r="R62" s="473">
        <f>IF('[3]Tasa de Falla'!HN62=0,"",'[3]Tasa de Falla'!HN62)</f>
      </c>
      <c r="S62" s="478"/>
      <c r="T62" s="474"/>
    </row>
    <row r="63" spans="2:20" s="468" customFormat="1" ht="19.5" customHeight="1">
      <c r="B63" s="469"/>
      <c r="C63" s="475">
        <f>'[3]Tasa de Falla'!C63</f>
        <v>47</v>
      </c>
      <c r="D63" s="476" t="str">
        <f>'[3]Tasa de Falla'!D63</f>
        <v>PALPALA - JUJUY ESTE</v>
      </c>
      <c r="E63" s="476">
        <f>'[3]Tasa de Falla'!E63</f>
        <v>132</v>
      </c>
      <c r="F63" s="477">
        <f>'[3]Tasa de Falla'!F63</f>
        <v>12.25</v>
      </c>
      <c r="G63" s="473">
        <f>IF('[3]Tasa de Falla'!HC63=0,"",'[3]Tasa de Falla'!HC63)</f>
      </c>
      <c r="H63" s="473">
        <f>IF('[3]Tasa de Falla'!HD63=0,"",'[3]Tasa de Falla'!HD63)</f>
      </c>
      <c r="I63" s="473">
        <f>IF('[3]Tasa de Falla'!HE63=0,"",'[3]Tasa de Falla'!HE63)</f>
      </c>
      <c r="J63" s="473">
        <f>IF('[3]Tasa de Falla'!HF63=0,"",'[3]Tasa de Falla'!HF63)</f>
        <v>1</v>
      </c>
      <c r="K63" s="473">
        <f>IF('[3]Tasa de Falla'!HG63=0,"",'[3]Tasa de Falla'!HG63)</f>
        <v>1</v>
      </c>
      <c r="L63" s="473">
        <f>IF('[3]Tasa de Falla'!HH63=0,"",'[3]Tasa de Falla'!HH63)</f>
      </c>
      <c r="M63" s="473">
        <f>IF('[3]Tasa de Falla'!HI63=0,"",'[3]Tasa de Falla'!HI63)</f>
      </c>
      <c r="N63" s="473">
        <f>IF('[3]Tasa de Falla'!HJ63=0,"",'[3]Tasa de Falla'!HJ63)</f>
        <v>2</v>
      </c>
      <c r="O63" s="473">
        <f>IF('[3]Tasa de Falla'!HK63=0,"",'[3]Tasa de Falla'!HK63)</f>
      </c>
      <c r="P63" s="473">
        <f>IF('[3]Tasa de Falla'!HL63=0,"",'[3]Tasa de Falla'!HL63)</f>
      </c>
      <c r="Q63" s="473">
        <f>IF('[3]Tasa de Falla'!HM63=0,"",'[3]Tasa de Falla'!HM63)</f>
        <v>1</v>
      </c>
      <c r="R63" s="473">
        <f>IF('[3]Tasa de Falla'!HN63=0,"",'[3]Tasa de Falla'!HN63)</f>
      </c>
      <c r="S63" s="478"/>
      <c r="T63" s="474"/>
    </row>
    <row r="64" spans="2:20" s="468" customFormat="1" ht="19.5" customHeight="1">
      <c r="B64" s="469"/>
      <c r="C64" s="475">
        <f>'[3]Tasa de Falla'!C64</f>
        <v>48</v>
      </c>
      <c r="D64" s="476" t="str">
        <f>'[3]Tasa de Falla'!D64</f>
        <v>JUJUY ESTE - JUJUY SUR</v>
      </c>
      <c r="E64" s="476">
        <f>'[3]Tasa de Falla'!E64</f>
        <v>132</v>
      </c>
      <c r="F64" s="477">
        <f>'[3]Tasa de Falla'!F64</f>
        <v>4.25</v>
      </c>
      <c r="G64" s="473">
        <f>IF('[3]Tasa de Falla'!HC64=0,"",'[3]Tasa de Falla'!HC64)</f>
      </c>
      <c r="H64" s="473">
        <f>IF('[3]Tasa de Falla'!HD64=0,"",'[3]Tasa de Falla'!HD64)</f>
      </c>
      <c r="I64" s="473">
        <f>IF('[3]Tasa de Falla'!HE64=0,"",'[3]Tasa de Falla'!HE64)</f>
        <v>1</v>
      </c>
      <c r="J64" s="473">
        <f>IF('[3]Tasa de Falla'!HF64=0,"",'[3]Tasa de Falla'!HF64)</f>
      </c>
      <c r="K64" s="473">
        <f>IF('[3]Tasa de Falla'!HG64=0,"",'[3]Tasa de Falla'!HG64)</f>
      </c>
      <c r="L64" s="473">
        <f>IF('[3]Tasa de Falla'!HH64=0,"",'[3]Tasa de Falla'!HH64)</f>
      </c>
      <c r="M64" s="473">
        <f>IF('[3]Tasa de Falla'!HI64=0,"",'[3]Tasa de Falla'!HI64)</f>
      </c>
      <c r="N64" s="473">
        <f>IF('[3]Tasa de Falla'!HJ64=0,"",'[3]Tasa de Falla'!HJ64)</f>
      </c>
      <c r="O64" s="473">
        <f>IF('[3]Tasa de Falla'!HK64=0,"",'[3]Tasa de Falla'!HK64)</f>
      </c>
      <c r="P64" s="473">
        <f>IF('[3]Tasa de Falla'!HL64=0,"",'[3]Tasa de Falla'!HL64)</f>
      </c>
      <c r="Q64" s="473">
        <f>IF('[3]Tasa de Falla'!HM64=0,"",'[3]Tasa de Falla'!HM64)</f>
      </c>
      <c r="R64" s="473">
        <f>IF('[3]Tasa de Falla'!HN64=0,"",'[3]Tasa de Falla'!HN64)</f>
      </c>
      <c r="S64" s="478"/>
      <c r="T64" s="474"/>
    </row>
    <row r="65" spans="2:20" s="468" customFormat="1" ht="18">
      <c r="B65" s="469"/>
      <c r="C65" s="475">
        <f>'[3]Tasa de Falla'!C65</f>
        <v>49</v>
      </c>
      <c r="D65" s="476" t="str">
        <f>'[3]Tasa de Falla'!D65</f>
        <v>CEVIL POZO - GUEMES</v>
      </c>
      <c r="E65" s="476">
        <f>'[3]Tasa de Falla'!E65</f>
        <v>132</v>
      </c>
      <c r="F65" s="477">
        <f>'[3]Tasa de Falla'!F65</f>
        <v>291</v>
      </c>
      <c r="G65" s="473" t="str">
        <f>IF('[3]Tasa de Falla'!HC65=0,"",'[3]Tasa de Falla'!HC65)</f>
        <v>XXXX</v>
      </c>
      <c r="H65" s="473" t="str">
        <f>IF('[3]Tasa de Falla'!HD65=0,"",'[3]Tasa de Falla'!HD65)</f>
        <v>XXXX</v>
      </c>
      <c r="I65" s="473" t="str">
        <f>IF('[3]Tasa de Falla'!HE65=0,"",'[3]Tasa de Falla'!HE65)</f>
        <v>XXXX</v>
      </c>
      <c r="J65" s="473" t="str">
        <f>IF('[3]Tasa de Falla'!HF65=0,"",'[3]Tasa de Falla'!HF65)</f>
        <v>XXXX</v>
      </c>
      <c r="K65" s="473" t="str">
        <f>IF('[3]Tasa de Falla'!HG65=0,"",'[3]Tasa de Falla'!HG65)</f>
        <v>XXXX</v>
      </c>
      <c r="L65" s="473" t="str">
        <f>IF('[3]Tasa de Falla'!HH65=0,"",'[3]Tasa de Falla'!HH65)</f>
        <v>XXXX</v>
      </c>
      <c r="M65" s="473" t="str">
        <f>IF('[3]Tasa de Falla'!HI65=0,"",'[3]Tasa de Falla'!HI65)</f>
        <v>XXXX</v>
      </c>
      <c r="N65" s="473" t="str">
        <f>IF('[3]Tasa de Falla'!HJ65=0,"",'[3]Tasa de Falla'!HJ65)</f>
        <v>XXXX</v>
      </c>
      <c r="O65" s="473" t="str">
        <f>IF('[3]Tasa de Falla'!HK65=0,"",'[3]Tasa de Falla'!HK65)</f>
        <v>XXXX</v>
      </c>
      <c r="P65" s="473" t="str">
        <f>IF('[3]Tasa de Falla'!HL65=0,"",'[3]Tasa de Falla'!HL65)</f>
        <v>XXXX</v>
      </c>
      <c r="Q65" s="473" t="str">
        <f>IF('[3]Tasa de Falla'!HM65=0,"",'[3]Tasa de Falla'!HM65)</f>
        <v>XXXX</v>
      </c>
      <c r="R65" s="473" t="str">
        <f>IF('[3]Tasa de Falla'!HN65=0,"",'[3]Tasa de Falla'!HN65)</f>
        <v>XXXX</v>
      </c>
      <c r="S65" s="478"/>
      <c r="T65" s="474"/>
    </row>
    <row r="66" spans="2:20" s="468" customFormat="1" ht="19.5" customHeight="1">
      <c r="B66" s="469"/>
      <c r="C66" s="475">
        <f>'[3]Tasa de Falla'!C66</f>
        <v>50</v>
      </c>
      <c r="D66" s="476" t="str">
        <f>'[3]Tasa de Falla'!D66</f>
        <v>CEVIL POZO - EL BRACHO</v>
      </c>
      <c r="E66" s="476">
        <f>'[3]Tasa de Falla'!E66</f>
        <v>132</v>
      </c>
      <c r="F66" s="477">
        <f>'[3]Tasa de Falla'!F66</f>
        <v>17</v>
      </c>
      <c r="G66" s="473">
        <f>IF('[3]Tasa de Falla'!HC66=0,"",'[3]Tasa de Falla'!HC66)</f>
      </c>
      <c r="H66" s="473">
        <f>IF('[3]Tasa de Falla'!HD66=0,"",'[3]Tasa de Falla'!HD66)</f>
      </c>
      <c r="I66" s="473">
        <f>IF('[3]Tasa de Falla'!HE66=0,"",'[3]Tasa de Falla'!HE66)</f>
      </c>
      <c r="J66" s="473">
        <f>IF('[3]Tasa de Falla'!HF66=0,"",'[3]Tasa de Falla'!HF66)</f>
      </c>
      <c r="K66" s="473">
        <f>IF('[3]Tasa de Falla'!HG66=0,"",'[3]Tasa de Falla'!HG66)</f>
      </c>
      <c r="L66" s="473">
        <f>IF('[3]Tasa de Falla'!HH66=0,"",'[3]Tasa de Falla'!HH66)</f>
      </c>
      <c r="M66" s="473">
        <f>IF('[3]Tasa de Falla'!HI66=0,"",'[3]Tasa de Falla'!HI66)</f>
      </c>
      <c r="N66" s="473">
        <f>IF('[3]Tasa de Falla'!HJ66=0,"",'[3]Tasa de Falla'!HJ66)</f>
      </c>
      <c r="O66" s="473">
        <f>IF('[3]Tasa de Falla'!HK66=0,"",'[3]Tasa de Falla'!HK66)</f>
      </c>
      <c r="P66" s="473">
        <f>IF('[3]Tasa de Falla'!HL66=0,"",'[3]Tasa de Falla'!HL66)</f>
      </c>
      <c r="Q66" s="473">
        <f>IF('[3]Tasa de Falla'!HM66=0,"",'[3]Tasa de Falla'!HM66)</f>
      </c>
      <c r="R66" s="473">
        <f>IF('[3]Tasa de Falla'!HN66=0,"",'[3]Tasa de Falla'!HN66)</f>
      </c>
      <c r="S66" s="478"/>
      <c r="T66" s="474"/>
    </row>
    <row r="67" spans="2:20" s="468" customFormat="1" ht="19.5" customHeight="1">
      <c r="B67" s="469"/>
      <c r="C67" s="475">
        <f>'[3]Tasa de Falla'!C68</f>
        <v>51</v>
      </c>
      <c r="D67" s="476" t="str">
        <f>'[3]Tasa de Falla'!D68</f>
        <v>METAN - EL TUNAL</v>
      </c>
      <c r="E67" s="476">
        <f>'[3]Tasa de Falla'!E68</f>
        <v>132</v>
      </c>
      <c r="F67" s="477">
        <f>'[3]Tasa de Falla'!F68</f>
        <v>75.6</v>
      </c>
      <c r="G67" s="473">
        <f>IF('[3]Tasa de Falla'!HC68=0,"",'[3]Tasa de Falla'!HC68)</f>
      </c>
      <c r="H67" s="473">
        <f>IF('[3]Tasa de Falla'!HD68=0,"",'[3]Tasa de Falla'!HD68)</f>
      </c>
      <c r="I67" s="473">
        <f>IF('[3]Tasa de Falla'!HE68=0,"",'[3]Tasa de Falla'!HE68)</f>
      </c>
      <c r="J67" s="473">
        <f>IF('[3]Tasa de Falla'!HF68=0,"",'[3]Tasa de Falla'!HF68)</f>
      </c>
      <c r="K67" s="473">
        <f>IF('[3]Tasa de Falla'!HG68=0,"",'[3]Tasa de Falla'!HG68)</f>
      </c>
      <c r="L67" s="473">
        <f>IF('[3]Tasa de Falla'!HH68=0,"",'[3]Tasa de Falla'!HH68)</f>
      </c>
      <c r="M67" s="473">
        <f>IF('[3]Tasa de Falla'!HI68=0,"",'[3]Tasa de Falla'!HI68)</f>
      </c>
      <c r="N67" s="473">
        <f>IF('[3]Tasa de Falla'!HJ68=0,"",'[3]Tasa de Falla'!HJ68)</f>
      </c>
      <c r="O67" s="473">
        <f>IF('[3]Tasa de Falla'!HK68=0,"",'[3]Tasa de Falla'!HK68)</f>
      </c>
      <c r="P67" s="473">
        <f>IF('[3]Tasa de Falla'!HL68=0,"",'[3]Tasa de Falla'!HL68)</f>
      </c>
      <c r="Q67" s="473">
        <f>IF('[3]Tasa de Falla'!HM68=0,"",'[3]Tasa de Falla'!HM68)</f>
      </c>
      <c r="R67" s="473">
        <f>IF('[3]Tasa de Falla'!HN68=0,"",'[3]Tasa de Falla'!HN68)</f>
      </c>
      <c r="S67" s="478"/>
      <c r="T67" s="474"/>
    </row>
    <row r="68" spans="2:20" s="468" customFormat="1" ht="19.5" customHeight="1">
      <c r="B68" s="469"/>
      <c r="C68" s="475">
        <f>'[3]Tasa de Falla'!C69</f>
        <v>52</v>
      </c>
      <c r="D68" s="476" t="str">
        <f>'[3]Tasa de Falla'!D69</f>
        <v>EL TUNAL - J.V. GONZALEZ</v>
      </c>
      <c r="E68" s="476">
        <f>'[3]Tasa de Falla'!E69</f>
        <v>132</v>
      </c>
      <c r="F68" s="477">
        <f>'[3]Tasa de Falla'!F69</f>
        <v>41.4</v>
      </c>
      <c r="G68" s="473">
        <f>IF('[3]Tasa de Falla'!HC69=0,"",'[3]Tasa de Falla'!HC69)</f>
      </c>
      <c r="H68" s="473">
        <f>IF('[3]Tasa de Falla'!HD69=0,"",'[3]Tasa de Falla'!HD69)</f>
      </c>
      <c r="I68" s="473">
        <f>IF('[3]Tasa de Falla'!HE69=0,"",'[3]Tasa de Falla'!HE69)</f>
      </c>
      <c r="J68" s="473">
        <f>IF('[3]Tasa de Falla'!HF69=0,"",'[3]Tasa de Falla'!HF69)</f>
      </c>
      <c r="K68" s="473">
        <f>IF('[3]Tasa de Falla'!HG69=0,"",'[3]Tasa de Falla'!HG69)</f>
      </c>
      <c r="L68" s="473">
        <f>IF('[3]Tasa de Falla'!HH69=0,"",'[3]Tasa de Falla'!HH69)</f>
      </c>
      <c r="M68" s="473">
        <f>IF('[3]Tasa de Falla'!HI69=0,"",'[3]Tasa de Falla'!HI69)</f>
        <v>1</v>
      </c>
      <c r="N68" s="473">
        <f>IF('[3]Tasa de Falla'!HJ69=0,"",'[3]Tasa de Falla'!HJ69)</f>
      </c>
      <c r="O68" s="473">
        <f>IF('[3]Tasa de Falla'!HK69=0,"",'[3]Tasa de Falla'!HK69)</f>
      </c>
      <c r="P68" s="473">
        <f>IF('[3]Tasa de Falla'!HL69=0,"",'[3]Tasa de Falla'!HL69)</f>
      </c>
      <c r="Q68" s="473">
        <f>IF('[3]Tasa de Falla'!HM69=0,"",'[3]Tasa de Falla'!HM69)</f>
      </c>
      <c r="R68" s="473">
        <f>IF('[3]Tasa de Falla'!HN69=0,"",'[3]Tasa de Falla'!HN69)</f>
      </c>
      <c r="S68" s="478"/>
      <c r="T68" s="474"/>
    </row>
    <row r="69" spans="2:20" s="468" customFormat="1" ht="19.5" customHeight="1">
      <c r="B69" s="469"/>
      <c r="C69" s="475">
        <f>'[3]Tasa de Falla'!C71</f>
        <v>53</v>
      </c>
      <c r="D69" s="476" t="str">
        <f>'[3]Tasa de Falla'!D71</f>
        <v>LOS PIZARROS - ESCABA</v>
      </c>
      <c r="E69" s="476">
        <f>'[3]Tasa de Falla'!E71</f>
        <v>132</v>
      </c>
      <c r="F69" s="477">
        <f>'[3]Tasa de Falla'!F71</f>
        <v>21.4</v>
      </c>
      <c r="G69" s="473">
        <f>IF('[3]Tasa de Falla'!HC71=0,"",'[3]Tasa de Falla'!HC71)</f>
      </c>
      <c r="H69" s="473">
        <f>IF('[3]Tasa de Falla'!HD71=0,"",'[3]Tasa de Falla'!HD71)</f>
        <v>1</v>
      </c>
      <c r="I69" s="473">
        <f>IF('[3]Tasa de Falla'!HE71=0,"",'[3]Tasa de Falla'!HE71)</f>
      </c>
      <c r="J69" s="473">
        <f>IF('[3]Tasa de Falla'!HF71=0,"",'[3]Tasa de Falla'!HF71)</f>
      </c>
      <c r="K69" s="473">
        <f>IF('[3]Tasa de Falla'!HG71=0,"",'[3]Tasa de Falla'!HG71)</f>
        <v>2</v>
      </c>
      <c r="L69" s="473">
        <f>IF('[3]Tasa de Falla'!HH71=0,"",'[3]Tasa de Falla'!HH71)</f>
      </c>
      <c r="M69" s="473">
        <f>IF('[3]Tasa de Falla'!HI71=0,"",'[3]Tasa de Falla'!HI71)</f>
      </c>
      <c r="N69" s="473">
        <f>IF('[3]Tasa de Falla'!HJ71=0,"",'[3]Tasa de Falla'!HJ71)</f>
      </c>
      <c r="O69" s="473">
        <f>IF('[3]Tasa de Falla'!HK71=0,"",'[3]Tasa de Falla'!HK71)</f>
      </c>
      <c r="P69" s="473">
        <f>IF('[3]Tasa de Falla'!HL71=0,"",'[3]Tasa de Falla'!HL71)</f>
      </c>
      <c r="Q69" s="473">
        <f>IF('[3]Tasa de Falla'!HM71=0,"",'[3]Tasa de Falla'!HM71)</f>
      </c>
      <c r="R69" s="473">
        <f>IF('[3]Tasa de Falla'!HN71=0,"",'[3]Tasa de Falla'!HN71)</f>
      </c>
      <c r="S69" s="478"/>
      <c r="T69" s="474"/>
    </row>
    <row r="70" spans="2:20" s="468" customFormat="1" ht="19.5" customHeight="1">
      <c r="B70" s="469"/>
      <c r="C70" s="475">
        <f>'[3]Tasa de Falla'!C72</f>
        <v>54</v>
      </c>
      <c r="D70" s="476" t="str">
        <f>'[3]Tasa de Falla'!D72</f>
        <v>LOS PIZARROS - LA COCHA</v>
      </c>
      <c r="E70" s="476">
        <f>'[3]Tasa de Falla'!E72</f>
        <v>132</v>
      </c>
      <c r="F70" s="477">
        <f>'[3]Tasa de Falla'!F72</f>
        <v>6.5</v>
      </c>
      <c r="G70" s="473">
        <f>IF('[3]Tasa de Falla'!HC72=0,"",'[3]Tasa de Falla'!HC72)</f>
      </c>
      <c r="H70" s="473">
        <f>IF('[3]Tasa de Falla'!HD72=0,"",'[3]Tasa de Falla'!HD72)</f>
      </c>
      <c r="I70" s="473">
        <f>IF('[3]Tasa de Falla'!HE72=0,"",'[3]Tasa de Falla'!HE72)</f>
      </c>
      <c r="J70" s="473">
        <f>IF('[3]Tasa de Falla'!HF72=0,"",'[3]Tasa de Falla'!HF72)</f>
      </c>
      <c r="K70" s="473">
        <f>IF('[3]Tasa de Falla'!HG72=0,"",'[3]Tasa de Falla'!HG72)</f>
      </c>
      <c r="L70" s="473">
        <f>IF('[3]Tasa de Falla'!HH72=0,"",'[3]Tasa de Falla'!HH72)</f>
      </c>
      <c r="M70" s="473">
        <f>IF('[3]Tasa de Falla'!HI72=0,"",'[3]Tasa de Falla'!HI72)</f>
      </c>
      <c r="N70" s="473">
        <f>IF('[3]Tasa de Falla'!HJ72=0,"",'[3]Tasa de Falla'!HJ72)</f>
      </c>
      <c r="O70" s="473">
        <f>IF('[3]Tasa de Falla'!HK72=0,"",'[3]Tasa de Falla'!HK72)</f>
      </c>
      <c r="P70" s="473">
        <f>IF('[3]Tasa de Falla'!HL72=0,"",'[3]Tasa de Falla'!HL72)</f>
      </c>
      <c r="Q70" s="473">
        <f>IF('[3]Tasa de Falla'!HM72=0,"",'[3]Tasa de Falla'!HM72)</f>
      </c>
      <c r="R70" s="473">
        <f>IF('[3]Tasa de Falla'!HN72=0,"",'[3]Tasa de Falla'!HN72)</f>
      </c>
      <c r="S70" s="478"/>
      <c r="T70" s="474"/>
    </row>
    <row r="71" spans="2:20" s="468" customFormat="1" ht="19.5" customHeight="1">
      <c r="B71" s="469"/>
      <c r="C71" s="475">
        <f>'[3]Tasa de Falla'!C73</f>
        <v>55</v>
      </c>
      <c r="D71" s="476" t="str">
        <f>'[3]Tasa de Falla'!D73</f>
        <v>HUACRA - LOS PIZARROS</v>
      </c>
      <c r="E71" s="476">
        <f>'[3]Tasa de Falla'!E73</f>
        <v>132</v>
      </c>
      <c r="F71" s="477">
        <f>'[3]Tasa de Falla'!F73</f>
        <v>28.5</v>
      </c>
      <c r="G71" s="473">
        <f>IF('[3]Tasa de Falla'!HC73=0,"",'[3]Tasa de Falla'!HC73)</f>
      </c>
      <c r="H71" s="473">
        <f>IF('[3]Tasa de Falla'!HD73=0,"",'[3]Tasa de Falla'!HD73)</f>
      </c>
      <c r="I71" s="473">
        <f>IF('[3]Tasa de Falla'!HE73=0,"",'[3]Tasa de Falla'!HE73)</f>
      </c>
      <c r="J71" s="473">
        <f>IF('[3]Tasa de Falla'!HF73=0,"",'[3]Tasa de Falla'!HF73)</f>
      </c>
      <c r="K71" s="473">
        <f>IF('[3]Tasa de Falla'!HG73=0,"",'[3]Tasa de Falla'!HG73)</f>
      </c>
      <c r="L71" s="473">
        <f>IF('[3]Tasa de Falla'!HH73=0,"",'[3]Tasa de Falla'!HH73)</f>
      </c>
      <c r="M71" s="473">
        <f>IF('[3]Tasa de Falla'!HI73=0,"",'[3]Tasa de Falla'!HI73)</f>
      </c>
      <c r="N71" s="473">
        <f>IF('[3]Tasa de Falla'!HJ73=0,"",'[3]Tasa de Falla'!HJ73)</f>
      </c>
      <c r="O71" s="473">
        <f>IF('[3]Tasa de Falla'!HK73=0,"",'[3]Tasa de Falla'!HK73)</f>
      </c>
      <c r="P71" s="473">
        <f>IF('[3]Tasa de Falla'!HL73=0,"",'[3]Tasa de Falla'!HL73)</f>
        <v>1</v>
      </c>
      <c r="Q71" s="473">
        <f>IF('[3]Tasa de Falla'!HM73=0,"",'[3]Tasa de Falla'!HM73)</f>
      </c>
      <c r="R71" s="473">
        <f>IF('[3]Tasa de Falla'!HN73=0,"",'[3]Tasa de Falla'!HN73)</f>
      </c>
      <c r="S71" s="478"/>
      <c r="T71" s="474"/>
    </row>
    <row r="72" spans="2:20" s="468" customFormat="1" ht="19.5" customHeight="1">
      <c r="B72" s="469"/>
      <c r="C72" s="475">
        <f>'[3]Tasa de Falla'!C74</f>
        <v>56</v>
      </c>
      <c r="D72" s="476" t="str">
        <f>'[3]Tasa de Falla'!D74</f>
        <v>CEVIL POZO - AVELLANEDA</v>
      </c>
      <c r="E72" s="476">
        <f>'[3]Tasa de Falla'!E74</f>
        <v>132</v>
      </c>
      <c r="F72" s="477">
        <f>'[3]Tasa de Falla'!F74</f>
        <v>8</v>
      </c>
      <c r="G72" s="473">
        <f>IF('[3]Tasa de Falla'!HC74=0,"",'[3]Tasa de Falla'!HC74)</f>
      </c>
      <c r="H72" s="473">
        <f>IF('[3]Tasa de Falla'!HD74=0,"",'[3]Tasa de Falla'!HD74)</f>
      </c>
      <c r="I72" s="473">
        <f>IF('[3]Tasa de Falla'!HE74=0,"",'[3]Tasa de Falla'!HE74)</f>
      </c>
      <c r="J72" s="473">
        <f>IF('[3]Tasa de Falla'!HF74=0,"",'[3]Tasa de Falla'!HF74)</f>
      </c>
      <c r="K72" s="473">
        <f>IF('[3]Tasa de Falla'!HG74=0,"",'[3]Tasa de Falla'!HG74)</f>
      </c>
      <c r="L72" s="473">
        <f>IF('[3]Tasa de Falla'!HH74=0,"",'[3]Tasa de Falla'!HH74)</f>
      </c>
      <c r="M72" s="473">
        <f>IF('[3]Tasa de Falla'!HI74=0,"",'[3]Tasa de Falla'!HI74)</f>
      </c>
      <c r="N72" s="473">
        <f>IF('[3]Tasa de Falla'!HJ74=0,"",'[3]Tasa de Falla'!HJ74)</f>
      </c>
      <c r="O72" s="473">
        <f>IF('[3]Tasa de Falla'!HK74=0,"",'[3]Tasa de Falla'!HK74)</f>
      </c>
      <c r="P72" s="473">
        <f>IF('[3]Tasa de Falla'!HL74=0,"",'[3]Tasa de Falla'!HL74)</f>
      </c>
      <c r="Q72" s="473">
        <f>IF('[3]Tasa de Falla'!HM74=0,"",'[3]Tasa de Falla'!HM74)</f>
      </c>
      <c r="R72" s="473">
        <f>IF('[3]Tasa de Falla'!HN74=0,"",'[3]Tasa de Falla'!HN74)</f>
      </c>
      <c r="S72" s="478"/>
      <c r="T72" s="474"/>
    </row>
    <row r="73" spans="2:20" s="468" customFormat="1" ht="19.5" customHeight="1">
      <c r="B73" s="469"/>
      <c r="C73" s="475">
        <f>'[3]Tasa de Falla'!C75</f>
        <v>57</v>
      </c>
      <c r="D73" s="476" t="str">
        <f>'[3]Tasa de Falla'!D75</f>
        <v>CABRA CORRAL - SALTA ESTE</v>
      </c>
      <c r="E73" s="476">
        <f>'[3]Tasa de Falla'!E75</f>
        <v>132</v>
      </c>
      <c r="F73" s="477">
        <f>'[3]Tasa de Falla'!F75</f>
        <v>55</v>
      </c>
      <c r="G73" s="473">
        <f>IF('[3]Tasa de Falla'!HC75=0,"",'[3]Tasa de Falla'!HC75)</f>
        <v>1</v>
      </c>
      <c r="H73" s="473">
        <f>IF('[3]Tasa de Falla'!HD75=0,"",'[3]Tasa de Falla'!HD75)</f>
      </c>
      <c r="I73" s="473">
        <f>IF('[3]Tasa de Falla'!HE75=0,"",'[3]Tasa de Falla'!HE75)</f>
      </c>
      <c r="J73" s="473">
        <f>IF('[3]Tasa de Falla'!HF75=0,"",'[3]Tasa de Falla'!HF75)</f>
      </c>
      <c r="K73" s="473">
        <f>IF('[3]Tasa de Falla'!HG75=0,"",'[3]Tasa de Falla'!HG75)</f>
      </c>
      <c r="L73" s="473">
        <f>IF('[3]Tasa de Falla'!HH75=0,"",'[3]Tasa de Falla'!HH75)</f>
      </c>
      <c r="M73" s="473">
        <f>IF('[3]Tasa de Falla'!HI75=0,"",'[3]Tasa de Falla'!HI75)</f>
      </c>
      <c r="N73" s="473">
        <f>IF('[3]Tasa de Falla'!HJ75=0,"",'[3]Tasa de Falla'!HJ75)</f>
      </c>
      <c r="O73" s="473">
        <f>IF('[3]Tasa de Falla'!HK75=0,"",'[3]Tasa de Falla'!HK75)</f>
      </c>
      <c r="P73" s="473">
        <f>IF('[3]Tasa de Falla'!HL75=0,"",'[3]Tasa de Falla'!HL75)</f>
      </c>
      <c r="Q73" s="473">
        <f>IF('[3]Tasa de Falla'!HM75=0,"",'[3]Tasa de Falla'!HM75)</f>
      </c>
      <c r="R73" s="473">
        <f>IF('[3]Tasa de Falla'!HN75=0,"",'[3]Tasa de Falla'!HN75)</f>
      </c>
      <c r="S73" s="478"/>
      <c r="T73" s="474"/>
    </row>
    <row r="74" spans="2:20" s="468" customFormat="1" ht="19.5" customHeight="1">
      <c r="B74" s="469"/>
      <c r="C74" s="475">
        <f>'[3]Tasa de Falla'!C76</f>
        <v>58</v>
      </c>
      <c r="D74" s="476" t="str">
        <f>'[3]Tasa de Falla'!D76</f>
        <v>SALTA ESTE - SALTA SUR</v>
      </c>
      <c r="E74" s="476">
        <f>'[3]Tasa de Falla'!E76</f>
        <v>132</v>
      </c>
      <c r="F74" s="477">
        <f>'[3]Tasa de Falla'!F76</f>
        <v>7</v>
      </c>
      <c r="G74" s="473">
        <f>IF('[3]Tasa de Falla'!HC76=0,"",'[3]Tasa de Falla'!HC76)</f>
      </c>
      <c r="H74" s="473">
        <f>IF('[3]Tasa de Falla'!HD76=0,"",'[3]Tasa de Falla'!HD76)</f>
      </c>
      <c r="I74" s="473">
        <f>IF('[3]Tasa de Falla'!HE76=0,"",'[3]Tasa de Falla'!HE76)</f>
      </c>
      <c r="J74" s="473">
        <f>IF('[3]Tasa de Falla'!HF76=0,"",'[3]Tasa de Falla'!HF76)</f>
      </c>
      <c r="K74" s="473">
        <f>IF('[3]Tasa de Falla'!HG76=0,"",'[3]Tasa de Falla'!HG76)</f>
      </c>
      <c r="L74" s="473">
        <f>IF('[3]Tasa de Falla'!HH76=0,"",'[3]Tasa de Falla'!HH76)</f>
      </c>
      <c r="M74" s="473">
        <f>IF('[3]Tasa de Falla'!HI76=0,"",'[3]Tasa de Falla'!HI76)</f>
      </c>
      <c r="N74" s="473">
        <f>IF('[3]Tasa de Falla'!HJ76=0,"",'[3]Tasa de Falla'!HJ76)</f>
      </c>
      <c r="O74" s="473">
        <f>IF('[3]Tasa de Falla'!HK76=0,"",'[3]Tasa de Falla'!HK76)</f>
      </c>
      <c r="P74" s="473">
        <f>IF('[3]Tasa de Falla'!HL76=0,"",'[3]Tasa de Falla'!HL76)</f>
      </c>
      <c r="Q74" s="473">
        <f>IF('[3]Tasa de Falla'!HM76=0,"",'[3]Tasa de Falla'!HM76)</f>
      </c>
      <c r="R74" s="473">
        <f>IF('[3]Tasa de Falla'!HN76=0,"",'[3]Tasa de Falla'!HN76)</f>
      </c>
      <c r="S74" s="478"/>
      <c r="T74" s="474"/>
    </row>
    <row r="75" spans="2:20" s="468" customFormat="1" ht="19.5" customHeight="1">
      <c r="B75" s="469"/>
      <c r="C75" s="475">
        <f>'[3]Tasa de Falla'!C77</f>
        <v>59</v>
      </c>
      <c r="D75" s="476" t="str">
        <f>'[3]Tasa de Falla'!D77</f>
        <v>V. QUINTEROS - ACONQUIJA - ANDALGALA</v>
      </c>
      <c r="E75" s="476">
        <f>'[3]Tasa de Falla'!E77</f>
        <v>132</v>
      </c>
      <c r="F75" s="477">
        <f>'[3]Tasa de Falla'!F77</f>
        <v>102</v>
      </c>
      <c r="G75" s="473">
        <f>IF('[3]Tasa de Falla'!HC77=0,"",'[3]Tasa de Falla'!HC77)</f>
      </c>
      <c r="H75" s="473">
        <f>IF('[3]Tasa de Falla'!HD77=0,"",'[3]Tasa de Falla'!HD77)</f>
      </c>
      <c r="I75" s="473">
        <f>IF('[3]Tasa de Falla'!HE77=0,"",'[3]Tasa de Falla'!HE77)</f>
      </c>
      <c r="J75" s="473">
        <f>IF('[3]Tasa de Falla'!HF77=0,"",'[3]Tasa de Falla'!HF77)</f>
      </c>
      <c r="K75" s="473">
        <f>IF('[3]Tasa de Falla'!HG77=0,"",'[3]Tasa de Falla'!HG77)</f>
      </c>
      <c r="L75" s="473">
        <f>IF('[3]Tasa de Falla'!HH77=0,"",'[3]Tasa de Falla'!HH77)</f>
      </c>
      <c r="M75" s="473">
        <f>IF('[3]Tasa de Falla'!HI77=0,"",'[3]Tasa de Falla'!HI77)</f>
      </c>
      <c r="N75" s="473">
        <f>IF('[3]Tasa de Falla'!HJ77=0,"",'[3]Tasa de Falla'!HJ77)</f>
      </c>
      <c r="O75" s="473">
        <f>IF('[3]Tasa de Falla'!HK77=0,"",'[3]Tasa de Falla'!HK77)</f>
      </c>
      <c r="P75" s="473">
        <f>IF('[3]Tasa de Falla'!HL77=0,"",'[3]Tasa de Falla'!HL77)</f>
      </c>
      <c r="Q75" s="473">
        <f>IF('[3]Tasa de Falla'!HM77=0,"",'[3]Tasa de Falla'!HM77)</f>
      </c>
      <c r="R75" s="473">
        <f>IF('[3]Tasa de Falla'!HN77=0,"",'[3]Tasa de Falla'!HN77)</f>
      </c>
      <c r="S75" s="478"/>
      <c r="T75" s="474"/>
    </row>
    <row r="76" spans="2:20" s="468" customFormat="1" ht="19.5" customHeight="1">
      <c r="B76" s="469"/>
      <c r="C76" s="475">
        <f>'[3]Tasa de Falla'!C78</f>
        <v>60</v>
      </c>
      <c r="D76" s="476" t="str">
        <f>'[3]Tasa de Falla'!D78</f>
        <v>ANDALGALA - BELEN</v>
      </c>
      <c r="E76" s="476">
        <f>'[3]Tasa de Falla'!E78</f>
        <v>132</v>
      </c>
      <c r="F76" s="477">
        <f>'[3]Tasa de Falla'!F78</f>
        <v>80.3</v>
      </c>
      <c r="G76" s="473">
        <f>IF('[3]Tasa de Falla'!HC78=0,"",'[3]Tasa de Falla'!HC78)</f>
      </c>
      <c r="H76" s="473">
        <f>IF('[3]Tasa de Falla'!HD78=0,"",'[3]Tasa de Falla'!HD78)</f>
      </c>
      <c r="I76" s="473">
        <f>IF('[3]Tasa de Falla'!HE78=0,"",'[3]Tasa de Falla'!HE78)</f>
      </c>
      <c r="J76" s="473">
        <f>IF('[3]Tasa de Falla'!HF78=0,"",'[3]Tasa de Falla'!HF78)</f>
      </c>
      <c r="K76" s="473">
        <f>IF('[3]Tasa de Falla'!HG78=0,"",'[3]Tasa de Falla'!HG78)</f>
      </c>
      <c r="L76" s="473">
        <f>IF('[3]Tasa de Falla'!HH78=0,"",'[3]Tasa de Falla'!HH78)</f>
      </c>
      <c r="M76" s="473">
        <f>IF('[3]Tasa de Falla'!HI78=0,"",'[3]Tasa de Falla'!HI78)</f>
      </c>
      <c r="N76" s="473">
        <f>IF('[3]Tasa de Falla'!HJ78=0,"",'[3]Tasa de Falla'!HJ78)</f>
      </c>
      <c r="O76" s="473">
        <f>IF('[3]Tasa de Falla'!HK78=0,"",'[3]Tasa de Falla'!HK78)</f>
      </c>
      <c r="P76" s="473">
        <f>IF('[3]Tasa de Falla'!HL78=0,"",'[3]Tasa de Falla'!HL78)</f>
      </c>
      <c r="Q76" s="473">
        <f>IF('[3]Tasa de Falla'!HM78=0,"",'[3]Tasa de Falla'!HM78)</f>
      </c>
      <c r="R76" s="473">
        <f>IF('[3]Tasa de Falla'!HN78=0,"",'[3]Tasa de Falla'!HN78)</f>
      </c>
      <c r="S76" s="478"/>
      <c r="T76" s="474"/>
    </row>
    <row r="77" spans="2:20" s="468" customFormat="1" ht="19.5" customHeight="1">
      <c r="B77" s="469"/>
      <c r="C77" s="475">
        <f>'[3]Tasa de Falla'!C79</f>
        <v>61</v>
      </c>
      <c r="D77" s="476" t="str">
        <f>'[3]Tasa de Falla'!D79</f>
        <v>TUCUMAN NORTE - TRANCAS</v>
      </c>
      <c r="E77" s="476">
        <f>'[3]Tasa de Falla'!E79</f>
        <v>132</v>
      </c>
      <c r="F77" s="477">
        <f>'[3]Tasa de Falla'!F79</f>
        <v>75</v>
      </c>
      <c r="G77" s="473">
        <f>IF('[3]Tasa de Falla'!HC79=0,"",'[3]Tasa de Falla'!HC79)</f>
      </c>
      <c r="H77" s="473">
        <f>IF('[3]Tasa de Falla'!HD79=0,"",'[3]Tasa de Falla'!HD79)</f>
      </c>
      <c r="I77" s="473">
        <f>IF('[3]Tasa de Falla'!HE79=0,"",'[3]Tasa de Falla'!HE79)</f>
      </c>
      <c r="J77" s="473">
        <f>IF('[3]Tasa de Falla'!HF79=0,"",'[3]Tasa de Falla'!HF79)</f>
      </c>
      <c r="K77" s="473">
        <f>IF('[3]Tasa de Falla'!HG79=0,"",'[3]Tasa de Falla'!HG79)</f>
      </c>
      <c r="L77" s="473">
        <f>IF('[3]Tasa de Falla'!HH79=0,"",'[3]Tasa de Falla'!HH79)</f>
      </c>
      <c r="M77" s="473">
        <f>IF('[3]Tasa de Falla'!HI79=0,"",'[3]Tasa de Falla'!HI79)</f>
      </c>
      <c r="N77" s="473">
        <f>IF('[3]Tasa de Falla'!HJ79=0,"",'[3]Tasa de Falla'!HJ79)</f>
      </c>
      <c r="O77" s="473">
        <f>IF('[3]Tasa de Falla'!HK79=0,"",'[3]Tasa de Falla'!HK79)</f>
        <v>1</v>
      </c>
      <c r="P77" s="473">
        <f>IF('[3]Tasa de Falla'!HL79=0,"",'[3]Tasa de Falla'!HL79)</f>
      </c>
      <c r="Q77" s="473">
        <f>IF('[3]Tasa de Falla'!HM79=0,"",'[3]Tasa de Falla'!HM79)</f>
      </c>
      <c r="R77" s="473">
        <f>IF('[3]Tasa de Falla'!HN79=0,"",'[3]Tasa de Falla'!HN79)</f>
      </c>
      <c r="S77" s="478"/>
      <c r="T77" s="474"/>
    </row>
    <row r="78" spans="2:20" s="468" customFormat="1" ht="19.5" customHeight="1">
      <c r="B78" s="469"/>
      <c r="C78" s="475">
        <f>'[3]Tasa de Falla'!C80</f>
        <v>62</v>
      </c>
      <c r="D78" s="476" t="str">
        <f>'[3]Tasa de Falla'!D80</f>
        <v>CABRA CORRAL - TRANCAS</v>
      </c>
      <c r="E78" s="476">
        <f>'[3]Tasa de Falla'!E80</f>
        <v>132</v>
      </c>
      <c r="F78" s="477">
        <f>'[3]Tasa de Falla'!F80</f>
        <v>115</v>
      </c>
      <c r="G78" s="473" t="str">
        <f>IF('[3]Tasa de Falla'!HC80=0,"",'[3]Tasa de Falla'!HC80)</f>
        <v>XXXX</v>
      </c>
      <c r="H78" s="473" t="str">
        <f>IF('[3]Tasa de Falla'!HD80=0,"",'[3]Tasa de Falla'!HD80)</f>
        <v>XXXX</v>
      </c>
      <c r="I78" s="473" t="str">
        <f>IF('[3]Tasa de Falla'!HE80=0,"",'[3]Tasa de Falla'!HE80)</f>
        <v>XXXX</v>
      </c>
      <c r="J78" s="473" t="str">
        <f>IF('[3]Tasa de Falla'!HF80=0,"",'[3]Tasa de Falla'!HF80)</f>
        <v>XXXX</v>
      </c>
      <c r="K78" s="473" t="str">
        <f>IF('[3]Tasa de Falla'!HG80=0,"",'[3]Tasa de Falla'!HG80)</f>
        <v>XXXX</v>
      </c>
      <c r="L78" s="473" t="str">
        <f>IF('[3]Tasa de Falla'!HH80=0,"",'[3]Tasa de Falla'!HH80)</f>
        <v>XXXX</v>
      </c>
      <c r="M78" s="473" t="str">
        <f>IF('[3]Tasa de Falla'!HI80=0,"",'[3]Tasa de Falla'!HI80)</f>
        <v>XXXX</v>
      </c>
      <c r="N78" s="473" t="str">
        <f>IF('[3]Tasa de Falla'!HJ80=0,"",'[3]Tasa de Falla'!HJ80)</f>
        <v>XXXX</v>
      </c>
      <c r="O78" s="473" t="str">
        <f>IF('[3]Tasa de Falla'!HK80=0,"",'[3]Tasa de Falla'!HK80)</f>
        <v>XXXX</v>
      </c>
      <c r="P78" s="473" t="str">
        <f>IF('[3]Tasa de Falla'!HL80=0,"",'[3]Tasa de Falla'!HL80)</f>
        <v>XXXX</v>
      </c>
      <c r="Q78" s="473" t="str">
        <f>IF('[3]Tasa de Falla'!HM80=0,"",'[3]Tasa de Falla'!HM80)</f>
        <v>XXXX</v>
      </c>
      <c r="R78" s="473" t="str">
        <f>IF('[3]Tasa de Falla'!HN80=0,"",'[3]Tasa de Falla'!HN80)</f>
        <v>XXXX</v>
      </c>
      <c r="S78" s="478"/>
      <c r="T78" s="474"/>
    </row>
    <row r="79" spans="2:20" s="468" customFormat="1" ht="19.5" customHeight="1">
      <c r="B79" s="469"/>
      <c r="C79" s="475">
        <f>'[3]Tasa de Falla'!C81</f>
        <v>63</v>
      </c>
      <c r="D79" s="476" t="str">
        <f>'[3]Tasa de Falla'!D81</f>
        <v>LAS MADERAS - JUJUY SUR</v>
      </c>
      <c r="E79" s="476">
        <f>'[3]Tasa de Falla'!E81</f>
        <v>132</v>
      </c>
      <c r="F79" s="477">
        <f>'[3]Tasa de Falla'!F81</f>
        <v>29</v>
      </c>
      <c r="G79" s="473">
        <f>IF('[3]Tasa de Falla'!HC81=0,"",'[3]Tasa de Falla'!HC81)</f>
      </c>
      <c r="H79" s="473">
        <f>IF('[3]Tasa de Falla'!HD81=0,"",'[3]Tasa de Falla'!HD81)</f>
      </c>
      <c r="I79" s="473">
        <f>IF('[3]Tasa de Falla'!HE81=0,"",'[3]Tasa de Falla'!HE81)</f>
      </c>
      <c r="J79" s="473">
        <f>IF('[3]Tasa de Falla'!HF81=0,"",'[3]Tasa de Falla'!HF81)</f>
      </c>
      <c r="K79" s="473">
        <f>IF('[3]Tasa de Falla'!HG81=0,"",'[3]Tasa de Falla'!HG81)</f>
        <v>1</v>
      </c>
      <c r="L79" s="473">
        <f>IF('[3]Tasa de Falla'!HH81=0,"",'[3]Tasa de Falla'!HH81)</f>
      </c>
      <c r="M79" s="473">
        <f>IF('[3]Tasa de Falla'!HI81=0,"",'[3]Tasa de Falla'!HI81)</f>
      </c>
      <c r="N79" s="473">
        <f>IF('[3]Tasa de Falla'!HJ81=0,"",'[3]Tasa de Falla'!HJ81)</f>
      </c>
      <c r="O79" s="473">
        <f>IF('[3]Tasa de Falla'!HK81=0,"",'[3]Tasa de Falla'!HK81)</f>
      </c>
      <c r="P79" s="473">
        <f>IF('[3]Tasa de Falla'!HL81=0,"",'[3]Tasa de Falla'!HL81)</f>
        <v>1</v>
      </c>
      <c r="Q79" s="473">
        <f>IF('[3]Tasa de Falla'!HM81=0,"",'[3]Tasa de Falla'!HM81)</f>
        <v>1</v>
      </c>
      <c r="R79" s="473">
        <f>IF('[3]Tasa de Falla'!HN81=0,"",'[3]Tasa de Falla'!HN81)</f>
      </c>
      <c r="S79" s="478"/>
      <c r="T79" s="474"/>
    </row>
    <row r="80" spans="2:20" s="468" customFormat="1" ht="19.5" customHeight="1">
      <c r="B80" s="469"/>
      <c r="C80" s="475">
        <f>'[3]Tasa de Falla'!C82</f>
        <v>64</v>
      </c>
      <c r="D80" s="476" t="str">
        <f>'[3]Tasa de Falla'!D82</f>
        <v>BELEN - TINOGASTA</v>
      </c>
      <c r="E80" s="476">
        <f>'[3]Tasa de Falla'!E82</f>
        <v>132</v>
      </c>
      <c r="F80" s="477">
        <f>'[3]Tasa de Falla'!F82</f>
        <v>72</v>
      </c>
      <c r="G80" s="473">
        <f>IF('[3]Tasa de Falla'!HC82=0,"",'[3]Tasa de Falla'!HC82)</f>
      </c>
      <c r="H80" s="473">
        <f>IF('[3]Tasa de Falla'!HD82=0,"",'[3]Tasa de Falla'!HD82)</f>
      </c>
      <c r="I80" s="473">
        <f>IF('[3]Tasa de Falla'!HE82=0,"",'[3]Tasa de Falla'!HE82)</f>
      </c>
      <c r="J80" s="473">
        <f>IF('[3]Tasa de Falla'!HF82=0,"",'[3]Tasa de Falla'!HF82)</f>
      </c>
      <c r="K80" s="473">
        <f>IF('[3]Tasa de Falla'!HG82=0,"",'[3]Tasa de Falla'!HG82)</f>
      </c>
      <c r="L80" s="473">
        <f>IF('[3]Tasa de Falla'!HH82=0,"",'[3]Tasa de Falla'!HH82)</f>
      </c>
      <c r="M80" s="473">
        <f>IF('[3]Tasa de Falla'!HI82=0,"",'[3]Tasa de Falla'!HI82)</f>
      </c>
      <c r="N80" s="473">
        <f>IF('[3]Tasa de Falla'!HJ82=0,"",'[3]Tasa de Falla'!HJ82)</f>
      </c>
      <c r="O80" s="473">
        <f>IF('[3]Tasa de Falla'!HK82=0,"",'[3]Tasa de Falla'!HK82)</f>
        <v>1</v>
      </c>
      <c r="P80" s="473">
        <f>IF('[3]Tasa de Falla'!HL82=0,"",'[3]Tasa de Falla'!HL82)</f>
      </c>
      <c r="Q80" s="473">
        <f>IF('[3]Tasa de Falla'!HM82=0,"",'[3]Tasa de Falla'!HM82)</f>
      </c>
      <c r="R80" s="473">
        <f>IF('[3]Tasa de Falla'!HN82=0,"",'[3]Tasa de Falla'!HN82)</f>
      </c>
      <c r="S80" s="478"/>
      <c r="T80" s="474"/>
    </row>
    <row r="81" spans="2:20" s="468" customFormat="1" ht="19.5" customHeight="1">
      <c r="B81" s="469"/>
      <c r="C81" s="475">
        <f>'[3]Tasa de Falla'!C83</f>
        <v>65</v>
      </c>
      <c r="D81" s="476" t="str">
        <f>'[3]Tasa de Falla'!D83</f>
        <v>BURRUYACU - CEVIL POZO</v>
      </c>
      <c r="E81" s="476">
        <f>'[3]Tasa de Falla'!E83</f>
        <v>132</v>
      </c>
      <c r="F81" s="477">
        <f>'[3]Tasa de Falla'!F83</f>
        <v>56</v>
      </c>
      <c r="G81" s="473">
        <f>IF('[3]Tasa de Falla'!HC83=0,"",'[3]Tasa de Falla'!HC83)</f>
      </c>
      <c r="H81" s="473">
        <f>IF('[3]Tasa de Falla'!HD83=0,"",'[3]Tasa de Falla'!HD83)</f>
      </c>
      <c r="I81" s="473">
        <f>IF('[3]Tasa de Falla'!HE83=0,"",'[3]Tasa de Falla'!HE83)</f>
      </c>
      <c r="J81" s="473">
        <f>IF('[3]Tasa de Falla'!HF83=0,"",'[3]Tasa de Falla'!HF83)</f>
        <v>1</v>
      </c>
      <c r="K81" s="473">
        <f>IF('[3]Tasa de Falla'!HG83=0,"",'[3]Tasa de Falla'!HG83)</f>
        <v>1</v>
      </c>
      <c r="L81" s="473">
        <f>IF('[3]Tasa de Falla'!HH83=0,"",'[3]Tasa de Falla'!HH83)</f>
      </c>
      <c r="M81" s="473">
        <f>IF('[3]Tasa de Falla'!HI83=0,"",'[3]Tasa de Falla'!HI83)</f>
      </c>
      <c r="N81" s="473">
        <f>IF('[3]Tasa de Falla'!HJ83=0,"",'[3]Tasa de Falla'!HJ83)</f>
        <v>1</v>
      </c>
      <c r="O81" s="473">
        <f>IF('[3]Tasa de Falla'!HK83=0,"",'[3]Tasa de Falla'!HK83)</f>
      </c>
      <c r="P81" s="473">
        <f>IF('[3]Tasa de Falla'!HL83=0,"",'[3]Tasa de Falla'!HL83)</f>
      </c>
      <c r="Q81" s="473">
        <f>IF('[3]Tasa de Falla'!HM83=0,"",'[3]Tasa de Falla'!HM83)</f>
      </c>
      <c r="R81" s="473">
        <f>IF('[3]Tasa de Falla'!HN83=0,"",'[3]Tasa de Falla'!HN83)</f>
      </c>
      <c r="S81" s="478"/>
      <c r="T81" s="474"/>
    </row>
    <row r="82" spans="2:20" s="468" customFormat="1" ht="19.5" customHeight="1">
      <c r="B82" s="469"/>
      <c r="C82" s="475">
        <f>'[3]Tasa de Falla'!C84</f>
        <v>66</v>
      </c>
      <c r="D82" s="476" t="str">
        <f>'[3]Tasa de Falla'!D84</f>
        <v>GÜEMES - BURRUYACU</v>
      </c>
      <c r="E82" s="476">
        <f>'[3]Tasa de Falla'!E84</f>
        <v>132</v>
      </c>
      <c r="F82" s="477">
        <f>'[3]Tasa de Falla'!F84</f>
        <v>235.1</v>
      </c>
      <c r="G82" s="473" t="str">
        <f>IF('[3]Tasa de Falla'!HC84=0,"",'[3]Tasa de Falla'!HC84)</f>
        <v>XXXX</v>
      </c>
      <c r="H82" s="473" t="str">
        <f>IF('[3]Tasa de Falla'!HD84=0,"",'[3]Tasa de Falla'!HD84)</f>
        <v>XXXX</v>
      </c>
      <c r="I82" s="473" t="str">
        <f>IF('[3]Tasa de Falla'!HE84=0,"",'[3]Tasa de Falla'!HE84)</f>
        <v>XXXX</v>
      </c>
      <c r="J82" s="473" t="str">
        <f>IF('[3]Tasa de Falla'!HF84=0,"",'[3]Tasa de Falla'!HF84)</f>
        <v>XXXX</v>
      </c>
      <c r="K82" s="473" t="str">
        <f>IF('[3]Tasa de Falla'!HG84=0,"",'[3]Tasa de Falla'!HG84)</f>
        <v>XXXX</v>
      </c>
      <c r="L82" s="473" t="str">
        <f>IF('[3]Tasa de Falla'!HH84=0,"",'[3]Tasa de Falla'!HH84)</f>
        <v>XXXX</v>
      </c>
      <c r="M82" s="473" t="str">
        <f>IF('[3]Tasa de Falla'!HI84=0,"",'[3]Tasa de Falla'!HI84)</f>
        <v>XXXX</v>
      </c>
      <c r="N82" s="473" t="str">
        <f>IF('[3]Tasa de Falla'!HJ84=0,"",'[3]Tasa de Falla'!HJ84)</f>
        <v>XXXX</v>
      </c>
      <c r="O82" s="473" t="str">
        <f>IF('[3]Tasa de Falla'!HK84=0,"",'[3]Tasa de Falla'!HK84)</f>
        <v>XXXX</v>
      </c>
      <c r="P82" s="473" t="str">
        <f>IF('[3]Tasa de Falla'!HL84=0,"",'[3]Tasa de Falla'!HL84)</f>
        <v>XXXX</v>
      </c>
      <c r="Q82" s="473" t="str">
        <f>IF('[3]Tasa de Falla'!HM84=0,"",'[3]Tasa de Falla'!HM84)</f>
        <v>XXXX</v>
      </c>
      <c r="R82" s="473" t="str">
        <f>IF('[3]Tasa de Falla'!HN84=0,"",'[3]Tasa de Falla'!HN84)</f>
        <v>XXXX</v>
      </c>
      <c r="S82" s="478"/>
      <c r="T82" s="474"/>
    </row>
    <row r="83" spans="2:20" s="468" customFormat="1" ht="19.5" customHeight="1">
      <c r="B83" s="469"/>
      <c r="C83" s="475">
        <f>'[3]Tasa de Falla'!C85</f>
        <v>67</v>
      </c>
      <c r="D83" s="476" t="str">
        <f>'[3]Tasa de Falla'!D85</f>
        <v>FRIAS - RECREO</v>
      </c>
      <c r="E83" s="476">
        <f>'[3]Tasa de Falla'!E85</f>
        <v>132</v>
      </c>
      <c r="F83" s="477">
        <f>'[3]Tasa de Falla'!F85</f>
        <v>74.54</v>
      </c>
      <c r="G83" s="473">
        <f>IF('[3]Tasa de Falla'!HC85=0,"",'[3]Tasa de Falla'!HC85)</f>
      </c>
      <c r="H83" s="473">
        <f>IF('[3]Tasa de Falla'!HD85=0,"",'[3]Tasa de Falla'!HD85)</f>
      </c>
      <c r="I83" s="473">
        <f>IF('[3]Tasa de Falla'!HE85=0,"",'[3]Tasa de Falla'!HE85)</f>
      </c>
      <c r="J83" s="473">
        <f>IF('[3]Tasa de Falla'!HF85=0,"",'[3]Tasa de Falla'!HF85)</f>
      </c>
      <c r="K83" s="473">
        <f>IF('[3]Tasa de Falla'!HG85=0,"",'[3]Tasa de Falla'!HG85)</f>
      </c>
      <c r="L83" s="473">
        <f>IF('[3]Tasa de Falla'!HH85=0,"",'[3]Tasa de Falla'!HH85)</f>
      </c>
      <c r="M83" s="473">
        <f>IF('[3]Tasa de Falla'!HI85=0,"",'[3]Tasa de Falla'!HI85)</f>
      </c>
      <c r="N83" s="473">
        <f>IF('[3]Tasa de Falla'!HJ85=0,"",'[3]Tasa de Falla'!HJ85)</f>
      </c>
      <c r="O83" s="473">
        <f>IF('[3]Tasa de Falla'!HK85=0,"",'[3]Tasa de Falla'!HK85)</f>
      </c>
      <c r="P83" s="473">
        <f>IF('[3]Tasa de Falla'!HL85=0,"",'[3]Tasa de Falla'!HL85)</f>
      </c>
      <c r="Q83" s="473">
        <f>IF('[3]Tasa de Falla'!HM85=0,"",'[3]Tasa de Falla'!HM85)</f>
      </c>
      <c r="R83" s="473">
        <f>IF('[3]Tasa de Falla'!HN85=0,"",'[3]Tasa de Falla'!HN85)</f>
      </c>
      <c r="S83" s="478"/>
      <c r="T83" s="474"/>
    </row>
    <row r="84" spans="2:20" s="468" customFormat="1" ht="19.5" customHeight="1">
      <c r="B84" s="469"/>
      <c r="C84" s="475">
        <f>'[3]Tasa de Falla'!C86</f>
        <v>68</v>
      </c>
      <c r="D84" s="476" t="str">
        <f>'[3]Tasa de Falla'!D86</f>
        <v>RECREO - LA RIOJA 1</v>
      </c>
      <c r="E84" s="476">
        <f>'[3]Tasa de Falla'!E86</f>
        <v>132</v>
      </c>
      <c r="F84" s="477">
        <f>'[3]Tasa de Falla'!F86</f>
        <v>221</v>
      </c>
      <c r="G84" s="473">
        <f>IF('[3]Tasa de Falla'!HC86=0,"",'[3]Tasa de Falla'!HC86)</f>
      </c>
      <c r="H84" s="473">
        <f>IF('[3]Tasa de Falla'!HD86=0,"",'[3]Tasa de Falla'!HD86)</f>
      </c>
      <c r="I84" s="473">
        <f>IF('[3]Tasa de Falla'!HE86=0,"",'[3]Tasa de Falla'!HE86)</f>
      </c>
      <c r="J84" s="473">
        <f>IF('[3]Tasa de Falla'!HF86=0,"",'[3]Tasa de Falla'!HF86)</f>
      </c>
      <c r="K84" s="473">
        <f>IF('[3]Tasa de Falla'!HG86=0,"",'[3]Tasa de Falla'!HG86)</f>
      </c>
      <c r="L84" s="473">
        <f>IF('[3]Tasa de Falla'!HH86=0,"",'[3]Tasa de Falla'!HH86)</f>
      </c>
      <c r="M84" s="473">
        <f>IF('[3]Tasa de Falla'!HI86=0,"",'[3]Tasa de Falla'!HI86)</f>
      </c>
      <c r="N84" s="473">
        <f>IF('[3]Tasa de Falla'!HJ86=0,"",'[3]Tasa de Falla'!HJ86)</f>
      </c>
      <c r="O84" s="473">
        <f>IF('[3]Tasa de Falla'!HK86=0,"",'[3]Tasa de Falla'!HK86)</f>
      </c>
      <c r="P84" s="473">
        <f>IF('[3]Tasa de Falla'!HL86=0,"",'[3]Tasa de Falla'!HL86)</f>
      </c>
      <c r="Q84" s="473">
        <f>IF('[3]Tasa de Falla'!HM86=0,"",'[3]Tasa de Falla'!HM86)</f>
      </c>
      <c r="R84" s="473">
        <f>IF('[3]Tasa de Falla'!HN86=0,"",'[3]Tasa de Falla'!HN86)</f>
      </c>
      <c r="S84" s="478"/>
      <c r="T84" s="474"/>
    </row>
    <row r="85" spans="2:20" s="468" customFormat="1" ht="19.5" customHeight="1">
      <c r="B85" s="469"/>
      <c r="C85" s="475">
        <f>'[3]Tasa de Falla'!C87</f>
        <v>69</v>
      </c>
      <c r="D85" s="476" t="str">
        <f>'[3]Tasa de Falla'!D87</f>
        <v>RECREO - LA RIOJA 2</v>
      </c>
      <c r="E85" s="476">
        <f>'[3]Tasa de Falla'!E87</f>
        <v>132</v>
      </c>
      <c r="F85" s="477">
        <f>'[3]Tasa de Falla'!F87</f>
        <v>220</v>
      </c>
      <c r="G85" s="473">
        <f>IF('[3]Tasa de Falla'!HC87=0,"",'[3]Tasa de Falla'!HC87)</f>
      </c>
      <c r="H85" s="473">
        <f>IF('[3]Tasa de Falla'!HD87=0,"",'[3]Tasa de Falla'!HD87)</f>
        <v>1</v>
      </c>
      <c r="I85" s="473">
        <f>IF('[3]Tasa de Falla'!HE87=0,"",'[3]Tasa de Falla'!HE87)</f>
      </c>
      <c r="J85" s="473">
        <f>IF('[3]Tasa de Falla'!HF87=0,"",'[3]Tasa de Falla'!HF87)</f>
      </c>
      <c r="K85" s="473">
        <f>IF('[3]Tasa de Falla'!HG87=0,"",'[3]Tasa de Falla'!HG87)</f>
      </c>
      <c r="L85" s="473">
        <f>IF('[3]Tasa de Falla'!HH87=0,"",'[3]Tasa de Falla'!HH87)</f>
      </c>
      <c r="M85" s="473">
        <f>IF('[3]Tasa de Falla'!HI87=0,"",'[3]Tasa de Falla'!HI87)</f>
      </c>
      <c r="N85" s="473">
        <f>IF('[3]Tasa de Falla'!HJ87=0,"",'[3]Tasa de Falla'!HJ87)</f>
      </c>
      <c r="O85" s="473">
        <f>IF('[3]Tasa de Falla'!HK87=0,"",'[3]Tasa de Falla'!HK87)</f>
      </c>
      <c r="P85" s="473">
        <f>IF('[3]Tasa de Falla'!HL87=0,"",'[3]Tasa de Falla'!HL87)</f>
      </c>
      <c r="Q85" s="473">
        <f>IF('[3]Tasa de Falla'!HM87=0,"",'[3]Tasa de Falla'!HM87)</f>
      </c>
      <c r="R85" s="473">
        <f>IF('[3]Tasa de Falla'!HN87=0,"",'[3]Tasa de Falla'!HN87)</f>
      </c>
      <c r="S85" s="478"/>
      <c r="T85" s="474"/>
    </row>
    <row r="86" spans="2:20" s="468" customFormat="1" ht="19.5" customHeight="1">
      <c r="B86" s="469"/>
      <c r="C86" s="475">
        <f>'[3]Tasa de Falla'!C88</f>
        <v>70</v>
      </c>
      <c r="D86" s="476" t="str">
        <f>'[3]Tasa de Falla'!D88</f>
        <v>RECREO - CATAMARCA</v>
      </c>
      <c r="E86" s="476">
        <f>'[3]Tasa de Falla'!E88</f>
        <v>132</v>
      </c>
      <c r="F86" s="477">
        <f>'[3]Tasa de Falla'!F88</f>
        <v>203</v>
      </c>
      <c r="G86" s="473">
        <f>IF('[3]Tasa de Falla'!HC88=0,"",'[3]Tasa de Falla'!HC88)</f>
        <v>1</v>
      </c>
      <c r="H86" s="473">
        <f>IF('[3]Tasa de Falla'!HD88=0,"",'[3]Tasa de Falla'!HD88)</f>
      </c>
      <c r="I86" s="473">
        <f>IF('[3]Tasa de Falla'!HE88=0,"",'[3]Tasa de Falla'!HE88)</f>
      </c>
      <c r="J86" s="473">
        <f>IF('[3]Tasa de Falla'!HF88=0,"",'[3]Tasa de Falla'!HF88)</f>
      </c>
      <c r="K86" s="473">
        <f>IF('[3]Tasa de Falla'!HG88=0,"",'[3]Tasa de Falla'!HG88)</f>
      </c>
      <c r="L86" s="473">
        <f>IF('[3]Tasa de Falla'!HH88=0,"",'[3]Tasa de Falla'!HH88)</f>
      </c>
      <c r="M86" s="473">
        <f>IF('[3]Tasa de Falla'!HI88=0,"",'[3]Tasa de Falla'!HI88)</f>
      </c>
      <c r="N86" s="473">
        <f>IF('[3]Tasa de Falla'!HJ88=0,"",'[3]Tasa de Falla'!HJ88)</f>
      </c>
      <c r="O86" s="473">
        <f>IF('[3]Tasa de Falla'!HK88=0,"",'[3]Tasa de Falla'!HK88)</f>
      </c>
      <c r="P86" s="473">
        <f>IF('[3]Tasa de Falla'!HL88=0,"",'[3]Tasa de Falla'!HL88)</f>
      </c>
      <c r="Q86" s="473">
        <f>IF('[3]Tasa de Falla'!HM88=0,"",'[3]Tasa de Falla'!HM88)</f>
      </c>
      <c r="R86" s="473">
        <f>IF('[3]Tasa de Falla'!HN88=0,"",'[3]Tasa de Falla'!HN88)</f>
      </c>
      <c r="S86" s="478"/>
      <c r="T86" s="474"/>
    </row>
    <row r="87" spans="2:20" s="468" customFormat="1" ht="19.5" customHeight="1">
      <c r="B87" s="469"/>
      <c r="C87" s="475">
        <f>'[3]Tasa de Falla'!C89</f>
        <v>71</v>
      </c>
      <c r="D87" s="476" t="str">
        <f>'[3]Tasa de Falla'!D89</f>
        <v>CABRA CORRAL - EL CARRIL</v>
      </c>
      <c r="E87" s="476">
        <f>'[3]Tasa de Falla'!E89</f>
        <v>132</v>
      </c>
      <c r="F87" s="477">
        <f>'[3]Tasa de Falla'!F89</f>
        <v>33.55</v>
      </c>
      <c r="G87" s="473">
        <f>IF('[3]Tasa de Falla'!HC89=0,"",'[3]Tasa de Falla'!HC89)</f>
      </c>
      <c r="H87" s="473">
        <f>IF('[3]Tasa de Falla'!HD89=0,"",'[3]Tasa de Falla'!HD89)</f>
      </c>
      <c r="I87" s="473">
        <f>IF('[3]Tasa de Falla'!HE89=0,"",'[3]Tasa de Falla'!HE89)</f>
        <v>1</v>
      </c>
      <c r="J87" s="473">
        <f>IF('[3]Tasa de Falla'!HF89=0,"",'[3]Tasa de Falla'!HF89)</f>
        <v>1</v>
      </c>
      <c r="K87" s="473">
        <f>IF('[3]Tasa de Falla'!HG89=0,"",'[3]Tasa de Falla'!HG89)</f>
      </c>
      <c r="L87" s="473">
        <f>IF('[3]Tasa de Falla'!HH89=0,"",'[3]Tasa de Falla'!HH89)</f>
      </c>
      <c r="M87" s="473">
        <f>IF('[3]Tasa de Falla'!HI89=0,"",'[3]Tasa de Falla'!HI89)</f>
      </c>
      <c r="N87" s="473">
        <f>IF('[3]Tasa de Falla'!HJ89=0,"",'[3]Tasa de Falla'!HJ89)</f>
        <v>1</v>
      </c>
      <c r="O87" s="473">
        <f>IF('[3]Tasa de Falla'!HK89=0,"",'[3]Tasa de Falla'!HK89)</f>
        <v>1</v>
      </c>
      <c r="P87" s="473">
        <f>IF('[3]Tasa de Falla'!HL89=0,"",'[3]Tasa de Falla'!HL89)</f>
      </c>
      <c r="Q87" s="473">
        <f>IF('[3]Tasa de Falla'!HM89=0,"",'[3]Tasa de Falla'!HM89)</f>
      </c>
      <c r="R87" s="473">
        <f>IF('[3]Tasa de Falla'!HN89=0,"",'[3]Tasa de Falla'!HN89)</f>
      </c>
      <c r="S87" s="478"/>
      <c r="T87" s="474"/>
    </row>
    <row r="88" spans="2:20" s="468" customFormat="1" ht="19.5" customHeight="1">
      <c r="B88" s="469"/>
      <c r="C88" s="475">
        <f>'[3]Tasa de Falla'!C90</f>
        <v>72</v>
      </c>
      <c r="D88" s="476" t="str">
        <f>'[3]Tasa de Falla'!D90</f>
        <v>PAMPA GRANDE - CABRA CORRAL</v>
      </c>
      <c r="E88" s="476">
        <f>'[3]Tasa de Falla'!E90</f>
        <v>132</v>
      </c>
      <c r="F88" s="477">
        <f>'[3]Tasa de Falla'!F90</f>
        <v>60</v>
      </c>
      <c r="G88" s="473">
        <f>IF('[3]Tasa de Falla'!HC90=0,"",'[3]Tasa de Falla'!HC90)</f>
      </c>
      <c r="H88" s="473">
        <f>IF('[3]Tasa de Falla'!HD90=0,"",'[3]Tasa de Falla'!HD90)</f>
      </c>
      <c r="I88" s="473">
        <f>IF('[3]Tasa de Falla'!HE90=0,"",'[3]Tasa de Falla'!HE90)</f>
        <v>1</v>
      </c>
      <c r="J88" s="473">
        <f>IF('[3]Tasa de Falla'!HF90=0,"",'[3]Tasa de Falla'!HF90)</f>
        <v>1</v>
      </c>
      <c r="K88" s="473">
        <f>IF('[3]Tasa de Falla'!HG90=0,"",'[3]Tasa de Falla'!HG90)</f>
      </c>
      <c r="L88" s="473">
        <f>IF('[3]Tasa de Falla'!HH90=0,"",'[3]Tasa de Falla'!HH90)</f>
        <v>1</v>
      </c>
      <c r="M88" s="473">
        <f>IF('[3]Tasa de Falla'!HI90=0,"",'[3]Tasa de Falla'!HI90)</f>
      </c>
      <c r="N88" s="473">
        <f>IF('[3]Tasa de Falla'!HJ90=0,"",'[3]Tasa de Falla'!HJ90)</f>
      </c>
      <c r="O88" s="473">
        <f>IF('[3]Tasa de Falla'!HK90=0,"",'[3]Tasa de Falla'!HK90)</f>
        <v>1</v>
      </c>
      <c r="P88" s="473">
        <f>IF('[3]Tasa de Falla'!HL90=0,"",'[3]Tasa de Falla'!HL90)</f>
      </c>
      <c r="Q88" s="473">
        <f>IF('[3]Tasa de Falla'!HM90=0,"",'[3]Tasa de Falla'!HM90)</f>
      </c>
      <c r="R88" s="473">
        <f>IF('[3]Tasa de Falla'!HN90=0,"",'[3]Tasa de Falla'!HN90)</f>
      </c>
      <c r="S88" s="478"/>
      <c r="T88" s="474"/>
    </row>
    <row r="89" spans="2:20" s="468" customFormat="1" ht="19.5" customHeight="1">
      <c r="B89" s="469"/>
      <c r="C89" s="475">
        <f>'[3]Tasa de Falla'!C91</f>
        <v>73</v>
      </c>
      <c r="D89" s="476" t="str">
        <f>'[3]Tasa de Falla'!D91</f>
        <v>PAMPA GRANDE - CAFAYATE</v>
      </c>
      <c r="E89" s="476">
        <f>'[3]Tasa de Falla'!E91</f>
        <v>132</v>
      </c>
      <c r="F89" s="477">
        <f>'[3]Tasa de Falla'!F91</f>
        <v>63</v>
      </c>
      <c r="G89" s="473">
        <f>IF('[3]Tasa de Falla'!HC91=0,"",'[3]Tasa de Falla'!HC91)</f>
      </c>
      <c r="H89" s="473">
        <f>IF('[3]Tasa de Falla'!HD91=0,"",'[3]Tasa de Falla'!HD91)</f>
      </c>
      <c r="I89" s="473">
        <f>IF('[3]Tasa de Falla'!HE91=0,"",'[3]Tasa de Falla'!HE91)</f>
        <v>1</v>
      </c>
      <c r="J89" s="473">
        <f>IF('[3]Tasa de Falla'!HF91=0,"",'[3]Tasa de Falla'!HF91)</f>
      </c>
      <c r="K89" s="473">
        <f>IF('[3]Tasa de Falla'!HG91=0,"",'[3]Tasa de Falla'!HG91)</f>
      </c>
      <c r="L89" s="473">
        <f>IF('[3]Tasa de Falla'!HH91=0,"",'[3]Tasa de Falla'!HH91)</f>
      </c>
      <c r="M89" s="473">
        <f>IF('[3]Tasa de Falla'!HI91=0,"",'[3]Tasa de Falla'!HI91)</f>
      </c>
      <c r="N89" s="473">
        <f>IF('[3]Tasa de Falla'!HJ91=0,"",'[3]Tasa de Falla'!HJ91)</f>
      </c>
      <c r="O89" s="473">
        <f>IF('[3]Tasa de Falla'!HK91=0,"",'[3]Tasa de Falla'!HK91)</f>
      </c>
      <c r="P89" s="473">
        <f>IF('[3]Tasa de Falla'!HL91=0,"",'[3]Tasa de Falla'!HL91)</f>
      </c>
      <c r="Q89" s="473">
        <f>IF('[3]Tasa de Falla'!HM91=0,"",'[3]Tasa de Falla'!HM91)</f>
      </c>
      <c r="R89" s="473">
        <f>IF('[3]Tasa de Falla'!HN91=0,"",'[3]Tasa de Falla'!HN91)</f>
      </c>
      <c r="S89" s="478"/>
      <c r="T89" s="474"/>
    </row>
    <row r="90" spans="2:20" s="468" customFormat="1" ht="19.5" customHeight="1">
      <c r="B90" s="469"/>
      <c r="C90" s="475">
        <f>'[3]Tasa de Falla'!C92</f>
        <v>74</v>
      </c>
      <c r="D90" s="476" t="str">
        <f>'[3]Tasa de Falla'!D92</f>
        <v>PAMPA GRANDE - TRANCAS</v>
      </c>
      <c r="E90" s="476">
        <f>'[3]Tasa de Falla'!E92</f>
        <v>132</v>
      </c>
      <c r="F90" s="477">
        <f>'[3]Tasa de Falla'!F92</f>
        <v>55</v>
      </c>
      <c r="G90" s="473">
        <f>IF('[3]Tasa de Falla'!HC92=0,"",'[3]Tasa de Falla'!HC92)</f>
      </c>
      <c r="H90" s="473">
        <f>IF('[3]Tasa de Falla'!HD92=0,"",'[3]Tasa de Falla'!HD92)</f>
      </c>
      <c r="I90" s="473">
        <f>IF('[3]Tasa de Falla'!HE92=0,"",'[3]Tasa de Falla'!HE92)</f>
        <v>1</v>
      </c>
      <c r="J90" s="473">
        <f>IF('[3]Tasa de Falla'!HF92=0,"",'[3]Tasa de Falla'!HF92)</f>
      </c>
      <c r="K90" s="473">
        <f>IF('[3]Tasa de Falla'!HG92=0,"",'[3]Tasa de Falla'!HG92)</f>
      </c>
      <c r="L90" s="473">
        <f>IF('[3]Tasa de Falla'!HH92=0,"",'[3]Tasa de Falla'!HH92)</f>
      </c>
      <c r="M90" s="473">
        <f>IF('[3]Tasa de Falla'!HI92=0,"",'[3]Tasa de Falla'!HI92)</f>
      </c>
      <c r="N90" s="473">
        <f>IF('[3]Tasa de Falla'!HJ92=0,"",'[3]Tasa de Falla'!HJ92)</f>
      </c>
      <c r="O90" s="473">
        <f>IF('[3]Tasa de Falla'!HK92=0,"",'[3]Tasa de Falla'!HK92)</f>
      </c>
      <c r="P90" s="473">
        <f>IF('[3]Tasa de Falla'!HL92=0,"",'[3]Tasa de Falla'!HL92)</f>
      </c>
      <c r="Q90" s="473">
        <f>IF('[3]Tasa de Falla'!HM92=0,"",'[3]Tasa de Falla'!HM92)</f>
      </c>
      <c r="R90" s="473">
        <f>IF('[3]Tasa de Falla'!HN92=0,"",'[3]Tasa de Falla'!HN92)</f>
      </c>
      <c r="S90" s="478"/>
      <c r="T90" s="474"/>
    </row>
    <row r="91" spans="2:20" s="468" customFormat="1" ht="19.5" customHeight="1">
      <c r="B91" s="469"/>
      <c r="C91" s="475">
        <f>'[3]Tasa de Falla'!C93</f>
        <v>75</v>
      </c>
      <c r="D91" s="476" t="str">
        <f>'[3]Tasa de Falla'!D93</f>
        <v>SANTIAGO CENTRO - SUNCHO CORRAL </v>
      </c>
      <c r="E91" s="476">
        <f>'[3]Tasa de Falla'!E93</f>
        <v>132</v>
      </c>
      <c r="F91" s="477">
        <f>'[3]Tasa de Falla'!F93</f>
        <v>103</v>
      </c>
      <c r="G91" s="473">
        <f>IF('[3]Tasa de Falla'!HC93=0,"",'[3]Tasa de Falla'!HC93)</f>
      </c>
      <c r="H91" s="473">
        <f>IF('[3]Tasa de Falla'!HD93=0,"",'[3]Tasa de Falla'!HD93)</f>
      </c>
      <c r="I91" s="473">
        <f>IF('[3]Tasa de Falla'!HE93=0,"",'[3]Tasa de Falla'!HE93)</f>
        <v>2</v>
      </c>
      <c r="J91" s="473">
        <f>IF('[3]Tasa de Falla'!HF93=0,"",'[3]Tasa de Falla'!HF93)</f>
      </c>
      <c r="K91" s="473">
        <f>IF('[3]Tasa de Falla'!HG93=0,"",'[3]Tasa de Falla'!HG93)</f>
      </c>
      <c r="L91" s="473">
        <f>IF('[3]Tasa de Falla'!HH93=0,"",'[3]Tasa de Falla'!HH93)</f>
      </c>
      <c r="M91" s="473">
        <f>IF('[3]Tasa de Falla'!HI93=0,"",'[3]Tasa de Falla'!HI93)</f>
      </c>
      <c r="N91" s="473">
        <f>IF('[3]Tasa de Falla'!HJ93=0,"",'[3]Tasa de Falla'!HJ93)</f>
        <v>2</v>
      </c>
      <c r="O91" s="473">
        <f>IF('[3]Tasa de Falla'!HK93=0,"",'[3]Tasa de Falla'!HK93)</f>
      </c>
      <c r="P91" s="473">
        <f>IF('[3]Tasa de Falla'!HL93=0,"",'[3]Tasa de Falla'!HL93)</f>
        <v>1</v>
      </c>
      <c r="Q91" s="473">
        <f>IF('[3]Tasa de Falla'!HM93=0,"",'[3]Tasa de Falla'!HM93)</f>
        <v>1</v>
      </c>
      <c r="R91" s="473">
        <f>IF('[3]Tasa de Falla'!HN93=0,"",'[3]Tasa de Falla'!HN93)</f>
      </c>
      <c r="S91" s="478"/>
      <c r="T91" s="474"/>
    </row>
    <row r="92" spans="2:20" s="468" customFormat="1" ht="19.5" customHeight="1">
      <c r="B92" s="469"/>
      <c r="C92" s="475">
        <f>'[3]Tasa de Falla'!C94</f>
        <v>76</v>
      </c>
      <c r="D92" s="476" t="str">
        <f>'[3]Tasa de Falla'!D94</f>
        <v>SUNCHO CORRAL - ANATUYA</v>
      </c>
      <c r="E92" s="476">
        <f>'[3]Tasa de Falla'!E94</f>
        <v>132</v>
      </c>
      <c r="F92" s="477">
        <f>'[3]Tasa de Falla'!F94</f>
        <v>81</v>
      </c>
      <c r="G92" s="473">
        <f>IF('[3]Tasa de Falla'!HC94=0,"",'[3]Tasa de Falla'!HC94)</f>
      </c>
      <c r="H92" s="473">
        <f>IF('[3]Tasa de Falla'!HD94=0,"",'[3]Tasa de Falla'!HD94)</f>
      </c>
      <c r="I92" s="473">
        <f>IF('[3]Tasa de Falla'!HE94=0,"",'[3]Tasa de Falla'!HE94)</f>
      </c>
      <c r="J92" s="473">
        <f>IF('[3]Tasa de Falla'!HF94=0,"",'[3]Tasa de Falla'!HF94)</f>
      </c>
      <c r="K92" s="473">
        <f>IF('[3]Tasa de Falla'!HG94=0,"",'[3]Tasa de Falla'!HG94)</f>
      </c>
      <c r="L92" s="473">
        <f>IF('[3]Tasa de Falla'!HH94=0,"",'[3]Tasa de Falla'!HH94)</f>
      </c>
      <c r="M92" s="473">
        <f>IF('[3]Tasa de Falla'!HI94=0,"",'[3]Tasa de Falla'!HI94)</f>
      </c>
      <c r="N92" s="473">
        <f>IF('[3]Tasa de Falla'!HJ94=0,"",'[3]Tasa de Falla'!HJ94)</f>
      </c>
      <c r="O92" s="473">
        <f>IF('[3]Tasa de Falla'!HK94=0,"",'[3]Tasa de Falla'!HK94)</f>
      </c>
      <c r="P92" s="473">
        <f>IF('[3]Tasa de Falla'!HL94=0,"",'[3]Tasa de Falla'!HL94)</f>
      </c>
      <c r="Q92" s="473">
        <f>IF('[3]Tasa de Falla'!HM94=0,"",'[3]Tasa de Falla'!HM94)</f>
      </c>
      <c r="R92" s="473">
        <f>IF('[3]Tasa de Falla'!HN94=0,"",'[3]Tasa de Falla'!HN94)</f>
      </c>
      <c r="S92" s="478"/>
      <c r="T92" s="474"/>
    </row>
    <row r="93" spans="2:20" s="468" customFormat="1" ht="19.5" customHeight="1">
      <c r="B93" s="469"/>
      <c r="C93" s="475">
        <f>'[3]Tasa de Falla'!C95</f>
        <v>77</v>
      </c>
      <c r="D93" s="476" t="str">
        <f>'[3]Tasa de Falla'!D95</f>
        <v>LAS MADERAS - GÜEMES SALTA</v>
      </c>
      <c r="E93" s="476">
        <f>'[3]Tasa de Falla'!E95</f>
        <v>132</v>
      </c>
      <c r="F93" s="477">
        <f>'[3]Tasa de Falla'!F95</f>
        <v>42</v>
      </c>
      <c r="G93" s="473">
        <f>IF('[3]Tasa de Falla'!HC95=0,"",'[3]Tasa de Falla'!HC95)</f>
      </c>
      <c r="H93" s="473">
        <f>IF('[3]Tasa de Falla'!HD95=0,"",'[3]Tasa de Falla'!HD95)</f>
      </c>
      <c r="I93" s="473">
        <f>IF('[3]Tasa de Falla'!HE95=0,"",'[3]Tasa de Falla'!HE95)</f>
      </c>
      <c r="J93" s="473">
        <f>IF('[3]Tasa de Falla'!HF95=0,"",'[3]Tasa de Falla'!HF95)</f>
      </c>
      <c r="K93" s="473">
        <f>IF('[3]Tasa de Falla'!HG95=0,"",'[3]Tasa de Falla'!HG95)</f>
      </c>
      <c r="L93" s="473">
        <f>IF('[3]Tasa de Falla'!HH95=0,"",'[3]Tasa de Falla'!HH95)</f>
      </c>
      <c r="M93" s="473">
        <f>IF('[3]Tasa de Falla'!HI95=0,"",'[3]Tasa de Falla'!HI95)</f>
      </c>
      <c r="N93" s="473">
        <f>IF('[3]Tasa de Falla'!HJ95=0,"",'[3]Tasa de Falla'!HJ95)</f>
      </c>
      <c r="O93" s="473">
        <f>IF('[3]Tasa de Falla'!HK95=0,"",'[3]Tasa de Falla'!HK95)</f>
      </c>
      <c r="P93" s="473">
        <f>IF('[3]Tasa de Falla'!HL95=0,"",'[3]Tasa de Falla'!HL95)</f>
      </c>
      <c r="Q93" s="473">
        <f>IF('[3]Tasa de Falla'!HM95=0,"",'[3]Tasa de Falla'!HM95)</f>
      </c>
      <c r="R93" s="473">
        <f>IF('[3]Tasa de Falla'!HN95=0,"",'[3]Tasa de Falla'!HN95)</f>
      </c>
      <c r="S93" s="478"/>
      <c r="T93" s="474"/>
    </row>
    <row r="94" spans="2:20" s="468" customFormat="1" ht="19.5" customHeight="1">
      <c r="B94" s="469"/>
      <c r="C94" s="475">
        <f>'[3]Tasa de Falla'!C96</f>
        <v>78</v>
      </c>
      <c r="D94" s="476" t="str">
        <f>'[3]Tasa de Falla'!D96</f>
        <v>INDEPENDENCIA - EL BRACHO 2</v>
      </c>
      <c r="E94" s="476">
        <f>'[3]Tasa de Falla'!E96</f>
        <v>132</v>
      </c>
      <c r="F94" s="477">
        <f>'[3]Tasa de Falla'!F96</f>
        <v>17.1</v>
      </c>
      <c r="G94" s="473">
        <f>IF('[3]Tasa de Falla'!HC96=0,"",'[3]Tasa de Falla'!HC96)</f>
        <v>1</v>
      </c>
      <c r="H94" s="473">
        <f>IF('[3]Tasa de Falla'!HD96=0,"",'[3]Tasa de Falla'!HD96)</f>
      </c>
      <c r="I94" s="473">
        <f>IF('[3]Tasa de Falla'!HE96=0,"",'[3]Tasa de Falla'!HE96)</f>
      </c>
      <c r="J94" s="473">
        <f>IF('[3]Tasa de Falla'!HF96=0,"",'[3]Tasa de Falla'!HF96)</f>
      </c>
      <c r="K94" s="473">
        <f>IF('[3]Tasa de Falla'!HG96=0,"",'[3]Tasa de Falla'!HG96)</f>
      </c>
      <c r="L94" s="473">
        <f>IF('[3]Tasa de Falla'!HH96=0,"",'[3]Tasa de Falla'!HH96)</f>
        <v>1</v>
      </c>
      <c r="M94" s="473">
        <f>IF('[3]Tasa de Falla'!HI96=0,"",'[3]Tasa de Falla'!HI96)</f>
      </c>
      <c r="N94" s="473">
        <f>IF('[3]Tasa de Falla'!HJ96=0,"",'[3]Tasa de Falla'!HJ96)</f>
        <v>1</v>
      </c>
      <c r="O94" s="473">
        <f>IF('[3]Tasa de Falla'!HK96=0,"",'[3]Tasa de Falla'!HK96)</f>
        <v>1</v>
      </c>
      <c r="P94" s="473">
        <f>IF('[3]Tasa de Falla'!HL96=0,"",'[3]Tasa de Falla'!HL96)</f>
      </c>
      <c r="Q94" s="473">
        <f>IF('[3]Tasa de Falla'!HM96=0,"",'[3]Tasa de Falla'!HM96)</f>
      </c>
      <c r="R94" s="473">
        <f>IF('[3]Tasa de Falla'!HN96=0,"",'[3]Tasa de Falla'!HN96)</f>
      </c>
      <c r="S94" s="478"/>
      <c r="T94" s="474"/>
    </row>
    <row r="95" spans="2:20" s="468" customFormat="1" ht="19.5" customHeight="1">
      <c r="B95" s="469"/>
      <c r="C95" s="475">
        <f>'[3]Tasa de Falla'!C97</f>
        <v>79</v>
      </c>
      <c r="D95" s="476" t="str">
        <f>'[3]Tasa de Falla'!D97</f>
        <v>GÜEMES - SALTA SUR</v>
      </c>
      <c r="E95" s="476">
        <f>'[3]Tasa de Falla'!E97</f>
        <v>132</v>
      </c>
      <c r="F95" s="477">
        <f>'[3]Tasa de Falla'!F97</f>
        <v>47.6</v>
      </c>
      <c r="G95" s="473">
        <f>IF('[3]Tasa de Falla'!HC97=0,"",'[3]Tasa de Falla'!HC97)</f>
      </c>
      <c r="H95" s="473">
        <f>IF('[3]Tasa de Falla'!HD97=0,"",'[3]Tasa de Falla'!HD97)</f>
      </c>
      <c r="I95" s="473">
        <f>IF('[3]Tasa de Falla'!HE97=0,"",'[3]Tasa de Falla'!HE97)</f>
      </c>
      <c r="J95" s="473">
        <f>IF('[3]Tasa de Falla'!HF97=0,"",'[3]Tasa de Falla'!HF97)</f>
      </c>
      <c r="K95" s="473">
        <f>IF('[3]Tasa de Falla'!HG97=0,"",'[3]Tasa de Falla'!HG97)</f>
      </c>
      <c r="L95" s="473">
        <f>IF('[3]Tasa de Falla'!HH97=0,"",'[3]Tasa de Falla'!HH97)</f>
      </c>
      <c r="M95" s="473">
        <f>IF('[3]Tasa de Falla'!HI97=0,"",'[3]Tasa de Falla'!HI97)</f>
      </c>
      <c r="N95" s="473">
        <f>IF('[3]Tasa de Falla'!HJ97=0,"",'[3]Tasa de Falla'!HJ97)</f>
      </c>
      <c r="O95" s="473">
        <f>IF('[3]Tasa de Falla'!HK97=0,"",'[3]Tasa de Falla'!HK97)</f>
      </c>
      <c r="P95" s="473">
        <f>IF('[3]Tasa de Falla'!HL97=0,"",'[3]Tasa de Falla'!HL97)</f>
      </c>
      <c r="Q95" s="473">
        <f>IF('[3]Tasa de Falla'!HM97=0,"",'[3]Tasa de Falla'!HM97)</f>
      </c>
      <c r="R95" s="473">
        <f>IF('[3]Tasa de Falla'!HN97=0,"",'[3]Tasa de Falla'!HN97)</f>
      </c>
      <c r="S95" s="478"/>
      <c r="T95" s="474"/>
    </row>
    <row r="96" spans="2:20" s="468" customFormat="1" ht="19.5" customHeight="1">
      <c r="B96" s="469"/>
      <c r="C96" s="475">
        <f>'[3]Tasa de Falla'!C98</f>
        <v>80</v>
      </c>
      <c r="D96" s="476" t="str">
        <f>'[3]Tasa de Falla'!D98</f>
        <v>BURRUYACU - COBOS</v>
      </c>
      <c r="E96" s="476">
        <f>'[3]Tasa de Falla'!E98</f>
        <v>132</v>
      </c>
      <c r="F96" s="477">
        <f>'[3]Tasa de Falla'!F98</f>
        <v>229.5</v>
      </c>
      <c r="G96" s="473" t="str">
        <f>IF('[3]Tasa de Falla'!HC98=0,"",'[3]Tasa de Falla'!HC98)</f>
        <v>XXXX</v>
      </c>
      <c r="H96" s="473" t="str">
        <f>IF('[3]Tasa de Falla'!HD98=0,"",'[3]Tasa de Falla'!HD98)</f>
        <v>XXXX</v>
      </c>
      <c r="I96" s="473" t="str">
        <f>IF('[3]Tasa de Falla'!HE98=0,"",'[3]Tasa de Falla'!HE98)</f>
        <v>XXXX</v>
      </c>
      <c r="J96" s="473" t="str">
        <f>IF('[3]Tasa de Falla'!HF98=0,"",'[3]Tasa de Falla'!HF98)</f>
        <v>XXXX</v>
      </c>
      <c r="K96" s="473" t="str">
        <f>IF('[3]Tasa de Falla'!HG98=0,"",'[3]Tasa de Falla'!HG98)</f>
        <v>XXXX</v>
      </c>
      <c r="L96" s="473" t="str">
        <f>IF('[3]Tasa de Falla'!HH98=0,"",'[3]Tasa de Falla'!HH98)</f>
        <v>XXXX</v>
      </c>
      <c r="M96" s="473" t="str">
        <f>IF('[3]Tasa de Falla'!HI98=0,"",'[3]Tasa de Falla'!HI98)</f>
        <v>XXXX</v>
      </c>
      <c r="N96" s="473" t="str">
        <f>IF('[3]Tasa de Falla'!HJ98=0,"",'[3]Tasa de Falla'!HJ98)</f>
        <v>XXXX</v>
      </c>
      <c r="O96" s="473" t="str">
        <f>IF('[3]Tasa de Falla'!HK98=0,"",'[3]Tasa de Falla'!HK98)</f>
        <v>XXXX</v>
      </c>
      <c r="P96" s="473" t="str">
        <f>IF('[3]Tasa de Falla'!HL98=0,"",'[3]Tasa de Falla'!HL98)</f>
        <v>XXXX</v>
      </c>
      <c r="Q96" s="473" t="str">
        <f>IF('[3]Tasa de Falla'!HM98=0,"",'[3]Tasa de Falla'!HM98)</f>
        <v>XXXX</v>
      </c>
      <c r="R96" s="473" t="str">
        <f>IF('[3]Tasa de Falla'!HN98=0,"",'[3]Tasa de Falla'!HN98)</f>
        <v>XXXX</v>
      </c>
      <c r="S96" s="478"/>
      <c r="T96" s="474"/>
    </row>
    <row r="97" spans="2:20" s="468" customFormat="1" ht="19.5" customHeight="1">
      <c r="B97" s="469"/>
      <c r="C97" s="475">
        <f>'[3]Tasa de Falla'!C99</f>
        <v>81</v>
      </c>
      <c r="D97" s="476" t="str">
        <f>'[3]Tasa de Falla'!D99</f>
        <v>METAN - COBOS</v>
      </c>
      <c r="E97" s="476">
        <f>'[3]Tasa de Falla'!E99</f>
        <v>132</v>
      </c>
      <c r="F97" s="477">
        <f>'[3]Tasa de Falla'!F99</f>
        <v>89.2</v>
      </c>
      <c r="G97" s="473">
        <f>IF('[3]Tasa de Falla'!HC99=0,"",'[3]Tasa de Falla'!HC99)</f>
      </c>
      <c r="H97" s="473">
        <f>IF('[3]Tasa de Falla'!HD99=0,"",'[3]Tasa de Falla'!HD99)</f>
      </c>
      <c r="I97" s="473">
        <f>IF('[3]Tasa de Falla'!HE99=0,"",'[3]Tasa de Falla'!HE99)</f>
      </c>
      <c r="J97" s="473">
        <f>IF('[3]Tasa de Falla'!HF99=0,"",'[3]Tasa de Falla'!HF99)</f>
      </c>
      <c r="K97" s="473">
        <f>IF('[3]Tasa de Falla'!HG99=0,"",'[3]Tasa de Falla'!HG99)</f>
      </c>
      <c r="L97" s="473">
        <f>IF('[3]Tasa de Falla'!HH99=0,"",'[3]Tasa de Falla'!HH99)</f>
      </c>
      <c r="M97" s="473">
        <f>IF('[3]Tasa de Falla'!HI99=0,"",'[3]Tasa de Falla'!HI99)</f>
      </c>
      <c r="N97" s="473">
        <f>IF('[3]Tasa de Falla'!HJ99=0,"",'[3]Tasa de Falla'!HJ99)</f>
      </c>
      <c r="O97" s="473">
        <f>IF('[3]Tasa de Falla'!HK99=0,"",'[3]Tasa de Falla'!HK99)</f>
      </c>
      <c r="P97" s="473">
        <f>IF('[3]Tasa de Falla'!HL99=0,"",'[3]Tasa de Falla'!HL99)</f>
      </c>
      <c r="Q97" s="473">
        <f>IF('[3]Tasa de Falla'!HM99=0,"",'[3]Tasa de Falla'!HM99)</f>
      </c>
      <c r="R97" s="473">
        <f>IF('[3]Tasa de Falla'!HN99=0,"",'[3]Tasa de Falla'!HN99)</f>
      </c>
      <c r="S97" s="478"/>
      <c r="T97" s="474"/>
    </row>
    <row r="98" spans="2:20" s="468" customFormat="1" ht="19.5" customHeight="1">
      <c r="B98" s="469"/>
      <c r="C98" s="475">
        <f>'[3]Tasa de Falla'!C100</f>
        <v>82</v>
      </c>
      <c r="D98" s="476" t="str">
        <f>'[3]Tasa de Falla'!D100</f>
        <v>AÑATUYA - BANDERA</v>
      </c>
      <c r="E98" s="476">
        <f>'[3]Tasa de Falla'!E100</f>
        <v>132</v>
      </c>
      <c r="F98" s="477">
        <f>'[3]Tasa de Falla'!F100</f>
        <v>76</v>
      </c>
      <c r="G98" s="473">
        <f>IF('[3]Tasa de Falla'!HC100=0,"",'[3]Tasa de Falla'!HC100)</f>
      </c>
      <c r="H98" s="473">
        <f>IF('[3]Tasa de Falla'!HD100=0,"",'[3]Tasa de Falla'!HD100)</f>
      </c>
      <c r="I98" s="473">
        <f>IF('[3]Tasa de Falla'!HE100=0,"",'[3]Tasa de Falla'!HE100)</f>
      </c>
      <c r="J98" s="473">
        <f>IF('[3]Tasa de Falla'!HF100=0,"",'[3]Tasa de Falla'!HF100)</f>
      </c>
      <c r="K98" s="473">
        <f>IF('[3]Tasa de Falla'!HG100=0,"",'[3]Tasa de Falla'!HG100)</f>
      </c>
      <c r="L98" s="473">
        <f>IF('[3]Tasa de Falla'!HH100=0,"",'[3]Tasa de Falla'!HH100)</f>
      </c>
      <c r="M98" s="473">
        <f>IF('[3]Tasa de Falla'!HI100=0,"",'[3]Tasa de Falla'!HI100)</f>
        <v>1</v>
      </c>
      <c r="N98" s="473">
        <f>IF('[3]Tasa de Falla'!HJ100=0,"",'[3]Tasa de Falla'!HJ100)</f>
      </c>
      <c r="O98" s="473">
        <f>IF('[3]Tasa de Falla'!HK100=0,"",'[3]Tasa de Falla'!HK100)</f>
      </c>
      <c r="P98" s="473">
        <f>IF('[3]Tasa de Falla'!HL100=0,"",'[3]Tasa de Falla'!HL100)</f>
        <v>1</v>
      </c>
      <c r="Q98" s="473">
        <f>IF('[3]Tasa de Falla'!HM100=0,"",'[3]Tasa de Falla'!HM100)</f>
      </c>
      <c r="R98" s="473">
        <f>IF('[3]Tasa de Falla'!HN100=0,"",'[3]Tasa de Falla'!HN100)</f>
      </c>
      <c r="S98" s="478"/>
      <c r="T98" s="474"/>
    </row>
    <row r="99" spans="2:20" s="468" customFormat="1" ht="19.5" customHeight="1">
      <c r="B99" s="469"/>
      <c r="C99" s="475">
        <f>'[3]Tasa de Falla'!C101</f>
        <v>84</v>
      </c>
      <c r="D99" s="476" t="str">
        <f>'[3]Tasa de Falla'!D101</f>
        <v>GÜEMES SALTA - COBOS 1</v>
      </c>
      <c r="E99" s="476">
        <f>'[3]Tasa de Falla'!E101</f>
        <v>132</v>
      </c>
      <c r="F99" s="477">
        <f>'[3]Tasa de Falla'!F101</f>
        <v>12.1</v>
      </c>
      <c r="G99" s="473">
        <f>IF('[3]Tasa de Falla'!HC101=0,"",'[3]Tasa de Falla'!HC101)</f>
        <v>2</v>
      </c>
      <c r="H99" s="473">
        <f>IF('[3]Tasa de Falla'!HD101=0,"",'[3]Tasa de Falla'!HD101)</f>
      </c>
      <c r="I99" s="473">
        <f>IF('[3]Tasa de Falla'!HE101=0,"",'[3]Tasa de Falla'!HE101)</f>
      </c>
      <c r="J99" s="473">
        <f>IF('[3]Tasa de Falla'!HF101=0,"",'[3]Tasa de Falla'!HF101)</f>
      </c>
      <c r="K99" s="473">
        <f>IF('[3]Tasa de Falla'!HG101=0,"",'[3]Tasa de Falla'!HG101)</f>
      </c>
      <c r="L99" s="473">
        <f>IF('[3]Tasa de Falla'!HH101=0,"",'[3]Tasa de Falla'!HH101)</f>
      </c>
      <c r="M99" s="473">
        <f>IF('[3]Tasa de Falla'!HI101=0,"",'[3]Tasa de Falla'!HI101)</f>
      </c>
      <c r="N99" s="473">
        <f>IF('[3]Tasa de Falla'!HJ101=0,"",'[3]Tasa de Falla'!HJ101)</f>
      </c>
      <c r="O99" s="473">
        <f>IF('[3]Tasa de Falla'!HK101=0,"",'[3]Tasa de Falla'!HK101)</f>
        <v>1</v>
      </c>
      <c r="P99" s="473">
        <f>IF('[3]Tasa de Falla'!HL101=0,"",'[3]Tasa de Falla'!HL101)</f>
      </c>
      <c r="Q99" s="473">
        <f>IF('[3]Tasa de Falla'!HM101=0,"",'[3]Tasa de Falla'!HM101)</f>
      </c>
      <c r="R99" s="473">
        <f>IF('[3]Tasa de Falla'!HN101=0,"",'[3]Tasa de Falla'!HN101)</f>
      </c>
      <c r="S99" s="478"/>
      <c r="T99" s="474"/>
    </row>
    <row r="100" spans="2:20" s="468" customFormat="1" ht="19.5" customHeight="1">
      <c r="B100" s="469"/>
      <c r="C100" s="475">
        <f>'[3]Tasa de Falla'!C102</f>
        <v>85</v>
      </c>
      <c r="D100" s="476" t="str">
        <f>'[3]Tasa de Falla'!D102</f>
        <v>GÜEMES SALTA - COBOS 2</v>
      </c>
      <c r="E100" s="476">
        <f>'[3]Tasa de Falla'!E102</f>
        <v>132</v>
      </c>
      <c r="F100" s="477">
        <f>'[3]Tasa de Falla'!F102</f>
        <v>12.1</v>
      </c>
      <c r="G100" s="473">
        <f>IF('[3]Tasa de Falla'!HC102=0,"",'[3]Tasa de Falla'!HC102)</f>
      </c>
      <c r="H100" s="473">
        <f>IF('[3]Tasa de Falla'!HD102=0,"",'[3]Tasa de Falla'!HD102)</f>
      </c>
      <c r="I100" s="473">
        <f>IF('[3]Tasa de Falla'!HE102=0,"",'[3]Tasa de Falla'!HE102)</f>
      </c>
      <c r="J100" s="473">
        <f>IF('[3]Tasa de Falla'!HF102=0,"",'[3]Tasa de Falla'!HF102)</f>
      </c>
      <c r="K100" s="473">
        <f>IF('[3]Tasa de Falla'!HG102=0,"",'[3]Tasa de Falla'!HG102)</f>
      </c>
      <c r="L100" s="473">
        <f>IF('[3]Tasa de Falla'!HH102=0,"",'[3]Tasa de Falla'!HH102)</f>
      </c>
      <c r="M100" s="473">
        <f>IF('[3]Tasa de Falla'!HI102=0,"",'[3]Tasa de Falla'!HI102)</f>
      </c>
      <c r="N100" s="473">
        <f>IF('[3]Tasa de Falla'!HJ102=0,"",'[3]Tasa de Falla'!HJ102)</f>
      </c>
      <c r="O100" s="473">
        <f>IF('[3]Tasa de Falla'!HK102=0,"",'[3]Tasa de Falla'!HK102)</f>
      </c>
      <c r="P100" s="473">
        <f>IF('[3]Tasa de Falla'!HL102=0,"",'[3]Tasa de Falla'!HL102)</f>
      </c>
      <c r="Q100" s="473">
        <f>IF('[3]Tasa de Falla'!HM102=0,"",'[3]Tasa de Falla'!HM102)</f>
      </c>
      <c r="R100" s="473">
        <f>IF('[3]Tasa de Falla'!HN102=0,"",'[3]Tasa de Falla'!HN102)</f>
      </c>
      <c r="S100" s="478"/>
      <c r="T100" s="474"/>
    </row>
    <row r="101" spans="2:20" s="468" customFormat="1" ht="19.5" customHeight="1">
      <c r="B101" s="469"/>
      <c r="C101" s="475">
        <f>'[3]Tasa de Falla'!C103</f>
        <v>86</v>
      </c>
      <c r="D101" s="476" t="str">
        <f>'[3]Tasa de Falla'!D103</f>
        <v>EL BRACHO - LA BANDA</v>
      </c>
      <c r="E101" s="476">
        <f>'[3]Tasa de Falla'!E103</f>
        <v>132</v>
      </c>
      <c r="F101" s="477">
        <f>'[3]Tasa de Falla'!F103</f>
        <v>133.5</v>
      </c>
      <c r="G101" s="473">
        <f>IF('[3]Tasa de Falla'!HC103=0,"",'[3]Tasa de Falla'!HC103)</f>
      </c>
      <c r="H101" s="473">
        <f>IF('[3]Tasa de Falla'!HD103=0,"",'[3]Tasa de Falla'!HD103)</f>
      </c>
      <c r="I101" s="473">
        <f>IF('[3]Tasa de Falla'!HE103=0,"",'[3]Tasa de Falla'!HE103)</f>
      </c>
      <c r="J101" s="473">
        <f>IF('[3]Tasa de Falla'!HF103=0,"",'[3]Tasa de Falla'!HF103)</f>
      </c>
      <c r="K101" s="473">
        <f>IF('[3]Tasa de Falla'!HG103=0,"",'[3]Tasa de Falla'!HG103)</f>
      </c>
      <c r="L101" s="473">
        <f>IF('[3]Tasa de Falla'!HH103=0,"",'[3]Tasa de Falla'!HH103)</f>
      </c>
      <c r="M101" s="473">
        <f>IF('[3]Tasa de Falla'!HI103=0,"",'[3]Tasa de Falla'!HI103)</f>
      </c>
      <c r="N101" s="473">
        <f>IF('[3]Tasa de Falla'!HJ103=0,"",'[3]Tasa de Falla'!HJ103)</f>
        <v>2</v>
      </c>
      <c r="O101" s="473">
        <f>IF('[3]Tasa de Falla'!HK103=0,"",'[3]Tasa de Falla'!HK103)</f>
      </c>
      <c r="P101" s="473">
        <f>IF('[3]Tasa de Falla'!HL103=0,"",'[3]Tasa de Falla'!HL103)</f>
      </c>
      <c r="Q101" s="473">
        <f>IF('[3]Tasa de Falla'!HM103=0,"",'[3]Tasa de Falla'!HM103)</f>
      </c>
      <c r="R101" s="473">
        <f>IF('[3]Tasa de Falla'!HN103=0,"",'[3]Tasa de Falla'!HN103)</f>
      </c>
      <c r="S101" s="478"/>
      <c r="T101" s="474"/>
    </row>
    <row r="102" spans="2:20" s="468" customFormat="1" ht="19.5" customHeight="1">
      <c r="B102" s="469"/>
      <c r="C102" s="475">
        <f>'[3]Tasa de Falla'!C104</f>
        <v>87</v>
      </c>
      <c r="D102" s="476" t="str">
        <f>'[3]Tasa de Falla'!D104</f>
        <v>SANTIAGO OESTE - SANTIAGO SUR </v>
      </c>
      <c r="E102" s="476">
        <f>'[3]Tasa de Falla'!E104</f>
        <v>132</v>
      </c>
      <c r="F102" s="477">
        <f>'[3]Tasa de Falla'!F104</f>
        <v>10.6</v>
      </c>
      <c r="G102" s="473">
        <f>IF('[3]Tasa de Falla'!HC104=0,"",'[3]Tasa de Falla'!HC104)</f>
      </c>
      <c r="H102" s="473">
        <f>IF('[3]Tasa de Falla'!HD104=0,"",'[3]Tasa de Falla'!HD104)</f>
      </c>
      <c r="I102" s="473">
        <f>IF('[3]Tasa de Falla'!HE104=0,"",'[3]Tasa de Falla'!HE104)</f>
      </c>
      <c r="J102" s="473">
        <f>IF('[3]Tasa de Falla'!HF104=0,"",'[3]Tasa de Falla'!HF104)</f>
      </c>
      <c r="K102" s="473">
        <f>IF('[3]Tasa de Falla'!HG104=0,"",'[3]Tasa de Falla'!HG104)</f>
      </c>
      <c r="L102" s="473">
        <f>IF('[3]Tasa de Falla'!HH104=0,"",'[3]Tasa de Falla'!HH104)</f>
      </c>
      <c r="M102" s="473">
        <f>IF('[3]Tasa de Falla'!HI104=0,"",'[3]Tasa de Falla'!HI104)</f>
      </c>
      <c r="N102" s="473">
        <f>IF('[3]Tasa de Falla'!HJ104=0,"",'[3]Tasa de Falla'!HJ104)</f>
      </c>
      <c r="O102" s="473">
        <f>IF('[3]Tasa de Falla'!HK104=0,"",'[3]Tasa de Falla'!HK104)</f>
      </c>
      <c r="P102" s="473">
        <f>IF('[3]Tasa de Falla'!HL104=0,"",'[3]Tasa de Falla'!HL104)</f>
      </c>
      <c r="Q102" s="473">
        <f>IF('[3]Tasa de Falla'!HM104=0,"",'[3]Tasa de Falla'!HM104)</f>
      </c>
      <c r="R102" s="473">
        <f>IF('[3]Tasa de Falla'!HN104=0,"",'[3]Tasa de Falla'!HN104)</f>
      </c>
      <c r="S102" s="478"/>
      <c r="T102" s="474"/>
    </row>
    <row r="103" spans="2:20" s="468" customFormat="1" ht="19.5" customHeight="1">
      <c r="B103" s="469"/>
      <c r="C103" s="475">
        <f>'[3]Tasa de Falla'!C105</f>
        <v>88</v>
      </c>
      <c r="D103" s="476" t="str">
        <f>'[3]Tasa de Falla'!D105</f>
        <v>SANTIAGO SUR - SANTIAGO CENTRO</v>
      </c>
      <c r="E103" s="476">
        <f>'[3]Tasa de Falla'!E105</f>
        <v>132</v>
      </c>
      <c r="F103" s="477">
        <f>'[3]Tasa de Falla'!F105</f>
        <v>4</v>
      </c>
      <c r="G103" s="473">
        <f>IF('[3]Tasa de Falla'!HC105=0,"",'[3]Tasa de Falla'!HC105)</f>
      </c>
      <c r="H103" s="473">
        <f>IF('[3]Tasa de Falla'!HD105=0,"",'[3]Tasa de Falla'!HD105)</f>
      </c>
      <c r="I103" s="473">
        <f>IF('[3]Tasa de Falla'!HE105=0,"",'[3]Tasa de Falla'!HE105)</f>
      </c>
      <c r="J103" s="473">
        <f>IF('[3]Tasa de Falla'!HF105=0,"",'[3]Tasa de Falla'!HF105)</f>
      </c>
      <c r="K103" s="473">
        <f>IF('[3]Tasa de Falla'!HG105=0,"",'[3]Tasa de Falla'!HG105)</f>
      </c>
      <c r="L103" s="473">
        <f>IF('[3]Tasa de Falla'!HH105=0,"",'[3]Tasa de Falla'!HH105)</f>
      </c>
      <c r="M103" s="473">
        <f>IF('[3]Tasa de Falla'!HI105=0,"",'[3]Tasa de Falla'!HI105)</f>
      </c>
      <c r="N103" s="473">
        <f>IF('[3]Tasa de Falla'!HJ105=0,"",'[3]Tasa de Falla'!HJ105)</f>
      </c>
      <c r="O103" s="473">
        <f>IF('[3]Tasa de Falla'!HK105=0,"",'[3]Tasa de Falla'!HK105)</f>
      </c>
      <c r="P103" s="473">
        <f>IF('[3]Tasa de Falla'!HL105=0,"",'[3]Tasa de Falla'!HL105)</f>
      </c>
      <c r="Q103" s="473">
        <f>IF('[3]Tasa de Falla'!HM105=0,"",'[3]Tasa de Falla'!HM105)</f>
      </c>
      <c r="R103" s="473">
        <f>IF('[3]Tasa de Falla'!HN105=0,"",'[3]Tasa de Falla'!HN105)</f>
      </c>
      <c r="S103" s="478"/>
      <c r="T103" s="474"/>
    </row>
    <row r="104" spans="2:20" s="468" customFormat="1" ht="19.5" customHeight="1">
      <c r="B104" s="469"/>
      <c r="C104" s="475">
        <f>'[3]Tasa de Falla'!C106</f>
        <v>89</v>
      </c>
      <c r="D104" s="476" t="str">
        <f>'[3]Tasa de Falla'!D106</f>
        <v>C.H. RIO HONDO - SANTIAGO OESTE</v>
      </c>
      <c r="E104" s="476">
        <f>'[3]Tasa de Falla'!E106</f>
        <v>132</v>
      </c>
      <c r="F104" s="477">
        <f>'[3]Tasa de Falla'!F106</f>
        <v>69.8</v>
      </c>
      <c r="G104" s="473">
        <f>IF('[3]Tasa de Falla'!HC106=0,"",'[3]Tasa de Falla'!HC106)</f>
      </c>
      <c r="H104" s="473">
        <f>IF('[3]Tasa de Falla'!HD106=0,"",'[3]Tasa de Falla'!HD106)</f>
      </c>
      <c r="I104" s="473">
        <f>IF('[3]Tasa de Falla'!HE106=0,"",'[3]Tasa de Falla'!HE106)</f>
      </c>
      <c r="J104" s="473">
        <f>IF('[3]Tasa de Falla'!HF106=0,"",'[3]Tasa de Falla'!HF106)</f>
        <v>1</v>
      </c>
      <c r="K104" s="473">
        <f>IF('[3]Tasa de Falla'!HG106=0,"",'[3]Tasa de Falla'!HG106)</f>
      </c>
      <c r="L104" s="473">
        <f>IF('[3]Tasa de Falla'!HH106=0,"",'[3]Tasa de Falla'!HH106)</f>
      </c>
      <c r="M104" s="473">
        <f>IF('[3]Tasa de Falla'!HI106=0,"",'[3]Tasa de Falla'!HI106)</f>
      </c>
      <c r="N104" s="473">
        <f>IF('[3]Tasa de Falla'!HJ106=0,"",'[3]Tasa de Falla'!HJ106)</f>
        <v>1</v>
      </c>
      <c r="O104" s="473">
        <f>IF('[3]Tasa de Falla'!HK106=0,"",'[3]Tasa de Falla'!HK106)</f>
      </c>
      <c r="P104" s="473">
        <f>IF('[3]Tasa de Falla'!HL106=0,"",'[3]Tasa de Falla'!HL106)</f>
      </c>
      <c r="Q104" s="473">
        <f>IF('[3]Tasa de Falla'!HM106=0,"",'[3]Tasa de Falla'!HM106)</f>
      </c>
      <c r="R104" s="473">
        <f>IF('[3]Tasa de Falla'!HN106=0,"",'[3]Tasa de Falla'!HN106)</f>
      </c>
      <c r="S104" s="478"/>
      <c r="T104" s="474"/>
    </row>
    <row r="105" spans="2:20" s="468" customFormat="1" ht="19.5" customHeight="1">
      <c r="B105" s="469"/>
      <c r="C105" s="475">
        <f>'[3]Tasa de Falla'!C107</f>
        <v>90</v>
      </c>
      <c r="D105" s="476" t="str">
        <f>'[3]Tasa de Falla'!D107</f>
        <v>GÜEMES - MINETTI</v>
      </c>
      <c r="E105" s="476">
        <f>'[3]Tasa de Falla'!E107</f>
        <v>132</v>
      </c>
      <c r="F105" s="477">
        <f>'[3]Tasa de Falla'!F107</f>
        <v>41.4</v>
      </c>
      <c r="G105" s="473">
        <f>IF('[3]Tasa de Falla'!HC107=0,"",'[3]Tasa de Falla'!HC107)</f>
      </c>
      <c r="H105" s="473">
        <f>IF('[3]Tasa de Falla'!HD107=0,"",'[3]Tasa de Falla'!HD107)</f>
      </c>
      <c r="I105" s="473">
        <f>IF('[3]Tasa de Falla'!HE107=0,"",'[3]Tasa de Falla'!HE107)</f>
      </c>
      <c r="J105" s="473">
        <f>IF('[3]Tasa de Falla'!HF107=0,"",'[3]Tasa de Falla'!HF107)</f>
      </c>
      <c r="K105" s="473">
        <f>IF('[3]Tasa de Falla'!HG107=0,"",'[3]Tasa de Falla'!HG107)</f>
      </c>
      <c r="L105" s="473">
        <f>IF('[3]Tasa de Falla'!HH107=0,"",'[3]Tasa de Falla'!HH107)</f>
        <v>1</v>
      </c>
      <c r="M105" s="473">
        <f>IF('[3]Tasa de Falla'!HI107=0,"",'[3]Tasa de Falla'!HI107)</f>
      </c>
      <c r="N105" s="473">
        <f>IF('[3]Tasa de Falla'!HJ107=0,"",'[3]Tasa de Falla'!HJ107)</f>
      </c>
      <c r="O105" s="473">
        <f>IF('[3]Tasa de Falla'!HK107=0,"",'[3]Tasa de Falla'!HK107)</f>
      </c>
      <c r="P105" s="473">
        <f>IF('[3]Tasa de Falla'!HL107=0,"",'[3]Tasa de Falla'!HL107)</f>
        <v>1</v>
      </c>
      <c r="Q105" s="473">
        <f>IF('[3]Tasa de Falla'!HM107=0,"",'[3]Tasa de Falla'!HM107)</f>
      </c>
      <c r="R105" s="473">
        <f>IF('[3]Tasa de Falla'!HN107=0,"",'[3]Tasa de Falla'!HN107)</f>
      </c>
      <c r="S105" s="478"/>
      <c r="T105" s="474"/>
    </row>
    <row r="106" spans="2:20" s="468" customFormat="1" ht="19.5" customHeight="1">
      <c r="B106" s="469"/>
      <c r="C106" s="475">
        <f>'[3]Tasa de Falla'!C108</f>
        <v>91</v>
      </c>
      <c r="D106" s="476" t="str">
        <f>'[3]Tasa de Falla'!D108</f>
        <v>GÜEMES - SALTA NORTE</v>
      </c>
      <c r="E106" s="476">
        <f>'[3]Tasa de Falla'!E108</f>
        <v>132</v>
      </c>
      <c r="F106" s="477">
        <f>'[3]Tasa de Falla'!F108</f>
        <v>38.97</v>
      </c>
      <c r="G106" s="473">
        <f>IF('[3]Tasa de Falla'!HC108=0,"",'[3]Tasa de Falla'!HC108)</f>
      </c>
      <c r="H106" s="473">
        <f>IF('[3]Tasa de Falla'!HD108=0,"",'[3]Tasa de Falla'!HD108)</f>
      </c>
      <c r="I106" s="473">
        <f>IF('[3]Tasa de Falla'!HE108=0,"",'[3]Tasa de Falla'!HE108)</f>
      </c>
      <c r="J106" s="473">
        <f>IF('[3]Tasa de Falla'!HF108=0,"",'[3]Tasa de Falla'!HF108)</f>
      </c>
      <c r="K106" s="473">
        <f>IF('[3]Tasa de Falla'!HG108=0,"",'[3]Tasa de Falla'!HG108)</f>
      </c>
      <c r="L106" s="473">
        <f>IF('[3]Tasa de Falla'!HH108=0,"",'[3]Tasa de Falla'!HH108)</f>
      </c>
      <c r="M106" s="473">
        <f>IF('[3]Tasa de Falla'!HI108=0,"",'[3]Tasa de Falla'!HI108)</f>
      </c>
      <c r="N106" s="473">
        <f>IF('[3]Tasa de Falla'!HJ108=0,"",'[3]Tasa de Falla'!HJ108)</f>
      </c>
      <c r="O106" s="473">
        <f>IF('[3]Tasa de Falla'!HK108=0,"",'[3]Tasa de Falla'!HK108)</f>
      </c>
      <c r="P106" s="473">
        <f>IF('[3]Tasa de Falla'!HL108=0,"",'[3]Tasa de Falla'!HL108)</f>
      </c>
      <c r="Q106" s="473">
        <f>IF('[3]Tasa de Falla'!HM108=0,"",'[3]Tasa de Falla'!HM108)</f>
      </c>
      <c r="R106" s="473">
        <f>IF('[3]Tasa de Falla'!HN108=0,"",'[3]Tasa de Falla'!HN108)</f>
      </c>
      <c r="S106" s="478"/>
      <c r="T106" s="474"/>
    </row>
    <row r="107" spans="2:20" s="468" customFormat="1" ht="19.5" customHeight="1">
      <c r="B107" s="469"/>
      <c r="C107" s="475">
        <f>'[3]Tasa de Falla'!C109</f>
        <v>92</v>
      </c>
      <c r="D107" s="476" t="str">
        <f>'[3]Tasa de Falla'!D109</f>
        <v>BURRUYACU - R. DE LA FRONTERA</v>
      </c>
      <c r="E107" s="476">
        <f>'[3]Tasa de Falla'!E109</f>
        <v>132</v>
      </c>
      <c r="F107" s="477">
        <f>'[3]Tasa de Falla'!F109</f>
        <v>99.1</v>
      </c>
      <c r="G107" s="473">
        <f>IF('[3]Tasa de Falla'!HC109=0,"",'[3]Tasa de Falla'!HC109)</f>
      </c>
      <c r="H107" s="473">
        <f>IF('[3]Tasa de Falla'!HD109=0,"",'[3]Tasa de Falla'!HD109)</f>
      </c>
      <c r="I107" s="473">
        <f>IF('[3]Tasa de Falla'!HE109=0,"",'[3]Tasa de Falla'!HE109)</f>
      </c>
      <c r="J107" s="473">
        <f>IF('[3]Tasa de Falla'!HF109=0,"",'[3]Tasa de Falla'!HF109)</f>
      </c>
      <c r="K107" s="473">
        <f>IF('[3]Tasa de Falla'!HG109=0,"",'[3]Tasa de Falla'!HG109)</f>
        <v>1</v>
      </c>
      <c r="L107" s="473">
        <f>IF('[3]Tasa de Falla'!HH109=0,"",'[3]Tasa de Falla'!HH109)</f>
      </c>
      <c r="M107" s="473">
        <f>IF('[3]Tasa de Falla'!HI109=0,"",'[3]Tasa de Falla'!HI109)</f>
      </c>
      <c r="N107" s="473">
        <f>IF('[3]Tasa de Falla'!HJ109=0,"",'[3]Tasa de Falla'!HJ109)</f>
      </c>
      <c r="O107" s="473">
        <f>IF('[3]Tasa de Falla'!HK109=0,"",'[3]Tasa de Falla'!HK109)</f>
      </c>
      <c r="P107" s="473">
        <f>IF('[3]Tasa de Falla'!HL109=0,"",'[3]Tasa de Falla'!HL109)</f>
      </c>
      <c r="Q107" s="473">
        <f>IF('[3]Tasa de Falla'!HM109=0,"",'[3]Tasa de Falla'!HM109)</f>
      </c>
      <c r="R107" s="473">
        <f>IF('[3]Tasa de Falla'!HN109=0,"",'[3]Tasa de Falla'!HN109)</f>
      </c>
      <c r="S107" s="478"/>
      <c r="T107" s="474"/>
    </row>
    <row r="108" spans="2:20" s="468" customFormat="1" ht="19.5" customHeight="1">
      <c r="B108" s="469"/>
      <c r="C108" s="475">
        <f>'[3]Tasa de Falla'!C110</f>
        <v>93</v>
      </c>
      <c r="D108" s="476" t="str">
        <f>'[3]Tasa de Falla'!D110</f>
        <v>R. DE LA FRONTERA - COBOS</v>
      </c>
      <c r="E108" s="476">
        <f>'[3]Tasa de Falla'!E110</f>
        <v>132</v>
      </c>
      <c r="F108" s="477">
        <f>'[3]Tasa de Falla'!F110</f>
        <v>130.4</v>
      </c>
      <c r="G108" s="473">
        <f>IF('[3]Tasa de Falla'!HC110=0,"",'[3]Tasa de Falla'!HC110)</f>
      </c>
      <c r="H108" s="473">
        <f>IF('[3]Tasa de Falla'!HD110=0,"",'[3]Tasa de Falla'!HD110)</f>
      </c>
      <c r="I108" s="473">
        <f>IF('[3]Tasa de Falla'!HE110=0,"",'[3]Tasa de Falla'!HE110)</f>
      </c>
      <c r="J108" s="473">
        <f>IF('[3]Tasa de Falla'!HF110=0,"",'[3]Tasa de Falla'!HF110)</f>
      </c>
      <c r="K108" s="473">
        <f>IF('[3]Tasa de Falla'!HG110=0,"",'[3]Tasa de Falla'!HG110)</f>
        <v>1</v>
      </c>
      <c r="L108" s="473">
        <f>IF('[3]Tasa de Falla'!HH110=0,"",'[3]Tasa de Falla'!HH110)</f>
      </c>
      <c r="M108" s="473">
        <f>IF('[3]Tasa de Falla'!HI110=0,"",'[3]Tasa de Falla'!HI110)</f>
      </c>
      <c r="N108" s="473">
        <f>IF('[3]Tasa de Falla'!HJ110=0,"",'[3]Tasa de Falla'!HJ110)</f>
      </c>
      <c r="O108" s="473">
        <f>IF('[3]Tasa de Falla'!HK110=0,"",'[3]Tasa de Falla'!HK110)</f>
      </c>
      <c r="P108" s="473">
        <f>IF('[3]Tasa de Falla'!HL110=0,"",'[3]Tasa de Falla'!HL110)</f>
      </c>
      <c r="Q108" s="473">
        <f>IF('[3]Tasa de Falla'!HM110=0,"",'[3]Tasa de Falla'!HM110)</f>
      </c>
      <c r="R108" s="473">
        <f>IF('[3]Tasa de Falla'!HN110=0,"",'[3]Tasa de Falla'!HN110)</f>
      </c>
      <c r="S108" s="478"/>
      <c r="T108" s="474"/>
    </row>
    <row r="109" spans="2:20" s="468" customFormat="1" ht="19.5" customHeight="1">
      <c r="B109" s="469"/>
      <c r="C109" s="475">
        <f>'[3]Tasa de Falla'!C111</f>
        <v>94</v>
      </c>
      <c r="D109" s="476" t="str">
        <f>'[3]Tasa de Falla'!D111</f>
        <v>J.V. GONZALEZ - APOLINARIO SARAVIA</v>
      </c>
      <c r="E109" s="476">
        <f>'[3]Tasa de Falla'!E111</f>
        <v>132</v>
      </c>
      <c r="F109" s="477">
        <f>'[3]Tasa de Falla'!F111</f>
        <v>94</v>
      </c>
      <c r="G109" s="473">
        <f>IF('[3]Tasa de Falla'!HC111=0,"",'[3]Tasa de Falla'!HC111)</f>
      </c>
      <c r="H109" s="473">
        <f>IF('[3]Tasa de Falla'!HD111=0,"",'[3]Tasa de Falla'!HD111)</f>
      </c>
      <c r="I109" s="473">
        <f>IF('[3]Tasa de Falla'!HE111=0,"",'[3]Tasa de Falla'!HE111)</f>
      </c>
      <c r="J109" s="473">
        <f>IF('[3]Tasa de Falla'!HF111=0,"",'[3]Tasa de Falla'!HF111)</f>
      </c>
      <c r="K109" s="473">
        <f>IF('[3]Tasa de Falla'!HG111=0,"",'[3]Tasa de Falla'!HG111)</f>
      </c>
      <c r="L109" s="473">
        <f>IF('[3]Tasa de Falla'!HH111=0,"",'[3]Tasa de Falla'!HH111)</f>
      </c>
      <c r="M109" s="473">
        <f>IF('[3]Tasa de Falla'!HI111=0,"",'[3]Tasa de Falla'!HI111)</f>
      </c>
      <c r="N109" s="473">
        <f>IF('[3]Tasa de Falla'!HJ111=0,"",'[3]Tasa de Falla'!HJ111)</f>
      </c>
      <c r="O109" s="473">
        <f>IF('[3]Tasa de Falla'!HK111=0,"",'[3]Tasa de Falla'!HK111)</f>
      </c>
      <c r="P109" s="473">
        <f>IF('[3]Tasa de Falla'!HL111=0,"",'[3]Tasa de Falla'!HL111)</f>
        <v>1</v>
      </c>
      <c r="Q109" s="473">
        <f>IF('[3]Tasa de Falla'!HM111=0,"",'[3]Tasa de Falla'!HM111)</f>
      </c>
      <c r="R109" s="473">
        <f>IF('[3]Tasa de Falla'!HN111=0,"",'[3]Tasa de Falla'!HN111)</f>
      </c>
      <c r="S109" s="478"/>
      <c r="T109" s="474"/>
    </row>
    <row r="110" spans="2:20" s="468" customFormat="1" ht="19.5" customHeight="1">
      <c r="B110" s="469"/>
      <c r="C110" s="475">
        <f>'[3]Tasa de Falla'!C112</f>
        <v>95</v>
      </c>
      <c r="D110" s="476" t="str">
        <f>'[3]Tasa de Falla'!D112</f>
        <v>ANDALGALA - SAULIL</v>
      </c>
      <c r="E110" s="476">
        <f>'[3]Tasa de Falla'!E112</f>
        <v>132</v>
      </c>
      <c r="F110" s="477">
        <f>'[3]Tasa de Falla'!F112</f>
        <v>76</v>
      </c>
      <c r="G110" s="473">
        <f>IF('[3]Tasa de Falla'!HC112=0,"",'[3]Tasa de Falla'!HC112)</f>
      </c>
      <c r="H110" s="473">
        <f>IF('[3]Tasa de Falla'!HD112=0,"",'[3]Tasa de Falla'!HD112)</f>
      </c>
      <c r="I110" s="473">
        <f>IF('[3]Tasa de Falla'!HE112=0,"",'[3]Tasa de Falla'!HE112)</f>
      </c>
      <c r="J110" s="473">
        <f>IF('[3]Tasa de Falla'!HF112=0,"",'[3]Tasa de Falla'!HF112)</f>
      </c>
      <c r="K110" s="473">
        <f>IF('[3]Tasa de Falla'!HG112=0,"",'[3]Tasa de Falla'!HG112)</f>
      </c>
      <c r="L110" s="473">
        <f>IF('[3]Tasa de Falla'!HH112=0,"",'[3]Tasa de Falla'!HH112)</f>
      </c>
      <c r="M110" s="473">
        <f>IF('[3]Tasa de Falla'!HI112=0,"",'[3]Tasa de Falla'!HI112)</f>
      </c>
      <c r="N110" s="473">
        <f>IF('[3]Tasa de Falla'!HJ112=0,"",'[3]Tasa de Falla'!HJ112)</f>
      </c>
      <c r="O110" s="473">
        <f>IF('[3]Tasa de Falla'!HK112=0,"",'[3]Tasa de Falla'!HK112)</f>
      </c>
      <c r="P110" s="473">
        <f>IF('[3]Tasa de Falla'!HL112=0,"",'[3]Tasa de Falla'!HL112)</f>
      </c>
      <c r="Q110" s="473">
        <f>IF('[3]Tasa de Falla'!HM112=0,"",'[3]Tasa de Falla'!HM112)</f>
      </c>
      <c r="R110" s="473">
        <f>IF('[3]Tasa de Falla'!HN112=0,"",'[3]Tasa de Falla'!HN112)</f>
      </c>
      <c r="S110" s="478"/>
      <c r="T110" s="474"/>
    </row>
    <row r="111" spans="2:20" s="468" customFormat="1" ht="19.5" customHeight="1">
      <c r="B111" s="469"/>
      <c r="C111" s="475">
        <f>'[3]Tasa de Falla'!C113</f>
        <v>96</v>
      </c>
      <c r="D111" s="476" t="str">
        <f>'[3]Tasa de Falla'!D113</f>
        <v>SANTIAGO OESTE - SANT. SUR  - SANT. CENTRO</v>
      </c>
      <c r="E111" s="476">
        <f>'[3]Tasa de Falla'!E113</f>
        <v>132</v>
      </c>
      <c r="F111" s="477">
        <f>'[3]Tasa de Falla'!F113</f>
        <v>14.6</v>
      </c>
      <c r="G111" s="473" t="str">
        <f>IF('[3]Tasa de Falla'!HC113=0,"",'[3]Tasa de Falla'!HC113)</f>
        <v>XXXX</v>
      </c>
      <c r="H111" s="473" t="str">
        <f>IF('[3]Tasa de Falla'!HD113=0,"",'[3]Tasa de Falla'!HD113)</f>
        <v>XXXX</v>
      </c>
      <c r="I111" s="473" t="str">
        <f>IF('[3]Tasa de Falla'!HE113=0,"",'[3]Tasa de Falla'!HE113)</f>
        <v>XXXX</v>
      </c>
      <c r="J111" s="473" t="str">
        <f>IF('[3]Tasa de Falla'!HF113=0,"",'[3]Tasa de Falla'!HF113)</f>
        <v>XXXX</v>
      </c>
      <c r="K111" s="473" t="str">
        <f>IF('[3]Tasa de Falla'!HG113=0,"",'[3]Tasa de Falla'!HG113)</f>
        <v>XXXX</v>
      </c>
      <c r="L111" s="473" t="str">
        <f>IF('[3]Tasa de Falla'!HH113=0,"",'[3]Tasa de Falla'!HH113)</f>
        <v>XXXX</v>
      </c>
      <c r="M111" s="473" t="str">
        <f>IF('[3]Tasa de Falla'!HI113=0,"",'[3]Tasa de Falla'!HI113)</f>
        <v>XXXX</v>
      </c>
      <c r="N111" s="473" t="str">
        <f>IF('[3]Tasa de Falla'!HJ113=0,"",'[3]Tasa de Falla'!HJ113)</f>
        <v>XXXX</v>
      </c>
      <c r="O111" s="473" t="str">
        <f>IF('[3]Tasa de Falla'!HK113=0,"",'[3]Tasa de Falla'!HK113)</f>
        <v>XXXX</v>
      </c>
      <c r="P111" s="473" t="str">
        <f>IF('[3]Tasa de Falla'!HL113=0,"",'[3]Tasa de Falla'!HL113)</f>
        <v>XXXX</v>
      </c>
      <c r="Q111" s="473" t="str">
        <f>IF('[3]Tasa de Falla'!HM113=0,"",'[3]Tasa de Falla'!HM113)</f>
        <v>XXXX</v>
      </c>
      <c r="R111" s="473" t="str">
        <f>IF('[3]Tasa de Falla'!HN113=0,"",'[3]Tasa de Falla'!HN113)</f>
        <v>XXXX</v>
      </c>
      <c r="S111" s="478"/>
      <c r="T111" s="474"/>
    </row>
    <row r="112" spans="2:20" s="468" customFormat="1" ht="19.5" customHeight="1">
      <c r="B112" s="469"/>
      <c r="C112" s="475">
        <f>'[3]Tasa de Falla'!C114</f>
        <v>97</v>
      </c>
      <c r="D112" s="476" t="str">
        <f>'[3]Tasa de Falla'!D114</f>
        <v>LA RIOJA SUR - PI LA RIOJA  </v>
      </c>
      <c r="E112" s="476">
        <f>'[3]Tasa de Falla'!E114</f>
        <v>132</v>
      </c>
      <c r="F112" s="477">
        <f>'[3]Tasa de Falla'!F114</f>
        <v>40</v>
      </c>
      <c r="G112" s="473">
        <f>IF('[3]Tasa de Falla'!HC114=0,"",'[3]Tasa de Falla'!HC114)</f>
      </c>
      <c r="H112" s="473">
        <f>IF('[3]Tasa de Falla'!HD114=0,"",'[3]Tasa de Falla'!HD114)</f>
      </c>
      <c r="I112" s="473">
        <f>IF('[3]Tasa de Falla'!HE114=0,"",'[3]Tasa de Falla'!HE114)</f>
      </c>
      <c r="J112" s="473">
        <f>IF('[3]Tasa de Falla'!HF114=0,"",'[3]Tasa de Falla'!HF114)</f>
      </c>
      <c r="K112" s="473">
        <f>IF('[3]Tasa de Falla'!HG114=0,"",'[3]Tasa de Falla'!HG114)</f>
      </c>
      <c r="L112" s="473">
        <f>IF('[3]Tasa de Falla'!HH114=0,"",'[3]Tasa de Falla'!HH114)</f>
      </c>
      <c r="M112" s="473">
        <f>IF('[3]Tasa de Falla'!HI114=0,"",'[3]Tasa de Falla'!HI114)</f>
      </c>
      <c r="N112" s="473">
        <f>IF('[3]Tasa de Falla'!HJ114=0,"",'[3]Tasa de Falla'!HJ114)</f>
      </c>
      <c r="O112" s="473">
        <f>IF('[3]Tasa de Falla'!HK114=0,"",'[3]Tasa de Falla'!HK114)</f>
      </c>
      <c r="P112" s="473">
        <f>IF('[3]Tasa de Falla'!HL114=0,"",'[3]Tasa de Falla'!HL114)</f>
      </c>
      <c r="Q112" s="473">
        <f>IF('[3]Tasa de Falla'!HM114=0,"",'[3]Tasa de Falla'!HM114)</f>
      </c>
      <c r="R112" s="473">
        <f>IF('[3]Tasa de Falla'!HN114=0,"",'[3]Tasa de Falla'!HN114)</f>
      </c>
      <c r="S112" s="478"/>
      <c r="T112" s="474"/>
    </row>
    <row r="113" spans="2:20" s="468" customFormat="1" ht="19.5" customHeight="1">
      <c r="B113" s="469"/>
      <c r="C113" s="475">
        <f>'[3]Tasa de Falla'!C115</f>
        <v>98</v>
      </c>
      <c r="D113" s="476" t="str">
        <f>'[3]Tasa de Falla'!D115</f>
        <v>LA RIOJA SUR - PI. PATQUIA</v>
      </c>
      <c r="E113" s="476">
        <f>'[3]Tasa de Falla'!E115</f>
        <v>132</v>
      </c>
      <c r="F113" s="477">
        <f>'[3]Tasa de Falla'!F115</f>
        <v>40</v>
      </c>
      <c r="G113" s="473">
        <f>IF('[3]Tasa de Falla'!HC115=0,"",'[3]Tasa de Falla'!HC115)</f>
      </c>
      <c r="H113" s="473">
        <f>IF('[3]Tasa de Falla'!HD115=0,"",'[3]Tasa de Falla'!HD115)</f>
      </c>
      <c r="I113" s="473">
        <f>IF('[3]Tasa de Falla'!HE115=0,"",'[3]Tasa de Falla'!HE115)</f>
      </c>
      <c r="J113" s="473">
        <f>IF('[3]Tasa de Falla'!HF115=0,"",'[3]Tasa de Falla'!HF115)</f>
      </c>
      <c r="K113" s="473">
        <f>IF('[3]Tasa de Falla'!HG115=0,"",'[3]Tasa de Falla'!HG115)</f>
      </c>
      <c r="L113" s="473">
        <f>IF('[3]Tasa de Falla'!HH115=0,"",'[3]Tasa de Falla'!HH115)</f>
      </c>
      <c r="M113" s="473">
        <f>IF('[3]Tasa de Falla'!HI115=0,"",'[3]Tasa de Falla'!HI115)</f>
      </c>
      <c r="N113" s="473">
        <f>IF('[3]Tasa de Falla'!HJ115=0,"",'[3]Tasa de Falla'!HJ115)</f>
      </c>
      <c r="O113" s="473">
        <f>IF('[3]Tasa de Falla'!HK115=0,"",'[3]Tasa de Falla'!HK115)</f>
      </c>
      <c r="P113" s="473">
        <f>IF('[3]Tasa de Falla'!HL115=0,"",'[3]Tasa de Falla'!HL115)</f>
      </c>
      <c r="Q113" s="473">
        <f>IF('[3]Tasa de Falla'!HM115=0,"",'[3]Tasa de Falla'!HM115)</f>
      </c>
      <c r="R113" s="473">
        <f>IF('[3]Tasa de Falla'!HN115=0,"",'[3]Tasa de Falla'!HN115)</f>
      </c>
      <c r="S113" s="478"/>
      <c r="T113" s="474"/>
    </row>
    <row r="114" spans="2:20" s="468" customFormat="1" ht="19.5" customHeight="1">
      <c r="B114" s="469"/>
      <c r="C114" s="475">
        <f>'[3]Tasa de Falla'!C116</f>
        <v>99</v>
      </c>
      <c r="D114" s="476" t="str">
        <f>'[3]Tasa de Falla'!D116</f>
        <v>SUNCHO CORRAL - QUIMILI</v>
      </c>
      <c r="E114" s="476">
        <f>'[3]Tasa de Falla'!E116</f>
        <v>132</v>
      </c>
      <c r="F114" s="477">
        <f>'[3]Tasa de Falla'!F116</f>
        <v>108</v>
      </c>
      <c r="G114" s="473">
        <f>IF('[3]Tasa de Falla'!HC116=0,"",'[3]Tasa de Falla'!HC116)</f>
      </c>
      <c r="H114" s="473">
        <f>IF('[3]Tasa de Falla'!HD116=0,"",'[3]Tasa de Falla'!HD116)</f>
      </c>
      <c r="I114" s="473">
        <f>IF('[3]Tasa de Falla'!HE116=0,"",'[3]Tasa de Falla'!HE116)</f>
        <v>1</v>
      </c>
      <c r="J114" s="473">
        <f>IF('[3]Tasa de Falla'!HF116=0,"",'[3]Tasa de Falla'!HF116)</f>
        <v>1</v>
      </c>
      <c r="K114" s="473">
        <f>IF('[3]Tasa de Falla'!HG116=0,"",'[3]Tasa de Falla'!HG116)</f>
      </c>
      <c r="L114" s="473">
        <f>IF('[3]Tasa de Falla'!HH116=0,"",'[3]Tasa de Falla'!HH116)</f>
      </c>
      <c r="M114" s="473">
        <f>IF('[3]Tasa de Falla'!HI116=0,"",'[3]Tasa de Falla'!HI116)</f>
      </c>
      <c r="N114" s="473">
        <f>IF('[3]Tasa de Falla'!HJ116=0,"",'[3]Tasa de Falla'!HJ116)</f>
      </c>
      <c r="O114" s="473">
        <f>IF('[3]Tasa de Falla'!HK116=0,"",'[3]Tasa de Falla'!HK116)</f>
      </c>
      <c r="P114" s="473">
        <f>IF('[3]Tasa de Falla'!HL116=0,"",'[3]Tasa de Falla'!HL116)</f>
      </c>
      <c r="Q114" s="473">
        <f>IF('[3]Tasa de Falla'!HM116=0,"",'[3]Tasa de Falla'!HM116)</f>
      </c>
      <c r="R114" s="473">
        <f>IF('[3]Tasa de Falla'!HN116=0,"",'[3]Tasa de Falla'!HN116)</f>
      </c>
      <c r="S114" s="478"/>
      <c r="T114" s="474"/>
    </row>
    <row r="115" spans="2:20" s="468" customFormat="1" ht="19.5" customHeight="1">
      <c r="B115" s="469"/>
      <c r="C115" s="475">
        <f>'[3]Tasa de Falla'!C117</f>
        <v>100</v>
      </c>
      <c r="D115" s="476" t="str">
        <f>'[3]Tasa de Falla'!D117</f>
        <v>EL BRACHO - LA BANDA ESTE</v>
      </c>
      <c r="E115" s="476">
        <f>'[3]Tasa de Falla'!E117</f>
        <v>132</v>
      </c>
      <c r="F115" s="477">
        <f>'[3]Tasa de Falla'!F117</f>
        <v>140.9</v>
      </c>
      <c r="G115" s="473" t="str">
        <f>IF('[3]Tasa de Falla'!HC117=0,"",'[3]Tasa de Falla'!HC117)</f>
        <v>XXXX</v>
      </c>
      <c r="H115" s="473" t="str">
        <f>IF('[3]Tasa de Falla'!HD117=0,"",'[3]Tasa de Falla'!HD117)</f>
        <v>XXXX</v>
      </c>
      <c r="I115" s="473" t="str">
        <f>IF('[3]Tasa de Falla'!HE117=0,"",'[3]Tasa de Falla'!HE117)</f>
        <v>XXXX</v>
      </c>
      <c r="J115" s="473" t="str">
        <f>IF('[3]Tasa de Falla'!HF117=0,"",'[3]Tasa de Falla'!HF117)</f>
        <v>XXXX</v>
      </c>
      <c r="K115" s="473" t="str">
        <f>IF('[3]Tasa de Falla'!HG117=0,"",'[3]Tasa de Falla'!HG117)</f>
        <v>XXXX</v>
      </c>
      <c r="L115" s="473" t="str">
        <f>IF('[3]Tasa de Falla'!HH117=0,"",'[3]Tasa de Falla'!HH117)</f>
        <v>XXXX</v>
      </c>
      <c r="M115" s="473" t="str">
        <f>IF('[3]Tasa de Falla'!HI117=0,"",'[3]Tasa de Falla'!HI117)</f>
        <v>XXXX</v>
      </c>
      <c r="N115" s="473" t="str">
        <f>IF('[3]Tasa de Falla'!HJ117=0,"",'[3]Tasa de Falla'!HJ117)</f>
        <v>XXXX</v>
      </c>
      <c r="O115" s="473" t="str">
        <f>IF('[3]Tasa de Falla'!HK117=0,"",'[3]Tasa de Falla'!HK117)</f>
        <v>XXXX</v>
      </c>
      <c r="P115" s="473" t="str">
        <f>IF('[3]Tasa de Falla'!HL117=0,"",'[3]Tasa de Falla'!HL117)</f>
        <v>XXXX</v>
      </c>
      <c r="Q115" s="473" t="str">
        <f>IF('[3]Tasa de Falla'!HM117=0,"",'[3]Tasa de Falla'!HM117)</f>
        <v>XXXX</v>
      </c>
      <c r="R115" s="473" t="str">
        <f>IF('[3]Tasa de Falla'!HN117=0,"",'[3]Tasa de Falla'!HN117)</f>
        <v>XXXX</v>
      </c>
      <c r="S115" s="478"/>
      <c r="T115" s="474"/>
    </row>
    <row r="116" spans="2:20" s="468" customFormat="1" ht="19.5" customHeight="1">
      <c r="B116" s="469"/>
      <c r="C116" s="475">
        <f>'[3]Tasa de Falla'!C118</f>
        <v>101</v>
      </c>
      <c r="D116" s="476" t="str">
        <f>'[3]Tasa de Falla'!D118</f>
        <v>LA BANDA ESTE - LA BANDA</v>
      </c>
      <c r="E116" s="476">
        <f>'[3]Tasa de Falla'!E118</f>
        <v>132</v>
      </c>
      <c r="F116" s="477">
        <f>'[3]Tasa de Falla'!F118</f>
        <v>16.2</v>
      </c>
      <c r="G116" s="473" t="str">
        <f>IF('[3]Tasa de Falla'!HC118=0,"",'[3]Tasa de Falla'!HC118)</f>
        <v>XXXX</v>
      </c>
      <c r="H116" s="473" t="str">
        <f>IF('[3]Tasa de Falla'!HD118=0,"",'[3]Tasa de Falla'!HD118)</f>
        <v>XXXX</v>
      </c>
      <c r="I116" s="473" t="str">
        <f>IF('[3]Tasa de Falla'!HE118=0,"",'[3]Tasa de Falla'!HE118)</f>
        <v>XXXX</v>
      </c>
      <c r="J116" s="473" t="str">
        <f>IF('[3]Tasa de Falla'!HF118=0,"",'[3]Tasa de Falla'!HF118)</f>
        <v>XXXX</v>
      </c>
      <c r="K116" s="473" t="str">
        <f>IF('[3]Tasa de Falla'!HG118=0,"",'[3]Tasa de Falla'!HG118)</f>
        <v>XXXX</v>
      </c>
      <c r="L116" s="473" t="str">
        <f>IF('[3]Tasa de Falla'!HH118=0,"",'[3]Tasa de Falla'!HH118)</f>
        <v>XXXX</v>
      </c>
      <c r="M116" s="473" t="str">
        <f>IF('[3]Tasa de Falla'!HI118=0,"",'[3]Tasa de Falla'!HI118)</f>
        <v>XXXX</v>
      </c>
      <c r="N116" s="473" t="str">
        <f>IF('[3]Tasa de Falla'!HJ118=0,"",'[3]Tasa de Falla'!HJ118)</f>
        <v>XXXX</v>
      </c>
      <c r="O116" s="473" t="str">
        <f>IF('[3]Tasa de Falla'!HK118=0,"",'[3]Tasa de Falla'!HK118)</f>
        <v>XXXX</v>
      </c>
      <c r="P116" s="473" t="str">
        <f>IF('[3]Tasa de Falla'!HL118=0,"",'[3]Tasa de Falla'!HL118)</f>
        <v>XXXX</v>
      </c>
      <c r="Q116" s="473" t="str">
        <f>IF('[3]Tasa de Falla'!HM118=0,"",'[3]Tasa de Falla'!HM118)</f>
        <v>XXXX</v>
      </c>
      <c r="R116" s="473" t="str">
        <f>IF('[3]Tasa de Falla'!HN118=0,"",'[3]Tasa de Falla'!HN118)</f>
        <v>XXXX</v>
      </c>
      <c r="S116" s="478"/>
      <c r="T116" s="474"/>
    </row>
    <row r="117" spans="2:20" s="468" customFormat="1" ht="19.5" customHeight="1">
      <c r="B117" s="469"/>
      <c r="C117" s="475">
        <f>'[3]Tasa de Falla'!C119</f>
        <v>102</v>
      </c>
      <c r="D117" s="476" t="str">
        <f>'[3]Tasa de Falla'!D119</f>
        <v>TABACAL - PICHANAL</v>
      </c>
      <c r="E117" s="476">
        <f>'[3]Tasa de Falla'!E119</f>
        <v>132</v>
      </c>
      <c r="F117" s="477">
        <f>'[3]Tasa de Falla'!F119</f>
        <v>7</v>
      </c>
      <c r="G117" s="473" t="str">
        <f>IF('[3]Tasa de Falla'!HC119=0,"",'[3]Tasa de Falla'!HC119)</f>
        <v>XXXX</v>
      </c>
      <c r="H117" s="473" t="str">
        <f>IF('[3]Tasa de Falla'!HD119=0,"",'[3]Tasa de Falla'!HD119)</f>
        <v>XXXX</v>
      </c>
      <c r="I117" s="473" t="str">
        <f>IF('[3]Tasa de Falla'!HE119=0,"",'[3]Tasa de Falla'!HE119)</f>
        <v>XXXX</v>
      </c>
      <c r="J117" s="473" t="str">
        <f>IF('[3]Tasa de Falla'!HF119=0,"",'[3]Tasa de Falla'!HF119)</f>
        <v>XXXX</v>
      </c>
      <c r="K117" s="473" t="str">
        <f>IF('[3]Tasa de Falla'!HG119=0,"",'[3]Tasa de Falla'!HG119)</f>
        <v>XXXX</v>
      </c>
      <c r="L117" s="473" t="str">
        <f>IF('[3]Tasa de Falla'!HH119=0,"",'[3]Tasa de Falla'!HH119)</f>
        <v>XXXX</v>
      </c>
      <c r="M117" s="473" t="str">
        <f>IF('[3]Tasa de Falla'!HI119=0,"",'[3]Tasa de Falla'!HI119)</f>
        <v>XXXX</v>
      </c>
      <c r="N117" s="473">
        <f>IF('[3]Tasa de Falla'!HJ119=0,"",'[3]Tasa de Falla'!HJ119)</f>
      </c>
      <c r="O117" s="473">
        <f>IF('[3]Tasa de Falla'!HK119=0,"",'[3]Tasa de Falla'!HK119)</f>
      </c>
      <c r="P117" s="473">
        <f>IF('[3]Tasa de Falla'!HL119=0,"",'[3]Tasa de Falla'!HL119)</f>
      </c>
      <c r="Q117" s="473">
        <f>IF('[3]Tasa de Falla'!HM119=0,"",'[3]Tasa de Falla'!HM119)</f>
      </c>
      <c r="R117" s="473">
        <f>IF('[3]Tasa de Falla'!HN119=0,"",'[3]Tasa de Falla'!HN119)</f>
      </c>
      <c r="S117" s="478"/>
      <c r="T117" s="474"/>
    </row>
    <row r="118" spans="2:20" s="468" customFormat="1" ht="19.5" customHeight="1">
      <c r="B118" s="469"/>
      <c r="C118" s="475">
        <f>'[3]Tasa de Falla'!C120</f>
        <v>103</v>
      </c>
      <c r="D118" s="476" t="str">
        <f>'[3]Tasa de Falla'!D120</f>
        <v>ORAN - TABACAL</v>
      </c>
      <c r="E118" s="476">
        <f>'[3]Tasa de Falla'!E120</f>
        <v>132</v>
      </c>
      <c r="F118" s="477">
        <f>'[3]Tasa de Falla'!F120</f>
        <v>10</v>
      </c>
      <c r="G118" s="473" t="str">
        <f>IF('[3]Tasa de Falla'!HC120=0,"",'[3]Tasa de Falla'!HC120)</f>
        <v>XXXX</v>
      </c>
      <c r="H118" s="473" t="str">
        <f>IF('[3]Tasa de Falla'!HD120=0,"",'[3]Tasa de Falla'!HD120)</f>
        <v>XXXX</v>
      </c>
      <c r="I118" s="473" t="str">
        <f>IF('[3]Tasa de Falla'!HE120=0,"",'[3]Tasa de Falla'!HE120)</f>
        <v>XXXX</v>
      </c>
      <c r="J118" s="473" t="str">
        <f>IF('[3]Tasa de Falla'!HF120=0,"",'[3]Tasa de Falla'!HF120)</f>
        <v>XXXX</v>
      </c>
      <c r="K118" s="473" t="str">
        <f>IF('[3]Tasa de Falla'!HG120=0,"",'[3]Tasa de Falla'!HG120)</f>
        <v>XXXX</v>
      </c>
      <c r="L118" s="473" t="str">
        <f>IF('[3]Tasa de Falla'!HH120=0,"",'[3]Tasa de Falla'!HH120)</f>
        <v>XXXX</v>
      </c>
      <c r="M118" s="473" t="str">
        <f>IF('[3]Tasa de Falla'!HI120=0,"",'[3]Tasa de Falla'!HI120)</f>
        <v>XXXX</v>
      </c>
      <c r="N118" s="473">
        <f>IF('[3]Tasa de Falla'!HJ120=0,"",'[3]Tasa de Falla'!HJ120)</f>
      </c>
      <c r="O118" s="473">
        <f>IF('[3]Tasa de Falla'!HK120=0,"",'[3]Tasa de Falla'!HK120)</f>
      </c>
      <c r="P118" s="473">
        <f>IF('[3]Tasa de Falla'!HL120=0,"",'[3]Tasa de Falla'!HL120)</f>
      </c>
      <c r="Q118" s="473">
        <f>IF('[3]Tasa de Falla'!HM120=0,"",'[3]Tasa de Falla'!HM120)</f>
      </c>
      <c r="R118" s="473">
        <f>IF('[3]Tasa de Falla'!HN120=0,"",'[3]Tasa de Falla'!HN120)</f>
      </c>
      <c r="S118" s="478"/>
      <c r="T118" s="474"/>
    </row>
    <row r="119" spans="2:20" s="468" customFormat="1" ht="19.5" customHeight="1">
      <c r="B119" s="469"/>
      <c r="C119" s="475">
        <f>'[3]Tasa de Falla'!C121</f>
        <v>104</v>
      </c>
      <c r="D119" s="476" t="str">
        <f>'[3]Tasa de Falla'!D121</f>
        <v>MONTE QUEMADO -COPO - QUIMILI</v>
      </c>
      <c r="E119" s="476">
        <f>'[3]Tasa de Falla'!E121</f>
        <v>132</v>
      </c>
      <c r="F119" s="477">
        <f>'[3]Tasa de Falla'!F121</f>
        <v>218</v>
      </c>
      <c r="G119" s="473" t="str">
        <f>IF('[3]Tasa de Falla'!HC121=0,"",'[3]Tasa de Falla'!HC121)</f>
        <v>XXXX</v>
      </c>
      <c r="H119" s="473" t="str">
        <f>IF('[3]Tasa de Falla'!HD121=0,"",'[3]Tasa de Falla'!HD121)</f>
        <v>XXXX</v>
      </c>
      <c r="I119" s="473" t="str">
        <f>IF('[3]Tasa de Falla'!HE121=0,"",'[3]Tasa de Falla'!HE121)</f>
        <v>XXXX</v>
      </c>
      <c r="J119" s="473" t="str">
        <f>IF('[3]Tasa de Falla'!HF121=0,"",'[3]Tasa de Falla'!HF121)</f>
        <v>XXXX</v>
      </c>
      <c r="K119" s="473" t="str">
        <f>IF('[3]Tasa de Falla'!HG121=0,"",'[3]Tasa de Falla'!HG121)</f>
        <v>XXXX</v>
      </c>
      <c r="L119" s="473" t="str">
        <f>IF('[3]Tasa de Falla'!HH121=0,"",'[3]Tasa de Falla'!HH121)</f>
        <v>XXXX</v>
      </c>
      <c r="M119" s="473" t="str">
        <f>IF('[3]Tasa de Falla'!HI121=0,"",'[3]Tasa de Falla'!HI121)</f>
        <v>XXXX</v>
      </c>
      <c r="N119" s="473" t="str">
        <f>IF('[3]Tasa de Falla'!HJ121=0,"",'[3]Tasa de Falla'!HJ121)</f>
        <v>XXXX</v>
      </c>
      <c r="O119" s="473" t="str">
        <f>IF('[3]Tasa de Falla'!HK121=0,"",'[3]Tasa de Falla'!HK121)</f>
        <v>XXXX</v>
      </c>
      <c r="P119" s="473" t="str">
        <f>IF('[3]Tasa de Falla'!HL121=0,"",'[3]Tasa de Falla'!HL121)</f>
        <v>XXXX</v>
      </c>
      <c r="Q119" s="473" t="str">
        <f>IF('[3]Tasa de Falla'!HM121=0,"",'[3]Tasa de Falla'!HM121)</f>
        <v>XXXX</v>
      </c>
      <c r="R119" s="473" t="str">
        <f>IF('[3]Tasa de Falla'!HN121=0,"",'[3]Tasa de Falla'!HN121)</f>
        <v>XXXX</v>
      </c>
      <c r="S119" s="478"/>
      <c r="T119" s="474"/>
    </row>
    <row r="120" spans="2:20" s="468" customFormat="1" ht="19.5" customHeight="1">
      <c r="B120" s="469"/>
      <c r="C120" s="475"/>
      <c r="D120" s="475"/>
      <c r="E120" s="475"/>
      <c r="F120" s="479"/>
      <c r="G120" s="473">
        <f>IF('[2]Tasa de Falla'!HC119=0,"",'[2]Tasa de Falla'!HC119)</f>
      </c>
      <c r="H120" s="473">
        <f>IF('[2]Tasa de Falla'!HD119=0,"",'[2]Tasa de Falla'!HD119)</f>
      </c>
      <c r="I120" s="473">
        <f>IF('[2]Tasa de Falla'!HE119=0,"",'[2]Tasa de Falla'!HE119)</f>
      </c>
      <c r="J120" s="473">
        <f>IF('[2]Tasa de Falla'!HF119=0,"",'[2]Tasa de Falla'!HF119)</f>
      </c>
      <c r="K120" s="473">
        <f>IF('[2]Tasa de Falla'!HG119=0,"",'[2]Tasa de Falla'!HG119)</f>
      </c>
      <c r="L120" s="473">
        <f>IF('[2]Tasa de Falla'!HH119=0,"",'[2]Tasa de Falla'!HH119)</f>
      </c>
      <c r="M120" s="473">
        <f>IF('[2]Tasa de Falla'!HI119=0,"",'[2]Tasa de Falla'!HI119)</f>
      </c>
      <c r="N120" s="473">
        <f>IF('[2]Tasa de Falla'!HJ119=0,"",'[2]Tasa de Falla'!HJ119)</f>
      </c>
      <c r="O120" s="473">
        <f>IF('[2]Tasa de Falla'!HK119=0,"",'[2]Tasa de Falla'!HK119)</f>
      </c>
      <c r="P120" s="473">
        <f>IF('[2]Tasa de Falla'!HL119=0,"",'[2]Tasa de Falla'!HL119)</f>
      </c>
      <c r="Q120" s="473">
        <f>IF('[2]Tasa de Falla'!HM119=0,"",'[2]Tasa de Falla'!HM119)</f>
      </c>
      <c r="R120" s="473">
        <f>IF('[2]Tasa de Falla'!HN119=0,"",'[2]Tasa de Falla'!HN119)</f>
      </c>
      <c r="S120" s="478"/>
      <c r="T120" s="474"/>
    </row>
    <row r="121" spans="2:20" s="468" customFormat="1" ht="19.5" customHeight="1" thickBot="1">
      <c r="B121" s="469"/>
      <c r="C121" s="480"/>
      <c r="D121" s="481"/>
      <c r="E121" s="482"/>
      <c r="F121" s="483"/>
      <c r="G121" s="473">
        <f>IF('[1]Tasa de Falla'!HC120=0,"",'[1]Tasa de Falla'!HC120)</f>
      </c>
      <c r="H121" s="473">
        <f>IF('[1]Tasa de Falla'!HD120=0,"",'[1]Tasa de Falla'!HD120)</f>
      </c>
      <c r="I121" s="473">
        <f>IF('[1]Tasa de Falla'!HE120=0,"",'[1]Tasa de Falla'!HE120)</f>
      </c>
      <c r="J121" s="473">
        <f>IF('[1]Tasa de Falla'!HF120=0,"",'[1]Tasa de Falla'!HF120)</f>
      </c>
      <c r="K121" s="473">
        <f>IF('[1]Tasa de Falla'!HG120=0,"",'[1]Tasa de Falla'!HG120)</f>
      </c>
      <c r="L121" s="473">
        <f>IF('[1]Tasa de Falla'!HH120=0,"",'[1]Tasa de Falla'!HH120)</f>
      </c>
      <c r="M121" s="473">
        <f>IF('[1]Tasa de Falla'!HI120=0,"",'[1]Tasa de Falla'!HI120)</f>
      </c>
      <c r="N121" s="473">
        <f>IF('[1]Tasa de Falla'!HJ120=0,"",'[1]Tasa de Falla'!HJ120)</f>
      </c>
      <c r="O121" s="473">
        <f>IF('[1]Tasa de Falla'!HK120=0,"",'[1]Tasa de Falla'!HK120)</f>
      </c>
      <c r="P121" s="473">
        <f>IF('[1]Tasa de Falla'!HL120=0,"",'[1]Tasa de Falla'!HL120)</f>
      </c>
      <c r="Q121" s="473">
        <f>IF('[1]Tasa de Falla'!HM120=0,"",'[1]Tasa de Falla'!HM120)</f>
      </c>
      <c r="R121" s="473">
        <f>IF('[1]Tasa de Falla'!HN120=0,"",'[1]Tasa de Falla'!HN120)</f>
      </c>
      <c r="S121" s="478"/>
      <c r="T121" s="474"/>
    </row>
    <row r="122" spans="2:20" ht="15" customHeight="1" thickBot="1" thickTop="1">
      <c r="B122" s="456"/>
      <c r="C122" s="84"/>
      <c r="D122" s="484"/>
      <c r="E122" s="485" t="s">
        <v>217</v>
      </c>
      <c r="F122" s="486">
        <f>SUM(F16:F121)-F19-F21-F22-F26-F27-F37-F39-F40-F43-F44-F47-F48-F49-F53-F60-F65-F78-F82-F96-F111-F115-F116-F119</f>
        <v>4214.290000000003</v>
      </c>
      <c r="G122" s="487"/>
      <c r="H122" s="487"/>
      <c r="I122" s="487"/>
      <c r="J122" s="487"/>
      <c r="K122" s="487"/>
      <c r="L122" s="487"/>
      <c r="M122" s="487"/>
      <c r="N122" s="487"/>
      <c r="O122" s="487"/>
      <c r="P122" s="487"/>
      <c r="Q122" s="487"/>
      <c r="R122" s="487"/>
      <c r="S122" s="488"/>
      <c r="T122" s="450"/>
    </row>
    <row r="123" spans="2:20" ht="15" customHeight="1" thickBot="1" thickTop="1">
      <c r="B123" s="456"/>
      <c r="C123" s="7"/>
      <c r="D123" s="489"/>
      <c r="F123" s="490" t="s">
        <v>218</v>
      </c>
      <c r="G123" s="491">
        <f aca="true" t="shared" si="0" ref="G123:R123">SUM(G17:G121)</f>
        <v>5</v>
      </c>
      <c r="H123" s="491">
        <f t="shared" si="0"/>
        <v>6</v>
      </c>
      <c r="I123" s="491">
        <f t="shared" si="0"/>
        <v>11</v>
      </c>
      <c r="J123" s="491">
        <f t="shared" si="0"/>
        <v>13</v>
      </c>
      <c r="K123" s="491">
        <f t="shared" si="0"/>
        <v>7</v>
      </c>
      <c r="L123" s="491">
        <f t="shared" si="0"/>
        <v>6</v>
      </c>
      <c r="M123" s="491">
        <f t="shared" si="0"/>
        <v>4</v>
      </c>
      <c r="N123" s="491">
        <f t="shared" si="0"/>
        <v>14</v>
      </c>
      <c r="O123" s="491">
        <f t="shared" si="0"/>
        <v>12</v>
      </c>
      <c r="P123" s="491">
        <f t="shared" si="0"/>
        <v>15</v>
      </c>
      <c r="Q123" s="491">
        <f t="shared" si="0"/>
        <v>7</v>
      </c>
      <c r="R123" s="491">
        <f t="shared" si="0"/>
        <v>3</v>
      </c>
      <c r="S123" s="492"/>
      <c r="T123" s="450"/>
    </row>
    <row r="124" spans="2:20" ht="19.5" thickBot="1" thickTop="1">
      <c r="B124" s="456"/>
      <c r="C124" s="7"/>
      <c r="D124" s="7"/>
      <c r="E124" s="7"/>
      <c r="F124" s="493" t="s">
        <v>219</v>
      </c>
      <c r="G124" s="494">
        <f>+'[3]Tasa de Falla'!HC129</f>
        <v>2.04</v>
      </c>
      <c r="H124" s="494">
        <f>+'[3]Tasa de Falla'!HD129</f>
        <v>1.95</v>
      </c>
      <c r="I124" s="494">
        <f>+'[3]Tasa de Falla'!HE129</f>
        <v>1.92</v>
      </c>
      <c r="J124" s="494">
        <f>+'[3]Tasa de Falla'!HF129</f>
        <v>1.99</v>
      </c>
      <c r="K124" s="494">
        <f>+'[3]Tasa de Falla'!HG129</f>
        <v>2.14</v>
      </c>
      <c r="L124" s="494">
        <f>+'[3]Tasa de Falla'!HH129</f>
        <v>2.21</v>
      </c>
      <c r="M124" s="494">
        <f>+'[3]Tasa de Falla'!HI129</f>
        <v>2.04</v>
      </c>
      <c r="N124" s="494">
        <f>+'[3]Tasa de Falla'!HJ129</f>
        <v>1.85</v>
      </c>
      <c r="O124" s="494">
        <f>+'[3]Tasa de Falla'!HK129</f>
        <v>1.92</v>
      </c>
      <c r="P124" s="494">
        <f>+'[3]Tasa de Falla'!HL129</f>
        <v>2.04</v>
      </c>
      <c r="Q124" s="494">
        <f>+'[3]Tasa de Falla'!HM129</f>
        <v>2.35</v>
      </c>
      <c r="R124" s="494">
        <f>+'[3]Tasa de Falla'!HN129</f>
        <v>2.37</v>
      </c>
      <c r="S124" s="494">
        <f>+'[3]Tasa de Falla'!HO129</f>
        <v>2.44</v>
      </c>
      <c r="T124" s="450"/>
    </row>
    <row r="125" spans="2:21" ht="18.75" customHeight="1" thickBot="1" thickTop="1">
      <c r="B125" s="456"/>
      <c r="C125" s="47"/>
      <c r="D125" s="47"/>
      <c r="E125" s="495"/>
      <c r="F125" s="496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8"/>
      <c r="U125" s="499"/>
    </row>
    <row r="126" spans="2:20" ht="19.5" thickBot="1" thickTop="1">
      <c r="B126" s="500"/>
      <c r="C126" s="519" t="s">
        <v>220</v>
      </c>
      <c r="D126" s="47" t="s">
        <v>221</v>
      </c>
      <c r="J126" s="501" t="s">
        <v>222</v>
      </c>
      <c r="K126" s="502"/>
      <c r="L126" s="502"/>
      <c r="M126" s="503">
        <f>S124</f>
        <v>2.44</v>
      </c>
      <c r="N126" s="504" t="s">
        <v>223</v>
      </c>
      <c r="O126" s="504"/>
      <c r="P126" s="504"/>
      <c r="Q126" s="505"/>
      <c r="R126" s="1"/>
      <c r="S126" s="1"/>
      <c r="T126" s="450"/>
    </row>
    <row r="127" spans="2:20" ht="18.75" customHeight="1" thickBot="1">
      <c r="B127" s="506"/>
      <c r="C127" s="507"/>
      <c r="D127" s="94"/>
      <c r="E127" s="94"/>
      <c r="F127" s="508"/>
      <c r="G127" s="509"/>
      <c r="H127" s="509"/>
      <c r="I127" s="509"/>
      <c r="J127" s="509"/>
      <c r="K127" s="509"/>
      <c r="L127" s="509"/>
      <c r="M127" s="509"/>
      <c r="N127" s="509"/>
      <c r="O127" s="509"/>
      <c r="P127" s="509"/>
      <c r="Q127" s="509"/>
      <c r="R127" s="509"/>
      <c r="S127" s="509"/>
      <c r="T127" s="510"/>
    </row>
    <row r="128" spans="2:21" ht="15" customHeight="1" thickTop="1">
      <c r="B128" s="511"/>
      <c r="C128" s="1"/>
      <c r="D128" s="1"/>
      <c r="E128" s="1"/>
      <c r="F128" s="51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2.75">
      <c r="B129" s="513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</row>
    <row r="130" ht="12.75">
      <c r="B130" s="515"/>
    </row>
    <row r="131" spans="2:21" ht="22.5" customHeight="1">
      <c r="B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22.5" customHeight="1">
      <c r="B132" s="1"/>
      <c r="C132" s="1"/>
      <c r="D132" s="516"/>
      <c r="E132" s="516"/>
      <c r="F132" s="458"/>
      <c r="G132" s="517"/>
      <c r="H132" s="517"/>
      <c r="I132" s="517"/>
      <c r="J132" s="517"/>
      <c r="K132" s="517"/>
      <c r="L132" s="517"/>
      <c r="M132" s="517"/>
      <c r="N132" s="517"/>
      <c r="O132" s="517"/>
      <c r="P132" s="517"/>
      <c r="Q132" s="517"/>
      <c r="R132" s="517"/>
      <c r="S132" s="517"/>
      <c r="T132" s="517"/>
      <c r="U132" s="517"/>
    </row>
    <row r="133" spans="2:21" ht="22.5" customHeight="1">
      <c r="B133" s="1"/>
      <c r="C133" s="1"/>
      <c r="D133" s="516"/>
      <c r="E133" s="516"/>
      <c r="F133" s="51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22.5" customHeight="1">
      <c r="B134" s="1"/>
      <c r="C134" s="1"/>
      <c r="D134" s="459"/>
      <c r="E134" s="459"/>
      <c r="F134" s="45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22.5" customHeight="1">
      <c r="B135" s="1"/>
      <c r="C135" s="1"/>
      <c r="D135" s="516"/>
      <c r="E135" s="516"/>
      <c r="F135" s="45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</sheetData>
  <sheetProtection/>
  <mergeCells count="2">
    <mergeCell ref="A3:C3"/>
    <mergeCell ref="A4:C4"/>
  </mergeCells>
  <printOptions/>
  <pageMargins left="0.39" right="0.1968503937007874" top="0.29" bottom="0.27" header="0.22" footer="0.17"/>
  <pageSetup fitToHeight="1" fitToWidth="1" horizontalDpi="300" verticalDpi="300" orientation="portrait" paperSize="9" scale="30" r:id="rId2"/>
  <headerFooter alignWithMargins="0"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25"/>
  <sheetViews>
    <sheetView zoomScale="85" zoomScaleNormal="8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8" sqref="E8"/>
    </sheetView>
  </sheetViews>
  <sheetFormatPr defaultColWidth="11.421875" defaultRowHeight="12.75"/>
  <cols>
    <col min="1" max="1" width="21.7109375" style="87" customWidth="1"/>
    <col min="2" max="2" width="9.28125" style="87" customWidth="1"/>
    <col min="3" max="3" width="11.8515625" style="87" bestFit="1" customWidth="1"/>
    <col min="4" max="4" width="9.57421875" style="87" bestFit="1" customWidth="1"/>
    <col min="5" max="5" width="14.8515625" style="87" bestFit="1" customWidth="1"/>
    <col min="6" max="6" width="64.00390625" style="87" bestFit="1" customWidth="1"/>
    <col min="7" max="16384" width="11.421875" style="87" customWidth="1"/>
  </cols>
  <sheetData>
    <row r="1" spans="1:4" ht="12.75">
      <c r="A1" s="394" t="s">
        <v>76</v>
      </c>
      <c r="B1" s="394" t="s">
        <v>76</v>
      </c>
      <c r="C1" s="394" t="s">
        <v>77</v>
      </c>
      <c r="D1" s="394" t="s">
        <v>78</v>
      </c>
    </row>
    <row r="2" spans="1:4" ht="12.75">
      <c r="A2" s="395" t="s">
        <v>64</v>
      </c>
      <c r="B2" s="396" t="s">
        <v>79</v>
      </c>
      <c r="C2" s="395">
        <v>31</v>
      </c>
      <c r="D2" s="395">
        <v>2006</v>
      </c>
    </row>
    <row r="3" spans="1:4" ht="12.75">
      <c r="A3" s="395" t="s">
        <v>65</v>
      </c>
      <c r="B3" s="396" t="s">
        <v>80</v>
      </c>
      <c r="C3" s="395">
        <f>IF(MOD(E14,4)=0,29,28)</f>
        <v>29</v>
      </c>
      <c r="D3" s="395">
        <f>+D2+1</f>
        <v>2007</v>
      </c>
    </row>
    <row r="4" spans="1:4" ht="12.75">
      <c r="A4" s="395" t="s">
        <v>66</v>
      </c>
      <c r="B4" s="396" t="s">
        <v>81</v>
      </c>
      <c r="C4" s="395">
        <v>31</v>
      </c>
      <c r="D4" s="395">
        <v>2008</v>
      </c>
    </row>
    <row r="5" spans="1:4" ht="12.75">
      <c r="A5" s="395" t="s">
        <v>67</v>
      </c>
      <c r="B5" s="396" t="s">
        <v>82</v>
      </c>
      <c r="C5" s="395">
        <v>30</v>
      </c>
      <c r="D5" s="395">
        <v>2009</v>
      </c>
    </row>
    <row r="6" spans="1:4" ht="12.75">
      <c r="A6" s="395" t="s">
        <v>68</v>
      </c>
      <c r="B6" s="396" t="s">
        <v>83</v>
      </c>
      <c r="C6" s="395">
        <v>31</v>
      </c>
      <c r="D6" s="395">
        <v>2010</v>
      </c>
    </row>
    <row r="7" spans="1:4" ht="12.75">
      <c r="A7" s="395" t="s">
        <v>69</v>
      </c>
      <c r="B7" s="396" t="s">
        <v>84</v>
      </c>
      <c r="C7" s="395">
        <v>30</v>
      </c>
      <c r="D7" s="395">
        <v>2011</v>
      </c>
    </row>
    <row r="8" spans="1:4" ht="12.75">
      <c r="A8" s="395" t="s">
        <v>70</v>
      </c>
      <c r="B8" s="396" t="s">
        <v>85</v>
      </c>
      <c r="C8" s="395">
        <v>31</v>
      </c>
      <c r="D8" s="395">
        <v>2012</v>
      </c>
    </row>
    <row r="9" spans="1:4" ht="12.75">
      <c r="A9" s="395" t="s">
        <v>71</v>
      </c>
      <c r="B9" s="396" t="s">
        <v>86</v>
      </c>
      <c r="C9" s="395">
        <v>31</v>
      </c>
      <c r="D9" s="395"/>
    </row>
    <row r="10" spans="1:4" ht="12.75">
      <c r="A10" s="395" t="s">
        <v>72</v>
      </c>
      <c r="B10" s="396" t="s">
        <v>87</v>
      </c>
      <c r="C10" s="395">
        <v>30</v>
      </c>
      <c r="D10" s="395"/>
    </row>
    <row r="11" spans="1:4" ht="12.75">
      <c r="A11" s="395" t="s">
        <v>73</v>
      </c>
      <c r="B11" s="396" t="s">
        <v>88</v>
      </c>
      <c r="C11" s="395">
        <v>31</v>
      </c>
      <c r="D11" s="395"/>
    </row>
    <row r="12" spans="1:4" ht="12.75">
      <c r="A12" s="395" t="s">
        <v>74</v>
      </c>
      <c r="B12" s="396" t="s">
        <v>89</v>
      </c>
      <c r="C12" s="395">
        <v>30</v>
      </c>
      <c r="D12" s="395"/>
    </row>
    <row r="13" spans="1:9" ht="12.75">
      <c r="A13" s="395" t="s">
        <v>75</v>
      </c>
      <c r="B13" s="396" t="s">
        <v>90</v>
      </c>
      <c r="C13" s="395">
        <v>31</v>
      </c>
      <c r="D13" s="395"/>
      <c r="I13" s="411" t="s">
        <v>132</v>
      </c>
    </row>
    <row r="14" spans="1:9" ht="12.75">
      <c r="A14" s="397">
        <v>7</v>
      </c>
      <c r="B14" s="398">
        <v>6</v>
      </c>
      <c r="C14" s="397" t="str">
        <f ca="1">CELL("CONTENIDO",OFFSET(A1,B14,0))</f>
        <v>junio</v>
      </c>
      <c r="D14" s="397">
        <f ca="1">CELL("CONTENIDO",OFFSET(C1,B14,0))</f>
        <v>30</v>
      </c>
      <c r="E14" s="397">
        <f ca="1">CELL("CONTENIDO",OFFSET(D1,A14,0))</f>
        <v>2012</v>
      </c>
      <c r="F14" s="397" t="str">
        <f>"Desde el 01 al "&amp;D14&amp;" de "&amp;C14&amp;" de "&amp;E14</f>
        <v>Desde el 01 al 30 de junio de 2012</v>
      </c>
      <c r="G14" s="397" t="str">
        <f ca="1">CELL("CONTENIDO",OFFSET(B1,B14,0))</f>
        <v>06</v>
      </c>
      <c r="H14" s="397" t="str">
        <f>RIGHT(E14,2)</f>
        <v>12</v>
      </c>
      <c r="I14" s="412" t="s">
        <v>133</v>
      </c>
    </row>
    <row r="15" spans="1:8" ht="12.75">
      <c r="A15" s="397"/>
      <c r="B15" s="399" t="str">
        <f>"\\rugor\files\Transporte\Transporte\AA PROCESO AUT ARCHIVOS J\TRANSNOA\"&amp;E14</f>
        <v>\\rugor\files\Transporte\Transporte\AA PROCESO AUT ARCHIVOS J\TRANSNOA\2012</v>
      </c>
      <c r="C15" s="397"/>
      <c r="D15" s="397"/>
      <c r="E15" s="397"/>
      <c r="F15" s="397"/>
      <c r="G15" s="397" t="str">
        <f>"J"&amp;G14&amp;H14&amp;"NOA"</f>
        <v>J0612NOA</v>
      </c>
      <c r="H15" s="397"/>
    </row>
    <row r="16" spans="1:8" ht="12.75">
      <c r="A16" s="397"/>
      <c r="B16" s="399" t="str">
        <f>"\\rugor\files\Transporte\transporte\AA PROCESO AUT\INTERCAMBIO\"&amp;H14&amp;G14</f>
        <v>\\rugor\files\Transporte\transporte\AA PROCESO AUT\INTERCAMBIO\1206</v>
      </c>
      <c r="C16" s="397"/>
      <c r="D16" s="397"/>
      <c r="E16" s="397"/>
      <c r="F16" s="397"/>
      <c r="G16" s="397"/>
      <c r="H16" s="397"/>
    </row>
    <row r="17" spans="1:29" s="406" customFormat="1" ht="12.75">
      <c r="A17" s="394" t="s">
        <v>91</v>
      </c>
      <c r="B17" s="394" t="s">
        <v>92</v>
      </c>
      <c r="C17" s="394" t="s">
        <v>93</v>
      </c>
      <c r="D17" s="394" t="s">
        <v>94</v>
      </c>
      <c r="E17" s="394" t="s">
        <v>95</v>
      </c>
      <c r="F17" s="394" t="s">
        <v>96</v>
      </c>
      <c r="G17" s="394" t="s">
        <v>97</v>
      </c>
      <c r="H17" s="394" t="s">
        <v>98</v>
      </c>
      <c r="I17" s="394" t="s">
        <v>99</v>
      </c>
      <c r="J17" s="394" t="s">
        <v>100</v>
      </c>
      <c r="K17" s="394" t="s">
        <v>101</v>
      </c>
      <c r="L17" s="394" t="s">
        <v>102</v>
      </c>
      <c r="M17" s="394" t="s">
        <v>103</v>
      </c>
      <c r="N17" s="394" t="s">
        <v>104</v>
      </c>
      <c r="O17" s="394" t="s">
        <v>105</v>
      </c>
      <c r="P17" s="394" t="s">
        <v>106</v>
      </c>
      <c r="Q17" s="394" t="s">
        <v>107</v>
      </c>
      <c r="R17" s="394" t="s">
        <v>108</v>
      </c>
      <c r="S17" s="394" t="s">
        <v>109</v>
      </c>
      <c r="T17" s="394" t="s">
        <v>110</v>
      </c>
      <c r="U17" s="394" t="s">
        <v>111</v>
      </c>
      <c r="V17" s="394" t="s">
        <v>112</v>
      </c>
      <c r="W17" s="394" t="s">
        <v>122</v>
      </c>
      <c r="X17" s="394" t="s">
        <v>123</v>
      </c>
      <c r="Y17" s="394" t="s">
        <v>124</v>
      </c>
      <c r="Z17" s="394" t="s">
        <v>125</v>
      </c>
      <c r="AA17" s="394" t="s">
        <v>126</v>
      </c>
      <c r="AB17" s="394" t="s">
        <v>127</v>
      </c>
      <c r="AC17" s="394" t="s">
        <v>121</v>
      </c>
    </row>
    <row r="18" spans="1:29" ht="12.75">
      <c r="A18" s="400" t="s">
        <v>113</v>
      </c>
      <c r="B18" s="400">
        <v>21</v>
      </c>
      <c r="C18" s="400">
        <v>20</v>
      </c>
      <c r="D18" s="400">
        <v>11</v>
      </c>
      <c r="E18" s="400" t="str">
        <f>"LI-"&amp;$G$14</f>
        <v>LI-06</v>
      </c>
      <c r="F18" s="400" t="s">
        <v>134</v>
      </c>
      <c r="G18" s="400">
        <v>3</v>
      </c>
      <c r="H18" s="401">
        <v>5</v>
      </c>
      <c r="I18" s="401">
        <v>4</v>
      </c>
      <c r="J18" s="400">
        <v>6</v>
      </c>
      <c r="K18" s="400">
        <v>7</v>
      </c>
      <c r="L18" s="400">
        <v>8</v>
      </c>
      <c r="M18" s="400">
        <v>0</v>
      </c>
      <c r="N18" s="400">
        <v>10</v>
      </c>
      <c r="O18" s="400">
        <v>11</v>
      </c>
      <c r="P18" s="400">
        <v>14</v>
      </c>
      <c r="Q18" s="400">
        <v>0</v>
      </c>
      <c r="R18" s="400">
        <v>26</v>
      </c>
      <c r="S18" s="400">
        <v>0</v>
      </c>
      <c r="T18" s="400">
        <v>0</v>
      </c>
      <c r="U18" s="400">
        <v>0</v>
      </c>
      <c r="V18" s="400">
        <v>0</v>
      </c>
      <c r="W18" s="400">
        <v>19</v>
      </c>
      <c r="X18" s="400">
        <v>10</v>
      </c>
      <c r="Y18" s="400">
        <v>42</v>
      </c>
      <c r="Z18" s="400">
        <v>27</v>
      </c>
      <c r="AA18" s="400">
        <v>19</v>
      </c>
      <c r="AB18" s="400">
        <v>27</v>
      </c>
      <c r="AC18" s="400">
        <v>14</v>
      </c>
    </row>
    <row r="19" spans="1:29" ht="12.75">
      <c r="A19" s="402" t="s">
        <v>114</v>
      </c>
      <c r="B19" s="402">
        <v>24</v>
      </c>
      <c r="C19" s="402">
        <v>20</v>
      </c>
      <c r="D19" s="402">
        <v>13</v>
      </c>
      <c r="E19" s="402" t="str">
        <f>"T-"&amp;$G$14</f>
        <v>T-06</v>
      </c>
      <c r="F19" s="402" t="s">
        <v>135</v>
      </c>
      <c r="G19" s="400">
        <v>3</v>
      </c>
      <c r="H19" s="401">
        <v>5</v>
      </c>
      <c r="I19" s="401">
        <v>4</v>
      </c>
      <c r="J19" s="402">
        <v>6</v>
      </c>
      <c r="K19" s="402">
        <v>7</v>
      </c>
      <c r="L19" s="402">
        <v>8</v>
      </c>
      <c r="M19" s="402">
        <v>9</v>
      </c>
      <c r="N19" s="402">
        <v>11</v>
      </c>
      <c r="O19" s="402">
        <v>12</v>
      </c>
      <c r="P19" s="402">
        <v>15</v>
      </c>
      <c r="Q19" s="402">
        <v>16</v>
      </c>
      <c r="R19" s="402">
        <v>18</v>
      </c>
      <c r="S19" s="402">
        <v>28</v>
      </c>
      <c r="T19" s="402">
        <v>17</v>
      </c>
      <c r="U19" s="402">
        <v>0</v>
      </c>
      <c r="V19" s="402">
        <v>0</v>
      </c>
      <c r="W19" s="402">
        <v>25</v>
      </c>
      <c r="X19" s="400">
        <v>10</v>
      </c>
      <c r="Y19" s="402">
        <v>45</v>
      </c>
      <c r="Z19" s="402">
        <v>29</v>
      </c>
      <c r="AA19" s="402">
        <v>22</v>
      </c>
      <c r="AB19" s="402">
        <v>29</v>
      </c>
      <c r="AC19" s="402">
        <v>15</v>
      </c>
    </row>
    <row r="20" spans="1:29" ht="12.75">
      <c r="A20" s="400" t="s">
        <v>115</v>
      </c>
      <c r="B20" s="400">
        <v>23</v>
      </c>
      <c r="C20" s="400">
        <v>20</v>
      </c>
      <c r="D20" s="400">
        <v>10</v>
      </c>
      <c r="E20" s="400" t="str">
        <f>"SA-"&amp;$G$14</f>
        <v>SA-06</v>
      </c>
      <c r="F20" s="400" t="s">
        <v>136</v>
      </c>
      <c r="G20" s="400">
        <v>3</v>
      </c>
      <c r="H20" s="401">
        <v>5</v>
      </c>
      <c r="I20" s="401">
        <v>4</v>
      </c>
      <c r="J20" s="400">
        <v>6</v>
      </c>
      <c r="K20" s="400">
        <v>7</v>
      </c>
      <c r="L20" s="400">
        <v>8</v>
      </c>
      <c r="M20" s="400">
        <v>10</v>
      </c>
      <c r="N20" s="400">
        <v>11</v>
      </c>
      <c r="O20" s="400">
        <v>14</v>
      </c>
      <c r="P20" s="400">
        <v>15</v>
      </c>
      <c r="Q20" s="400">
        <v>21</v>
      </c>
      <c r="R20" s="400">
        <v>0</v>
      </c>
      <c r="S20" s="400">
        <v>0</v>
      </c>
      <c r="T20" s="400">
        <v>0</v>
      </c>
      <c r="U20" s="400">
        <v>0</v>
      </c>
      <c r="V20" s="400">
        <v>0</v>
      </c>
      <c r="W20" s="400">
        <v>29</v>
      </c>
      <c r="X20" s="400">
        <v>10</v>
      </c>
      <c r="Y20" s="400">
        <v>44</v>
      </c>
      <c r="Z20" s="400">
        <v>22</v>
      </c>
      <c r="AA20" s="400">
        <v>21</v>
      </c>
      <c r="AB20" s="400">
        <v>22</v>
      </c>
      <c r="AC20" s="400">
        <v>14</v>
      </c>
    </row>
    <row r="21" spans="1:29" ht="12.75">
      <c r="A21" s="400" t="s">
        <v>140</v>
      </c>
      <c r="B21" s="400">
        <v>21</v>
      </c>
      <c r="C21" s="400">
        <v>20</v>
      </c>
      <c r="D21" s="400">
        <v>11</v>
      </c>
      <c r="E21" s="400" t="str">
        <f>"LI-RIOJA-"&amp;$G$14</f>
        <v>LI-RIOJA-06</v>
      </c>
      <c r="F21" s="400" t="s">
        <v>141</v>
      </c>
      <c r="G21" s="400">
        <v>3</v>
      </c>
      <c r="H21" s="401">
        <v>5</v>
      </c>
      <c r="I21" s="401">
        <v>4</v>
      </c>
      <c r="J21" s="400">
        <v>6</v>
      </c>
      <c r="K21" s="400">
        <v>7</v>
      </c>
      <c r="L21" s="400">
        <v>8</v>
      </c>
      <c r="M21" s="400">
        <v>0</v>
      </c>
      <c r="N21" s="400">
        <v>10</v>
      </c>
      <c r="O21" s="400">
        <v>11</v>
      </c>
      <c r="P21" s="400">
        <v>14</v>
      </c>
      <c r="Q21" s="400">
        <v>2</v>
      </c>
      <c r="R21" s="400">
        <v>26</v>
      </c>
      <c r="S21" s="400">
        <v>0</v>
      </c>
      <c r="T21" s="400">
        <v>0</v>
      </c>
      <c r="U21" s="400">
        <v>0</v>
      </c>
      <c r="V21" s="400">
        <v>0</v>
      </c>
      <c r="W21" s="400">
        <v>21</v>
      </c>
      <c r="X21" s="400">
        <v>10</v>
      </c>
      <c r="Y21" s="400">
        <v>42</v>
      </c>
      <c r="Z21" s="400">
        <v>27</v>
      </c>
      <c r="AA21" s="400">
        <v>19</v>
      </c>
      <c r="AB21" s="400">
        <v>27</v>
      </c>
      <c r="AC21" s="400">
        <v>14</v>
      </c>
    </row>
    <row r="22" spans="1:29" ht="12.75">
      <c r="A22" s="400" t="s">
        <v>116</v>
      </c>
      <c r="B22" s="400">
        <v>21</v>
      </c>
      <c r="C22" s="400">
        <v>20</v>
      </c>
      <c r="D22" s="400">
        <v>11</v>
      </c>
      <c r="E22" s="400" t="str">
        <f>"LI-EDESA-"&amp;$G$14</f>
        <v>LI-EDESA-06</v>
      </c>
      <c r="F22" s="400" t="s">
        <v>137</v>
      </c>
      <c r="G22" s="400">
        <v>3</v>
      </c>
      <c r="H22" s="401">
        <v>5</v>
      </c>
      <c r="I22" s="401">
        <v>4</v>
      </c>
      <c r="J22" s="400">
        <v>6</v>
      </c>
      <c r="K22" s="400">
        <v>7</v>
      </c>
      <c r="L22" s="400">
        <v>8</v>
      </c>
      <c r="M22" s="400">
        <v>0</v>
      </c>
      <c r="N22" s="400">
        <v>10</v>
      </c>
      <c r="O22" s="400">
        <v>11</v>
      </c>
      <c r="P22" s="400">
        <v>14</v>
      </c>
      <c r="Q22" s="400">
        <v>2</v>
      </c>
      <c r="R22" s="400">
        <v>26</v>
      </c>
      <c r="S22" s="400">
        <v>0</v>
      </c>
      <c r="T22" s="400">
        <v>0</v>
      </c>
      <c r="U22" s="400">
        <v>0</v>
      </c>
      <c r="V22" s="400">
        <v>0</v>
      </c>
      <c r="W22" s="400">
        <v>20</v>
      </c>
      <c r="X22" s="400">
        <v>10</v>
      </c>
      <c r="Y22" s="400">
        <v>42</v>
      </c>
      <c r="Z22" s="400">
        <v>27</v>
      </c>
      <c r="AA22" s="400">
        <v>19</v>
      </c>
      <c r="AB22" s="400">
        <v>27</v>
      </c>
      <c r="AC22" s="400">
        <v>14</v>
      </c>
    </row>
    <row r="23" spans="1:29" ht="12.75">
      <c r="A23" s="400" t="s">
        <v>117</v>
      </c>
      <c r="B23" s="400">
        <v>24</v>
      </c>
      <c r="C23" s="400">
        <v>20</v>
      </c>
      <c r="D23" s="402">
        <v>13</v>
      </c>
      <c r="E23" s="400" t="str">
        <f>"T-EDESA-"&amp;$G$14</f>
        <v>T-EDESA-06</v>
      </c>
      <c r="F23" s="400" t="s">
        <v>138</v>
      </c>
      <c r="G23" s="400">
        <v>3</v>
      </c>
      <c r="H23" s="401">
        <v>5</v>
      </c>
      <c r="I23" s="401">
        <v>4</v>
      </c>
      <c r="J23" s="402">
        <v>6</v>
      </c>
      <c r="K23" s="402">
        <v>7</v>
      </c>
      <c r="L23" s="402">
        <v>8</v>
      </c>
      <c r="M23" s="402">
        <v>9</v>
      </c>
      <c r="N23" s="402">
        <v>11</v>
      </c>
      <c r="O23" s="402">
        <v>12</v>
      </c>
      <c r="P23" s="402">
        <v>15</v>
      </c>
      <c r="Q23" s="402">
        <v>16</v>
      </c>
      <c r="R23" s="402">
        <v>18</v>
      </c>
      <c r="S23" s="402">
        <v>28</v>
      </c>
      <c r="T23" s="402">
        <v>17</v>
      </c>
      <c r="U23" s="402">
        <v>0</v>
      </c>
      <c r="V23" s="402">
        <v>0</v>
      </c>
      <c r="W23" s="402">
        <v>26</v>
      </c>
      <c r="X23" s="400">
        <v>10</v>
      </c>
      <c r="Y23" s="402">
        <v>45</v>
      </c>
      <c r="Z23" s="402">
        <v>29</v>
      </c>
      <c r="AA23" s="402">
        <v>22</v>
      </c>
      <c r="AB23" s="402">
        <v>29</v>
      </c>
      <c r="AC23" s="400">
        <v>15</v>
      </c>
    </row>
    <row r="24" spans="1:29" ht="12.75">
      <c r="A24" s="400" t="s">
        <v>118</v>
      </c>
      <c r="B24" s="400">
        <v>23</v>
      </c>
      <c r="C24" s="400">
        <v>20</v>
      </c>
      <c r="D24" s="400">
        <v>10</v>
      </c>
      <c r="E24" s="400" t="str">
        <f>"SA-EDESA-"&amp;$G$14</f>
        <v>SA-EDESA-06</v>
      </c>
      <c r="F24" s="400" t="s">
        <v>139</v>
      </c>
      <c r="G24" s="400">
        <v>3</v>
      </c>
      <c r="H24" s="401">
        <v>5</v>
      </c>
      <c r="I24" s="401">
        <v>4</v>
      </c>
      <c r="J24" s="400">
        <v>6</v>
      </c>
      <c r="K24" s="400">
        <v>7</v>
      </c>
      <c r="L24" s="400">
        <v>8</v>
      </c>
      <c r="M24" s="400">
        <v>10</v>
      </c>
      <c r="N24" s="400">
        <v>11</v>
      </c>
      <c r="O24" s="400">
        <v>14</v>
      </c>
      <c r="P24" s="400">
        <v>15</v>
      </c>
      <c r="Q24" s="400">
        <v>21</v>
      </c>
      <c r="R24" s="400">
        <v>0</v>
      </c>
      <c r="S24" s="400">
        <v>0</v>
      </c>
      <c r="T24" s="400">
        <v>0</v>
      </c>
      <c r="U24" s="400">
        <v>0</v>
      </c>
      <c r="V24" s="400">
        <v>0</v>
      </c>
      <c r="W24" s="400">
        <v>30</v>
      </c>
      <c r="X24" s="400">
        <v>10</v>
      </c>
      <c r="Y24" s="400">
        <v>44</v>
      </c>
      <c r="Z24" s="400">
        <v>22</v>
      </c>
      <c r="AA24" s="400">
        <v>21</v>
      </c>
      <c r="AB24" s="400">
        <v>22</v>
      </c>
      <c r="AC24" s="400">
        <v>14</v>
      </c>
    </row>
    <row r="25" spans="1:29" s="406" customFormat="1" ht="12.75">
      <c r="A25" s="404" t="s">
        <v>119</v>
      </c>
      <c r="B25" s="404">
        <v>19</v>
      </c>
      <c r="C25" s="404">
        <v>24</v>
      </c>
      <c r="D25" s="405">
        <v>4</v>
      </c>
      <c r="E25" s="404" t="str">
        <f>"CAUSAS-VST-"&amp;$G$14</f>
        <v>CAUSAS-VST-06</v>
      </c>
      <c r="F25" s="404" t="s">
        <v>120</v>
      </c>
      <c r="G25" s="404">
        <v>3</v>
      </c>
      <c r="H25" s="404">
        <v>4</v>
      </c>
      <c r="I25" s="404">
        <v>5</v>
      </c>
      <c r="J25" s="404">
        <v>6</v>
      </c>
      <c r="K25" s="404">
        <v>7</v>
      </c>
      <c r="L25" s="404">
        <v>0</v>
      </c>
      <c r="M25" s="404">
        <v>0</v>
      </c>
      <c r="N25" s="404">
        <v>0</v>
      </c>
      <c r="O25" s="404">
        <v>0</v>
      </c>
      <c r="P25" s="404">
        <v>0</v>
      </c>
      <c r="Q25" s="404">
        <v>0</v>
      </c>
      <c r="R25" s="404">
        <v>0</v>
      </c>
      <c r="S25" s="404">
        <v>0</v>
      </c>
      <c r="T25" s="404">
        <v>0</v>
      </c>
      <c r="U25" s="404">
        <v>0</v>
      </c>
      <c r="V25" s="404">
        <v>0</v>
      </c>
      <c r="W25" s="404">
        <v>999</v>
      </c>
      <c r="X25" s="404">
        <v>999</v>
      </c>
      <c r="Y25" s="404">
        <v>0</v>
      </c>
      <c r="Z25" s="404">
        <v>0</v>
      </c>
      <c r="AA25" s="404">
        <v>0</v>
      </c>
      <c r="AB25" s="404">
        <v>0</v>
      </c>
      <c r="AC25" s="404">
        <v>0</v>
      </c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7" r:id="rId1"/>
  <headerFooter alignWithMargins="0">
    <oddFooter>&amp;L&amp;"Times New Roman,Normal"&amp;5&amp;F  - TRANSPORTE de ENERGÍA ELÉCTRICA -PJL -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2013-11-05T14:44:08Z</cp:lastPrinted>
  <dcterms:created xsi:type="dcterms:W3CDTF">1998-04-21T14:04:37Z</dcterms:created>
  <dcterms:modified xsi:type="dcterms:W3CDTF">2014-03-19T18:03:14Z</dcterms:modified>
  <cp:category/>
  <cp:version/>
  <cp:contentType/>
  <cp:contentStatus/>
</cp:coreProperties>
</file>