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21" activeTab="0"/>
  </bookViews>
  <sheets>
    <sheet name="TOT-1007" sheetId="1" r:id="rId1"/>
    <sheet name="LI-10 (1)" sheetId="2" r:id="rId2"/>
    <sheet name="LI-IV-10 (1)" sheetId="3" r:id="rId3"/>
    <sheet name="TR-10 (1)" sheetId="4" r:id="rId4"/>
    <sheet name="SA-10 (1)" sheetId="5" r:id="rId5"/>
    <sheet name="RE-10 (1)" sheetId="6" r:id="rId6"/>
    <sheet name="RE-IV-10 " sheetId="7" r:id="rId7"/>
    <sheet name="LI-LITSA-10 (1)" sheetId="8" r:id="rId8"/>
    <sheet name="TR-LITSA-10 (1)" sheetId="9" r:id="rId9"/>
    <sheet name="TR-TIBA-10 (1)" sheetId="10" r:id="rId10"/>
    <sheet name="SA-TIBA-10 (1)" sheetId="11" r:id="rId11"/>
    <sheet name="SA-ENECOR-10 (1)" sheetId="12" r:id="rId12"/>
    <sheet name="SUP-LITSA" sheetId="13" r:id="rId13"/>
    <sheet name="SUP-TIBA" sheetId="14" r:id="rId14"/>
    <sheet name="SUP-ENECOR" sheetId="15" r:id="rId15"/>
    <sheet name="TRANSENER" sheetId="16" r:id="rId16"/>
  </sheets>
  <externalReferences>
    <externalReference r:id="rId19"/>
  </externalReferences>
  <definedNames>
    <definedName name="_xlnm.Print_Area" localSheetId="1">'LI-10 (1)'!$A$1:$AE$45</definedName>
    <definedName name="_xlnm.Print_Area" localSheetId="2">'LI-IV-10 (1)'!$A$1:$AD$45</definedName>
    <definedName name="_xlnm.Print_Area" localSheetId="7">'LI-LITSA-10 (1)'!$A$1:$AE$45</definedName>
    <definedName name="_xlnm.Print_Area" localSheetId="5">'RE-10 (1)'!$A$1:$X$41</definedName>
    <definedName name="_xlnm.Print_Area" localSheetId="6">'RE-IV-10 '!$A$1:$W$46</definedName>
    <definedName name="_xlnm.Print_Area" localSheetId="4">'SA-10 (1)'!$A$1:$V$47</definedName>
    <definedName name="_xlnm.Print_Area" localSheetId="11">'SA-ENECOR-10 (1)'!$A$1:$U$45</definedName>
    <definedName name="_xlnm.Print_Area" localSheetId="10">'SA-TIBA-10 (1)'!$A$1:$U$43</definedName>
    <definedName name="_xlnm.Print_Area" localSheetId="14">'SUP-ENECOR'!$A$1:$W$67</definedName>
    <definedName name="_xlnm.Print_Area" localSheetId="12">'SUP-LITSA'!$A$1:$AD$69</definedName>
    <definedName name="_xlnm.Print_Area" localSheetId="13">'SUP-TIBA'!$A$1:$W$84</definedName>
    <definedName name="_xlnm.Print_Area" localSheetId="0">'TOT-1007'!$A$1:$L$42</definedName>
    <definedName name="_xlnm.Print_Area" localSheetId="3">'TR-10 (1)'!$A$1:$AC$48</definedName>
    <definedName name="_xlnm.Print_Area" localSheetId="15">'TRANSENER'!$A$1:$V$99</definedName>
    <definedName name="_xlnm.Print_Area" localSheetId="8">'TR-LITSA-10 (1)'!$A$1:$AC$45</definedName>
    <definedName name="_xlnm.Print_Area" localSheetId="9">'TR-TIBA-10 (1)'!$A$1:$AB$43</definedName>
    <definedName name="DD" localSheetId="15">'TRANSENER'!DD</definedName>
    <definedName name="DD">[0]!DD</definedName>
    <definedName name="DDD" localSheetId="15">'TRANSENER'!DDD</definedName>
    <definedName name="DDD">[0]!DDD</definedName>
    <definedName name="DISTROCUYO" localSheetId="15">'TRANSENER'!DISTROCUYO</definedName>
    <definedName name="DISTROCUYO">[0]!DISTROCUYO</definedName>
    <definedName name="INICIO" localSheetId="1">'LI-10 (1)'!INICIO</definedName>
    <definedName name="INICIO" localSheetId="2">'LI-IV-10 (1)'!INICIO</definedName>
    <definedName name="INICIO" localSheetId="7">'LI-LITSA-10 (1)'!INICIO</definedName>
    <definedName name="INICIO" localSheetId="5">'RE-10 (1)'!INICIO</definedName>
    <definedName name="INICIO" localSheetId="6">'RE-IV-10 '!INICIO</definedName>
    <definedName name="INICIO" localSheetId="4">'SA-10 (1)'!INICIO</definedName>
    <definedName name="INICIO" localSheetId="11">'SA-ENECOR-10 (1)'!INICIO</definedName>
    <definedName name="INICIO" localSheetId="10">'SA-TIBA-10 (1)'!INICIO</definedName>
    <definedName name="INICIO" localSheetId="0">'TOT-1007'!INICIO</definedName>
    <definedName name="INICIO" localSheetId="3">'TR-10 (1)'!INICIO</definedName>
    <definedName name="INICIO" localSheetId="15">'TRANSENER'!INICIO</definedName>
    <definedName name="INICIO" localSheetId="8">'TR-LITSA-10 (1)'!INICIO</definedName>
    <definedName name="INICIO" localSheetId="9">'TR-TIBA-10 (1)'!INICIO</definedName>
    <definedName name="INICIO">[0]!INICIO</definedName>
    <definedName name="INICIOTI" localSheetId="15">'TRANSENER'!INICIOTI</definedName>
    <definedName name="INICIOTI">[0]!INICIOTI</definedName>
    <definedName name="LINEAS" localSheetId="15">'TRANSENER'!LINEAS</definedName>
    <definedName name="LINEAS">[0]!LINEAS</definedName>
    <definedName name="NAME_L" localSheetId="15">'TRANSENER'!NAME_L</definedName>
    <definedName name="NAME_L">[0]!NAME_L</definedName>
    <definedName name="NAME_L_TI" localSheetId="15">'TRANSENER'!NAME_L_TI</definedName>
    <definedName name="NAME_L_TI">[0]!NAME_L_TI</definedName>
    <definedName name="TRAN">[0]!TRAN</definedName>
    <definedName name="TRANSNOA" localSheetId="15">'TRANSENER'!TRANSNOA</definedName>
    <definedName name="TRANSNOA">[0]!TRANSNOA</definedName>
    <definedName name="XX" localSheetId="15">'TRANSENER'!XX</definedName>
    <definedName name="XX">[0]!XX</definedName>
  </definedNames>
  <calcPr fullCalcOnLoad="1"/>
</workbook>
</file>

<file path=xl/comments9.xml><?xml version="1.0" encoding="utf-8"?>
<comments xmlns="http://schemas.openxmlformats.org/spreadsheetml/2006/main">
  <authors>
    <author>gmir</author>
  </authors>
  <commentList>
    <comment ref="F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  <comment ref="F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</commentList>
</comments>
</file>

<file path=xl/sharedStrings.xml><?xml version="1.0" encoding="utf-8"?>
<sst xmlns="http://schemas.openxmlformats.org/spreadsheetml/2006/main" count="1254" uniqueCount="307">
  <si>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</si>
  <si>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</si>
  <si>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</si>
  <si>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</si>
  <si>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</si>
  <si>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</si>
  <si>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</si>
  <si>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</si>
  <si>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</si>
  <si>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</si>
  <si>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</si>
  <si>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</si>
  <si>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</si>
  <si>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</si>
  <si>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</si>
  <si>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</si>
  <si>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</si>
  <si>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</si>
  <si>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</si>
  <si>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</si>
  <si>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</si>
  <si>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</si>
  <si>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</si>
  <si>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</si>
  <si>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</si>
  <si>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</si>
  <si>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</si>
  <si>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</si>
  <si>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</si>
  <si>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</si>
  <si>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</si>
  <si>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</si>
  <si>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</si>
  <si>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</si>
  <si>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</si>
  <si>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</si>
  <si>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</si>
  <si>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</si>
  <si>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</si>
  <si>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</si>
  <si>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</si>
  <si>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</si>
  <si>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</si>
  <si>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</si>
  <si>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</si>
  <si>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</si>
  <si>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</si>
  <si>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</si>
  <si>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</si>
  <si>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</si>
  <si>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</si>
  <si>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</si>
  <si>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</si>
  <si>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</si>
  <si>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</si>
  <si>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Transportista Independiente ENECOR S.A.</t>
  </si>
  <si>
    <t>Transportista Independiente TIBA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</si>
  <si>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</si>
  <si>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</si>
  <si>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</si>
  <si>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</si>
  <si>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</si>
  <si>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</si>
  <si>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</si>
  <si>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 xml:space="preserve">$/km-h : LINEAS 500 kV </t>
  </si>
  <si>
    <t>Tasa de falla de LITSA =</t>
  </si>
  <si>
    <t xml:space="preserve">$/km-h : LINEAS 220 kV 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</si>
  <si>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</si>
  <si>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</si>
  <si>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</si>
  <si>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</si>
  <si>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</si>
  <si>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PENAL.REDUC. A LA CAP. DE TRANSP.
Por Salida        1ras hs. 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</si>
  <si>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</si>
  <si>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</si>
  <si>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</si>
  <si>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</si>
  <si>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</si>
  <si>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</si>
  <si>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2.1.2.- Transportista Independiente L.I.T.S.A.</t>
  </si>
  <si>
    <t>Por Transformador por cada MVA (Res. ENRE 1650/98) $ =</t>
  </si>
  <si>
    <t>TOTAL
PENALIZ.</t>
  </si>
  <si>
    <t>2.1.3.- Transportista Independiente T.I.B.A.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</si>
  <si>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</si>
  <si>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</si>
  <si>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</si>
  <si>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</si>
  <si>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</si>
  <si>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</si>
  <si>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 xml:space="preserve"> 2.2.2.- Transportista Independiente T.I.B.A.</t>
  </si>
  <si>
    <t xml:space="preserve"> 2.2.3.- Transportista Independiente ENECOR S.A.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</si>
  <si>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</si>
  <si>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</si>
  <si>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</si>
  <si>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</si>
  <si>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</si>
  <si>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</si>
  <si>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</si>
  <si>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</si>
  <si>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</si>
  <si>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</si>
  <si>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</si>
  <si>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</si>
  <si>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</si>
  <si>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</si>
  <si>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</si>
  <si>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</si>
  <si>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</si>
  <si>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</si>
  <si>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</si>
  <si>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</si>
  <si>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</si>
  <si>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</si>
  <si>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</si>
  <si>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</si>
  <si>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</si>
  <si>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</si>
  <si>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</si>
  <si>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</si>
  <si>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</si>
  <si>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</si>
  <si>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</si>
  <si>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</si>
  <si>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</si>
  <si>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</si>
  <si>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</si>
  <si>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</si>
  <si>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</si>
  <si>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</si>
  <si>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</si>
  <si>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</si>
  <si>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</si>
  <si>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</si>
  <si>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</si>
  <si>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>4.3.- Transportista Independiente  T.I.B.A.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</si>
  <si>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</si>
  <si>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</si>
  <si>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</si>
  <si>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</si>
  <si>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</si>
  <si>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</si>
  <si>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</si>
  <si>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</si>
  <si>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</si>
  <si>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</si>
  <si>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</si>
  <si>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</si>
  <si>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</si>
  <si>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</si>
  <si>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</si>
  <si>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</si>
  <si>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</si>
  <si>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</si>
  <si>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</si>
  <si>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</si>
  <si>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</si>
  <si>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</si>
  <si>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</si>
  <si>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</si>
  <si>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</si>
  <si>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</si>
  <si>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</si>
  <si>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</si>
  <si>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</si>
  <si>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IV LINEA</t>
  </si>
  <si>
    <t>1.4.- IV LINEA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</si>
  <si>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</si>
  <si>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</si>
  <si>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</si>
  <si>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</si>
  <si>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</si>
  <si>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</si>
  <si>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</si>
  <si>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</si>
  <si>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</si>
  <si>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</si>
  <si>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</si>
  <si>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</si>
  <si>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</si>
  <si>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</si>
  <si>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</si>
  <si>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</si>
  <si>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</si>
  <si>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Por Transformador por cada MVA (Res. ENRE 330/06) $ =</t>
  </si>
  <si>
    <t>Desde el 01 al 31 de octubre de 2007</t>
  </si>
  <si>
    <t>CHOCON - C.H. CHOCON 1</t>
  </si>
  <si>
    <t>C</t>
  </si>
  <si>
    <t>P</t>
  </si>
  <si>
    <t>SI</t>
  </si>
  <si>
    <t>MALVINAS ARG. - ALMAFUERTE</t>
  </si>
  <si>
    <t>F</t>
  </si>
  <si>
    <t>RAMALLO - SAN NICOLAS 2</t>
  </si>
  <si>
    <t>RAMALLO - SAN NICOLAS 1</t>
  </si>
  <si>
    <t>EZEIZA - HENDERSON 2</t>
  </si>
  <si>
    <t>A</t>
  </si>
  <si>
    <t>ROSARIO OESTE - SANTO TOME</t>
  </si>
  <si>
    <t>SALTO GRANDE - SANTO TOME</t>
  </si>
  <si>
    <t>EZEIZA - ABASTO 1</t>
  </si>
  <si>
    <t>LUJAN - GRAN MENDOZA</t>
  </si>
  <si>
    <t>B</t>
  </si>
  <si>
    <t>PUELCHES - MACACHIN 2</t>
  </si>
  <si>
    <t>PUELCHES - HENDERSON 1 (B2)</t>
  </si>
  <si>
    <t>RAMALLO - ROSARIO OESTE</t>
  </si>
  <si>
    <t>CHOCON - C.H. CHOCON 2</t>
  </si>
  <si>
    <t>P. DEL AGUILA - CHOELE CHOEL 1</t>
  </si>
  <si>
    <t>EZEIZA</t>
  </si>
  <si>
    <t>TRAFO 3</t>
  </si>
  <si>
    <t>500/220/132</t>
  </si>
  <si>
    <t>LUJAN</t>
  </si>
  <si>
    <t>TRAFO 2</t>
  </si>
  <si>
    <t>HENDERSON</t>
  </si>
  <si>
    <t>T3 HE</t>
  </si>
  <si>
    <t>500/220</t>
  </si>
  <si>
    <t>EL CHOCON</t>
  </si>
  <si>
    <t>TRAFO T4</t>
  </si>
  <si>
    <t>ROSARIO OESTE</t>
  </si>
  <si>
    <t>TRAFO 1</t>
  </si>
  <si>
    <t>220/132</t>
  </si>
  <si>
    <t>RAMALLO</t>
  </si>
  <si>
    <t>TRAFO</t>
  </si>
  <si>
    <t>220/132/13.2</t>
  </si>
  <si>
    <t>EL BRACHO</t>
  </si>
  <si>
    <t>SALIDA LÍNEA A C.T.S. MIGUEL</t>
  </si>
  <si>
    <t>GRAN MENDOZA</t>
  </si>
  <si>
    <t>SALIDA LINEA LOS REYUNOS</t>
  </si>
  <si>
    <t>SALIDA LINEA PERGAMINO</t>
  </si>
  <si>
    <t>SALIDA LINEA CARCARAÑA</t>
  </si>
  <si>
    <t>SANTO TOME</t>
  </si>
  <si>
    <t>SALIDA LINEA PAYZUMÉ</t>
  </si>
  <si>
    <t>ATUCHA</t>
  </si>
  <si>
    <t>SALIDA LINEA A E.T. ZARATE</t>
  </si>
  <si>
    <t>PUELCHES</t>
  </si>
  <si>
    <t>SALIDA LINEA GRAL. ACHA</t>
  </si>
  <si>
    <t>ALMAFUERTE</t>
  </si>
  <si>
    <t>SALIDA LINEA PILAR 2</t>
  </si>
  <si>
    <t>SALIDA LINEA SAN LORENZO</t>
  </si>
  <si>
    <t>SALIDA A MAQ. GENELBA 3</t>
  </si>
  <si>
    <t>SALIDA A MAQ. GENELBA 1</t>
  </si>
  <si>
    <t>GRAL. RODRIGUEZ</t>
  </si>
  <si>
    <t>SALIDA TRAFO 2 500/220</t>
  </si>
  <si>
    <t>SALIDA LINEA URBANA SAN NICOLAS</t>
  </si>
  <si>
    <t>ABASTO</t>
  </si>
  <si>
    <t>SALIDA TRAFO 1</t>
  </si>
  <si>
    <t>SALIDA TRAFO 2</t>
  </si>
  <si>
    <t>SALIDA LINEA MONTE CASEROS 1</t>
  </si>
  <si>
    <t>CS6</t>
  </si>
  <si>
    <t>CS5</t>
  </si>
  <si>
    <t>BAHIA BLANCA</t>
  </si>
  <si>
    <t>R1B5BB</t>
  </si>
  <si>
    <t>CS2</t>
  </si>
  <si>
    <t>CS1</t>
  </si>
  <si>
    <t>RINCON - SALTO GRANDE</t>
  </si>
  <si>
    <t>RINCON - SAN ISIDRO</t>
  </si>
  <si>
    <t>B.BLANCA</t>
  </si>
  <si>
    <t>TR2</t>
  </si>
  <si>
    <t>500/132/13,2</t>
  </si>
  <si>
    <t>SALIDA a P. Luro</t>
  </si>
  <si>
    <t>OLAVARRIA</t>
  </si>
  <si>
    <t>SALIDA Salida a Tandil</t>
  </si>
  <si>
    <t>SALIDA Salida a G. Chaves</t>
  </si>
  <si>
    <t>SALIDA PETROQUIMICA 2</t>
  </si>
  <si>
    <t>SALIDA LINEA PBUENA 1</t>
  </si>
  <si>
    <t>SALIDA Salida a Olavarria</t>
  </si>
  <si>
    <t>P. DE LA PATRIA</t>
  </si>
  <si>
    <t>SALIDA S. CATALINA 1</t>
  </si>
  <si>
    <t>SALIDA S. CATALINA 2</t>
  </si>
  <si>
    <t>RF</t>
  </si>
  <si>
    <t xml:space="preserve">OLAVARRIA ABASTO </t>
  </si>
  <si>
    <t>R4L5OL</t>
  </si>
  <si>
    <t>RINCON - SANTA MARIA</t>
  </si>
  <si>
    <t>TIR1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</si>
  <si>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</si>
  <si>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</si>
  <si>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</si>
  <si>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</si>
  <si>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</si>
  <si>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</si>
  <si>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</si>
  <si>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</si>
  <si>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</si>
  <si>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Correspondiente al mes de octubre de 2007 (provisoria)</t>
  </si>
  <si>
    <t>1.3.- Transportista Independiente L.I.T.S.A.</t>
  </si>
  <si>
    <t>3.4.- IV LINEA</t>
  </si>
  <si>
    <t>Campana trafos</t>
  </si>
  <si>
    <t>Valores remuneratorios según Decretos PEN  1462/05 y 1460/05</t>
  </si>
  <si>
    <t>TOTAL DE PENALIZACIONES</t>
  </si>
  <si>
    <t xml:space="preserve">P - PROGRAMADA                 </t>
  </si>
  <si>
    <t xml:space="preserve">F - FORZADA                     </t>
  </si>
  <si>
    <t xml:space="preserve">F - FORZADA                    </t>
  </si>
  <si>
    <t xml:space="preserve">P - PROGRAMADA             </t>
  </si>
  <si>
    <t>F - FORZADA                                       RF - RESTANTE FORZADA ( proveniente de horas anteriores )</t>
  </si>
  <si>
    <t xml:space="preserve">F - FORZADA                       </t>
  </si>
  <si>
    <t xml:space="preserve">P - PROGRAMADA                  </t>
  </si>
  <si>
    <t xml:space="preserve">P - PROGRAMADA                    </t>
  </si>
  <si>
    <t xml:space="preserve">P - PROGRAMADA               </t>
  </si>
  <si>
    <t xml:space="preserve">P - PROGRAMADA                   </t>
  </si>
  <si>
    <t>(*)</t>
  </si>
  <si>
    <t>(*) Aplicación de la NOTA S.E: N° 316/08 - 7/4/08</t>
  </si>
  <si>
    <t>(*) Aplicación NOTA S.E: N° 316/08 - 7/4/08</t>
  </si>
  <si>
    <t>F - FORZADA                                          RF - RESTANTE FORZADA ( proveniente de horas anteriores )</t>
  </si>
  <si>
    <t>RM* =</t>
  </si>
  <si>
    <t>RM*= Remuneración utilizada para el Cs</t>
  </si>
  <si>
    <t>si</t>
  </si>
  <si>
    <t>Art. 25</t>
  </si>
  <si>
    <t>Art.25</t>
  </si>
  <si>
    <t>Aplicación límite Art.25</t>
  </si>
  <si>
    <t>ANEXO V al Memorandum D.T.E.E. N° 1955 /2009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</si>
</sst>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#,##0.000000000"/>
  </numFmts>
  <fonts count="1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1"/>
      <color indexed="13"/>
      <name val="MS Sans Serif"/>
      <family val="2"/>
    </font>
    <font>
      <b/>
      <sz val="10"/>
      <color indexed="5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sz val="12"/>
      <color indexed="13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8.5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</fills>
  <borders count="7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ck"/>
      <right style="double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 vertical="top"/>
      <protection/>
    </xf>
    <xf numFmtId="0" fontId="32" fillId="0" borderId="0" xfId="0" applyFont="1" applyBorder="1" applyAlignment="1">
      <alignment/>
    </xf>
    <xf numFmtId="0" fontId="32" fillId="0" borderId="7" xfId="0" applyFont="1" applyBorder="1" applyAlignment="1">
      <alignment/>
    </xf>
    <xf numFmtId="0" fontId="32" fillId="0" borderId="0" xfId="0" applyFont="1" applyAlignment="1">
      <alignment/>
    </xf>
    <xf numFmtId="0" fontId="32" fillId="0" borderId="1" xfId="0" applyFont="1" applyFill="1" applyBorder="1" applyAlignment="1">
      <alignment/>
    </xf>
    <xf numFmtId="0" fontId="36" fillId="2" borderId="14" xfId="0" applyFont="1" applyFill="1" applyBorder="1" applyAlignment="1" applyProtection="1">
      <alignment horizontal="center" vertical="center"/>
      <protection/>
    </xf>
    <xf numFmtId="168" fontId="37" fillId="2" borderId="2" xfId="0" applyNumberFormat="1" applyFont="1" applyFill="1" applyBorder="1" applyAlignment="1" applyProtection="1">
      <alignment horizontal="center"/>
      <protection/>
    </xf>
    <xf numFmtId="168" fontId="37" fillId="2" borderId="3" xfId="0" applyNumberFormat="1" applyFont="1" applyFill="1" applyBorder="1" applyAlignment="1" applyProtection="1">
      <alignment horizontal="center"/>
      <protection/>
    </xf>
    <xf numFmtId="0" fontId="37" fillId="2" borderId="17" xfId="0" applyFont="1" applyFill="1" applyBorder="1" applyAlignment="1">
      <alignment/>
    </xf>
    <xf numFmtId="0" fontId="37" fillId="2" borderId="2" xfId="0" applyFont="1" applyFill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7" fillId="3" borderId="1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174" fontId="0" fillId="0" borderId="8" xfId="0" applyNumberFormat="1" applyFont="1" applyBorder="1" applyAlignment="1">
      <alignment horizontal="centerContinuous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0" fontId="57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5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5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5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43" fillId="4" borderId="14" xfId="0" applyFont="1" applyFill="1" applyBorder="1" applyAlignment="1">
      <alignment horizontal="center" vertical="center" wrapText="1"/>
    </xf>
    <xf numFmtId="0" fontId="66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8" fillId="6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2" fontId="45" fillId="4" borderId="14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 horizontal="center"/>
      <protection/>
    </xf>
    <xf numFmtId="7" fontId="35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2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6" fillId="2" borderId="14" xfId="0" applyNumberFormat="1" applyFont="1" applyFill="1" applyBorder="1" applyAlignment="1" applyProtection="1">
      <alignment horizontal="center" vertical="center"/>
      <protection/>
    </xf>
    <xf numFmtId="0" fontId="49" fillId="9" borderId="14" xfId="0" applyFont="1" applyFill="1" applyBorder="1" applyAlignment="1" applyProtection="1">
      <alignment horizontal="center" vertical="center"/>
      <protection/>
    </xf>
    <xf numFmtId="0" fontId="66" fillId="6" borderId="9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 applyProtection="1">
      <alignment horizontal="centerContinuous" vertical="center" wrapText="1"/>
      <protection/>
    </xf>
    <xf numFmtId="0" fontId="40" fillId="2" borderId="15" xfId="0" applyFont="1" applyFill="1" applyBorder="1" applyAlignment="1">
      <alignment horizontal="centerContinuous"/>
    </xf>
    <xf numFmtId="0" fontId="39" fillId="2" borderId="9" xfId="0" applyFont="1" applyFill="1" applyBorder="1" applyAlignment="1">
      <alignment horizontal="centerContinuous" vertical="center"/>
    </xf>
    <xf numFmtId="0" fontId="72" fillId="10" borderId="8" xfId="0" applyFont="1" applyFill="1" applyBorder="1" applyAlignment="1">
      <alignment horizontal="centerContinuous" vertical="center" wrapText="1"/>
    </xf>
    <xf numFmtId="0" fontId="73" fillId="10" borderId="15" xfId="0" applyFont="1" applyFill="1" applyBorder="1" applyAlignment="1">
      <alignment horizontal="centerContinuous"/>
    </xf>
    <xf numFmtId="0" fontId="72" fillId="10" borderId="9" xfId="0" applyFont="1" applyFill="1" applyBorder="1" applyAlignment="1">
      <alignment horizontal="centerContinuous" vertical="center"/>
    </xf>
    <xf numFmtId="0" fontId="74" fillId="11" borderId="14" xfId="0" applyFont="1" applyFill="1" applyBorder="1" applyAlignment="1">
      <alignment horizontal="center" vertical="center" wrapText="1"/>
    </xf>
    <xf numFmtId="0" fontId="75" fillId="12" borderId="14" xfId="0" applyFont="1" applyFill="1" applyBorder="1" applyAlignment="1">
      <alignment horizontal="center" vertical="center" wrapText="1"/>
    </xf>
    <xf numFmtId="0" fontId="76" fillId="1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3" fillId="9" borderId="17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68" fillId="6" borderId="17" xfId="0" applyFont="1" applyFill="1" applyBorder="1" applyAlignment="1">
      <alignment/>
    </xf>
    <xf numFmtId="168" fontId="38" fillId="2" borderId="24" xfId="0" applyNumberFormat="1" applyFont="1" applyFill="1" applyBorder="1" applyAlignment="1" applyProtection="1" quotePrefix="1">
      <alignment horizontal="center"/>
      <protection/>
    </xf>
    <xf numFmtId="168" fontId="38" fillId="2" borderId="25" xfId="0" applyNumberFormat="1" applyFont="1" applyFill="1" applyBorder="1" applyAlignment="1" applyProtection="1" quotePrefix="1">
      <alignment horizontal="center"/>
      <protection/>
    </xf>
    <xf numFmtId="4" fontId="38" fillId="2" borderId="26" xfId="0" applyNumberFormat="1" applyFont="1" applyFill="1" applyBorder="1" applyAlignment="1" applyProtection="1">
      <alignment horizontal="center"/>
      <protection/>
    </xf>
    <xf numFmtId="168" fontId="77" fillId="10" borderId="25" xfId="0" applyNumberFormat="1" applyFont="1" applyFill="1" applyBorder="1" applyAlignment="1" applyProtection="1" quotePrefix="1">
      <alignment horizontal="center"/>
      <protection/>
    </xf>
    <xf numFmtId="4" fontId="77" fillId="10" borderId="26" xfId="0" applyNumberFormat="1" applyFont="1" applyFill="1" applyBorder="1" applyAlignment="1" applyProtection="1">
      <alignment horizontal="center"/>
      <protection/>
    </xf>
    <xf numFmtId="0" fontId="78" fillId="11" borderId="17" xfId="0" applyFont="1" applyFill="1" applyBorder="1" applyAlignment="1">
      <alignment/>
    </xf>
    <xf numFmtId="0" fontId="79" fillId="12" borderId="17" xfId="0" applyFont="1" applyFill="1" applyBorder="1" applyAlignment="1">
      <alignment/>
    </xf>
    <xf numFmtId="7" fontId="28" fillId="13" borderId="17" xfId="0" applyNumberFormat="1" applyFont="1" applyFill="1" applyBorder="1" applyAlignment="1">
      <alignment/>
    </xf>
    <xf numFmtId="7" fontId="10" fillId="0" borderId="17" xfId="0" applyNumberFormat="1" applyFont="1" applyBorder="1" applyAlignment="1">
      <alignment horizontal="center"/>
    </xf>
    <xf numFmtId="0" fontId="53" fillId="9" borderId="2" xfId="0" applyFont="1" applyFill="1" applyBorder="1" applyAlignment="1">
      <alignment/>
    </xf>
    <xf numFmtId="22" fontId="7" fillId="0" borderId="4" xfId="0" applyNumberFormat="1" applyFont="1" applyBorder="1" applyAlignment="1">
      <alignment horizontal="center"/>
    </xf>
    <xf numFmtId="0" fontId="45" fillId="4" borderId="2" xfId="0" applyFont="1" applyFill="1" applyBorder="1" applyAlignment="1">
      <alignment/>
    </xf>
    <xf numFmtId="0" fontId="68" fillId="6" borderId="4" xfId="0" applyFont="1" applyFill="1" applyBorder="1" applyAlignment="1">
      <alignment/>
    </xf>
    <xf numFmtId="168" fontId="38" fillId="2" borderId="22" xfId="0" applyNumberFormat="1" applyFont="1" applyFill="1" applyBorder="1" applyAlignment="1" applyProtection="1" quotePrefix="1">
      <alignment horizontal="center"/>
      <protection/>
    </xf>
    <xf numFmtId="168" fontId="38" fillId="2" borderId="27" xfId="0" applyNumberFormat="1" applyFont="1" applyFill="1" applyBorder="1" applyAlignment="1" applyProtection="1" quotePrefix="1">
      <alignment horizontal="center"/>
      <protection/>
    </xf>
    <xf numFmtId="4" fontId="38" fillId="2" borderId="4" xfId="0" applyNumberFormat="1" applyFont="1" applyFill="1" applyBorder="1" applyAlignment="1" applyProtection="1">
      <alignment horizontal="center"/>
      <protection/>
    </xf>
    <xf numFmtId="168" fontId="77" fillId="10" borderId="27" xfId="0" applyNumberFormat="1" applyFont="1" applyFill="1" applyBorder="1" applyAlignment="1" applyProtection="1" quotePrefix="1">
      <alignment horizontal="center"/>
      <protection/>
    </xf>
    <xf numFmtId="4" fontId="77" fillId="10" borderId="4" xfId="0" applyNumberFormat="1" applyFont="1" applyFill="1" applyBorder="1" applyAlignment="1" applyProtection="1">
      <alignment horizontal="center"/>
      <protection/>
    </xf>
    <xf numFmtId="4" fontId="78" fillId="11" borderId="2" xfId="0" applyNumberFormat="1" applyFont="1" applyFill="1" applyBorder="1" applyAlignment="1" applyProtection="1">
      <alignment horizontal="center"/>
      <protection/>
    </xf>
    <xf numFmtId="4" fontId="79" fillId="12" borderId="2" xfId="0" applyNumberFormat="1" applyFont="1" applyFill="1" applyBorder="1" applyAlignment="1" applyProtection="1">
      <alignment horizontal="center"/>
      <protection/>
    </xf>
    <xf numFmtId="0" fontId="28" fillId="13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37" fillId="2" borderId="2" xfId="0" applyFont="1" applyFill="1" applyBorder="1" applyAlignment="1" applyProtection="1">
      <alignment horizontal="center"/>
      <protection/>
    </xf>
    <xf numFmtId="174" fontId="53" fillId="9" borderId="2" xfId="0" applyNumberFormat="1" applyFont="1" applyFill="1" applyBorder="1" applyAlignment="1" applyProtection="1">
      <alignment horizontal="center"/>
      <protection/>
    </xf>
    <xf numFmtId="22" fontId="7" fillId="0" borderId="28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2" fontId="45" fillId="4" borderId="2" xfId="0" applyNumberFormat="1" applyFont="1" applyFill="1" applyBorder="1" applyAlignment="1" applyProtection="1">
      <alignment horizontal="center"/>
      <protection locked="0"/>
    </xf>
    <xf numFmtId="2" fontId="68" fillId="6" borderId="4" xfId="0" applyNumberFormat="1" applyFont="1" applyFill="1" applyBorder="1" applyAlignment="1" applyProtection="1">
      <alignment horizontal="center"/>
      <protection locked="0"/>
    </xf>
    <xf numFmtId="168" fontId="38" fillId="2" borderId="22" xfId="0" applyNumberFormat="1" applyFont="1" applyFill="1" applyBorder="1" applyAlignment="1" applyProtection="1" quotePrefix="1">
      <alignment horizontal="center"/>
      <protection locked="0"/>
    </xf>
    <xf numFmtId="168" fontId="38" fillId="2" borderId="27" xfId="0" applyNumberFormat="1" applyFont="1" applyFill="1" applyBorder="1" applyAlignment="1" applyProtection="1" quotePrefix="1">
      <alignment horizontal="center"/>
      <protection locked="0"/>
    </xf>
    <xf numFmtId="4" fontId="38" fillId="2" borderId="4" xfId="0" applyNumberFormat="1" applyFont="1" applyFill="1" applyBorder="1" applyAlignment="1" applyProtection="1">
      <alignment horizontal="center"/>
      <protection locked="0"/>
    </xf>
    <xf numFmtId="168" fontId="77" fillId="10" borderId="27" xfId="0" applyNumberFormat="1" applyFont="1" applyFill="1" applyBorder="1" applyAlignment="1" applyProtection="1" quotePrefix="1">
      <alignment horizontal="center"/>
      <protection locked="0"/>
    </xf>
    <xf numFmtId="173" fontId="77" fillId="10" borderId="27" xfId="0" applyNumberFormat="1" applyFont="1" applyFill="1" applyBorder="1" applyAlignment="1" applyProtection="1" quotePrefix="1">
      <alignment horizontal="center"/>
      <protection locked="0"/>
    </xf>
    <xf numFmtId="4" fontId="77" fillId="10" borderId="4" xfId="0" applyNumberFormat="1" applyFont="1" applyFill="1" applyBorder="1" applyAlignment="1" applyProtection="1">
      <alignment horizontal="center"/>
      <protection locked="0"/>
    </xf>
    <xf numFmtId="4" fontId="80" fillId="11" borderId="2" xfId="0" applyNumberFormat="1" applyFont="1" applyFill="1" applyBorder="1" applyAlignment="1" applyProtection="1">
      <alignment horizontal="center"/>
      <protection locked="0"/>
    </xf>
    <xf numFmtId="4" fontId="81" fillId="12" borderId="2" xfId="0" applyNumberFormat="1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28" fillId="13" borderId="2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/>
    </xf>
    <xf numFmtId="164" fontId="7" fillId="0" borderId="29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/>
    </xf>
    <xf numFmtId="168" fontId="53" fillId="9" borderId="3" xfId="0" applyNumberFormat="1" applyFont="1" applyFill="1" applyBorder="1" applyAlignment="1" applyProtection="1">
      <alignment horizontal="center"/>
      <protection/>
    </xf>
    <xf numFmtId="2" fontId="45" fillId="4" borderId="3" xfId="0" applyNumberFormat="1" applyFont="1" applyFill="1" applyBorder="1" applyAlignment="1" applyProtection="1">
      <alignment horizontal="center"/>
      <protection locked="0"/>
    </xf>
    <xf numFmtId="2" fontId="68" fillId="6" borderId="3" xfId="0" applyNumberFormat="1" applyFont="1" applyFill="1" applyBorder="1" applyAlignment="1" applyProtection="1">
      <alignment horizontal="center"/>
      <protection locked="0"/>
    </xf>
    <xf numFmtId="168" fontId="38" fillId="2" borderId="30" xfId="0" applyNumberFormat="1" applyFont="1" applyFill="1" applyBorder="1" applyAlignment="1" applyProtection="1" quotePrefix="1">
      <alignment horizontal="center"/>
      <protection locked="0"/>
    </xf>
    <xf numFmtId="168" fontId="38" fillId="2" borderId="31" xfId="0" applyNumberFormat="1" applyFont="1" applyFill="1" applyBorder="1" applyAlignment="1" applyProtection="1" quotePrefix="1">
      <alignment horizontal="center"/>
      <protection locked="0"/>
    </xf>
    <xf numFmtId="4" fontId="38" fillId="2" borderId="32" xfId="0" applyNumberFormat="1" applyFont="1" applyFill="1" applyBorder="1" applyAlignment="1" applyProtection="1">
      <alignment horizontal="center"/>
      <protection locked="0"/>
    </xf>
    <xf numFmtId="168" fontId="77" fillId="10" borderId="30" xfId="0" applyNumberFormat="1" applyFont="1" applyFill="1" applyBorder="1" applyAlignment="1" applyProtection="1" quotePrefix="1">
      <alignment horizontal="center"/>
      <protection locked="0"/>
    </xf>
    <xf numFmtId="168" fontId="77" fillId="10" borderId="31" xfId="0" applyNumberFormat="1" applyFont="1" applyFill="1" applyBorder="1" applyAlignment="1" applyProtection="1" quotePrefix="1">
      <alignment horizontal="center"/>
      <protection locked="0"/>
    </xf>
    <xf numFmtId="4" fontId="77" fillId="10" borderId="32" xfId="0" applyNumberFormat="1" applyFont="1" applyFill="1" applyBorder="1" applyAlignment="1" applyProtection="1">
      <alignment horizontal="center"/>
      <protection locked="0"/>
    </xf>
    <xf numFmtId="4" fontId="80" fillId="11" borderId="3" xfId="0" applyNumberFormat="1" applyFont="1" applyFill="1" applyBorder="1" applyAlignment="1" applyProtection="1">
      <alignment horizontal="center"/>
      <protection locked="0"/>
    </xf>
    <xf numFmtId="4" fontId="81" fillId="12" borderId="3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2" fontId="28" fillId="13" borderId="3" xfId="0" applyNumberFormat="1" applyFont="1" applyFill="1" applyBorder="1" applyAlignment="1">
      <alignment horizontal="right"/>
    </xf>
    <xf numFmtId="2" fontId="10" fillId="0" borderId="33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8" fillId="6" borderId="14" xfId="0" applyNumberFormat="1" applyFont="1" applyFill="1" applyBorder="1" applyAlignment="1" applyProtection="1">
      <alignment horizontal="center"/>
      <protection/>
    </xf>
    <xf numFmtId="2" fontId="38" fillId="2" borderId="34" xfId="0" applyNumberFormat="1" applyFont="1" applyFill="1" applyBorder="1" applyAlignment="1" applyProtection="1">
      <alignment horizontal="center"/>
      <protection/>
    </xf>
    <xf numFmtId="2" fontId="38" fillId="2" borderId="35" xfId="0" applyNumberFormat="1" applyFont="1" applyFill="1" applyBorder="1" applyAlignment="1" applyProtection="1">
      <alignment horizontal="center"/>
      <protection/>
    </xf>
    <xf numFmtId="2" fontId="38" fillId="2" borderId="36" xfId="0" applyNumberFormat="1" applyFont="1" applyFill="1" applyBorder="1" applyAlignment="1" applyProtection="1">
      <alignment horizontal="center"/>
      <protection/>
    </xf>
    <xf numFmtId="2" fontId="77" fillId="10" borderId="34" xfId="0" applyNumberFormat="1" applyFont="1" applyFill="1" applyBorder="1" applyAlignment="1" applyProtection="1">
      <alignment horizontal="center"/>
      <protection/>
    </xf>
    <xf numFmtId="2" fontId="77" fillId="10" borderId="35" xfId="0" applyNumberFormat="1" applyFont="1" applyFill="1" applyBorder="1" applyAlignment="1" applyProtection="1">
      <alignment horizontal="center"/>
      <protection/>
    </xf>
    <xf numFmtId="2" fontId="77" fillId="10" borderId="36" xfId="0" applyNumberFormat="1" applyFont="1" applyFill="1" applyBorder="1" applyAlignment="1" applyProtection="1">
      <alignment horizontal="center"/>
      <protection/>
    </xf>
    <xf numFmtId="2" fontId="80" fillId="11" borderId="14" xfId="0" applyNumberFormat="1" applyFont="1" applyFill="1" applyBorder="1" applyAlignment="1" applyProtection="1">
      <alignment horizontal="center"/>
      <protection/>
    </xf>
    <xf numFmtId="2" fontId="81" fillId="12" borderId="14" xfId="0" applyNumberFormat="1" applyFont="1" applyFill="1" applyBorder="1" applyAlignment="1" applyProtection="1">
      <alignment horizontal="center"/>
      <protection/>
    </xf>
    <xf numFmtId="2" fontId="64" fillId="0" borderId="37" xfId="0" applyNumberFormat="1" applyFont="1" applyBorder="1" applyAlignment="1" applyProtection="1">
      <alignment horizontal="center"/>
      <protection/>
    </xf>
    <xf numFmtId="7" fontId="82" fillId="13" borderId="14" xfId="0" applyNumberFormat="1" applyFont="1" applyFill="1" applyBorder="1" applyAlignment="1" applyProtection="1">
      <alignment horizontal="right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71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65" fontId="32" fillId="0" borderId="0" xfId="0" applyNumberFormat="1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 quotePrefix="1">
      <alignment horizontal="center"/>
      <protection/>
    </xf>
    <xf numFmtId="7" fontId="35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83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5" borderId="14" xfId="0" applyFont="1" applyFill="1" applyBorder="1" applyAlignment="1" applyProtection="1">
      <alignment horizontal="center" vertical="center"/>
      <protection/>
    </xf>
    <xf numFmtId="0" fontId="84" fillId="11" borderId="14" xfId="0" applyFont="1" applyFill="1" applyBorder="1" applyAlignment="1">
      <alignment horizontal="center" vertical="center" wrapText="1"/>
    </xf>
    <xf numFmtId="0" fontId="85" fillId="6" borderId="14" xfId="0" applyFont="1" applyFill="1" applyBorder="1" applyAlignment="1">
      <alignment horizontal="center" vertical="center" wrapText="1"/>
    </xf>
    <xf numFmtId="0" fontId="41" fillId="9" borderId="8" xfId="0" applyFont="1" applyFill="1" applyBorder="1" applyAlignment="1" applyProtection="1">
      <alignment horizontal="centerContinuous" vertical="center" wrapText="1"/>
      <protection/>
    </xf>
    <xf numFmtId="0" fontId="41" fillId="9" borderId="9" xfId="0" applyFont="1" applyFill="1" applyBorder="1" applyAlignment="1">
      <alignment horizontal="centerContinuous" vertical="center"/>
    </xf>
    <xf numFmtId="0" fontId="47" fillId="14" borderId="14" xfId="0" applyFont="1" applyFill="1" applyBorder="1" applyAlignment="1">
      <alignment horizontal="center" vertical="center" wrapText="1"/>
    </xf>
    <xf numFmtId="0" fontId="42" fillId="11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164" fontId="7" fillId="0" borderId="38" xfId="0" applyNumberFormat="1" applyFont="1" applyFill="1" applyBorder="1" applyAlignment="1" applyProtection="1">
      <alignment horizontal="center"/>
      <protection/>
    </xf>
    <xf numFmtId="0" fontId="37" fillId="2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46" fillId="5" borderId="38" xfId="0" applyFont="1" applyFill="1" applyBorder="1" applyAlignment="1">
      <alignment horizontal="center"/>
    </xf>
    <xf numFmtId="0" fontId="86" fillId="11" borderId="38" xfId="0" applyFont="1" applyFill="1" applyBorder="1" applyAlignment="1">
      <alignment horizontal="center"/>
    </xf>
    <xf numFmtId="0" fontId="87" fillId="6" borderId="38" xfId="0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/>
    </xf>
    <xf numFmtId="0" fontId="38" fillId="2" borderId="40" xfId="0" applyFont="1" applyFill="1" applyBorder="1" applyAlignment="1">
      <alignment horizontal="center"/>
    </xf>
    <xf numFmtId="0" fontId="88" fillId="9" borderId="41" xfId="0" applyFont="1" applyFill="1" applyBorder="1" applyAlignment="1">
      <alignment horizontal="center"/>
    </xf>
    <xf numFmtId="0" fontId="88" fillId="9" borderId="42" xfId="0" applyFont="1" applyFill="1" applyBorder="1" applyAlignment="1">
      <alignment horizontal="center"/>
    </xf>
    <xf numFmtId="0" fontId="48" fillId="14" borderId="38" xfId="0" applyFont="1" applyFill="1" applyBorder="1" applyAlignment="1">
      <alignment horizontal="center"/>
    </xf>
    <xf numFmtId="0" fontId="89" fillId="11" borderId="38" xfId="0" applyFont="1" applyFill="1" applyBorder="1" applyAlignment="1">
      <alignment horizontal="center"/>
    </xf>
    <xf numFmtId="7" fontId="10" fillId="0" borderId="3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7" fillId="2" borderId="1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86" fillId="11" borderId="19" xfId="0" applyFont="1" applyFill="1" applyBorder="1" applyAlignment="1">
      <alignment horizontal="center"/>
    </xf>
    <xf numFmtId="0" fontId="87" fillId="6" borderId="19" xfId="0" applyFont="1" applyFill="1" applyBorder="1" applyAlignment="1">
      <alignment horizontal="center"/>
    </xf>
    <xf numFmtId="0" fontId="38" fillId="2" borderId="44" xfId="0" applyFont="1" applyFill="1" applyBorder="1" applyAlignment="1">
      <alignment horizontal="center"/>
    </xf>
    <xf numFmtId="0" fontId="38" fillId="2" borderId="45" xfId="0" applyFont="1" applyFill="1" applyBorder="1" applyAlignment="1">
      <alignment horizontal="center"/>
    </xf>
    <xf numFmtId="0" fontId="88" fillId="9" borderId="44" xfId="0" applyFont="1" applyFill="1" applyBorder="1" applyAlignment="1">
      <alignment horizontal="center"/>
    </xf>
    <xf numFmtId="0" fontId="88" fillId="9" borderId="45" xfId="0" applyFont="1" applyFill="1" applyBorder="1" applyAlignment="1">
      <alignment horizontal="center"/>
    </xf>
    <xf numFmtId="0" fontId="48" fillId="14" borderId="19" xfId="0" applyFont="1" applyFill="1" applyBorder="1" applyAlignment="1">
      <alignment horizontal="center"/>
    </xf>
    <xf numFmtId="0" fontId="89" fillId="11" borderId="19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 quotePrefix="1">
      <alignment horizontal="center"/>
      <protection locked="0"/>
    </xf>
    <xf numFmtId="174" fontId="37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6" fillId="5" borderId="2" xfId="0" applyNumberFormat="1" applyFont="1" applyFill="1" applyBorder="1" applyAlignment="1" applyProtection="1">
      <alignment horizontal="center"/>
      <protection/>
    </xf>
    <xf numFmtId="2" fontId="86" fillId="11" borderId="2" xfId="0" applyNumberFormat="1" applyFont="1" applyFill="1" applyBorder="1" applyAlignment="1">
      <alignment horizontal="center"/>
    </xf>
    <xf numFmtId="2" fontId="87" fillId="6" borderId="2" xfId="0" applyNumberFormat="1" applyFont="1" applyFill="1" applyBorder="1" applyAlignment="1">
      <alignment horizontal="center"/>
    </xf>
    <xf numFmtId="168" fontId="38" fillId="2" borderId="44" xfId="0" applyNumberFormat="1" applyFont="1" applyFill="1" applyBorder="1" applyAlignment="1" applyProtection="1" quotePrefix="1">
      <alignment horizontal="center"/>
      <protection/>
    </xf>
    <xf numFmtId="168" fontId="38" fillId="2" borderId="45" xfId="0" applyNumberFormat="1" applyFont="1" applyFill="1" applyBorder="1" applyAlignment="1" applyProtection="1" quotePrefix="1">
      <alignment horizontal="center"/>
      <protection/>
    </xf>
    <xf numFmtId="168" fontId="88" fillId="9" borderId="44" xfId="0" applyNumberFormat="1" applyFont="1" applyFill="1" applyBorder="1" applyAlignment="1" applyProtection="1" quotePrefix="1">
      <alignment horizontal="center"/>
      <protection/>
    </xf>
    <xf numFmtId="168" fontId="88" fillId="9" borderId="45" xfId="0" applyNumberFormat="1" applyFont="1" applyFill="1" applyBorder="1" applyAlignment="1" applyProtection="1" quotePrefix="1">
      <alignment horizontal="center"/>
      <protection/>
    </xf>
    <xf numFmtId="168" fontId="48" fillId="14" borderId="2" xfId="0" applyNumberFormat="1" applyFont="1" applyFill="1" applyBorder="1" applyAlignment="1" applyProtection="1" quotePrefix="1">
      <alignment horizontal="center"/>
      <protection/>
    </xf>
    <xf numFmtId="168" fontId="89" fillId="11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43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6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6" fillId="5" borderId="3" xfId="0" applyNumberFormat="1" applyFont="1" applyFill="1" applyBorder="1" applyAlignment="1" applyProtection="1">
      <alignment horizontal="center"/>
      <protection/>
    </xf>
    <xf numFmtId="2" fontId="86" fillId="11" borderId="3" xfId="0" applyNumberFormat="1" applyFont="1" applyFill="1" applyBorder="1" applyAlignment="1">
      <alignment horizontal="center"/>
    </xf>
    <xf numFmtId="2" fontId="87" fillId="6" borderId="3" xfId="0" applyNumberFormat="1" applyFont="1" applyFill="1" applyBorder="1" applyAlignment="1">
      <alignment horizontal="center"/>
    </xf>
    <xf numFmtId="168" fontId="38" fillId="2" borderId="47" xfId="0" applyNumberFormat="1" applyFont="1" applyFill="1" applyBorder="1" applyAlignment="1" applyProtection="1" quotePrefix="1">
      <alignment horizontal="center"/>
      <protection/>
    </xf>
    <xf numFmtId="168" fontId="38" fillId="2" borderId="48" xfId="0" applyNumberFormat="1" applyFont="1" applyFill="1" applyBorder="1" applyAlignment="1" applyProtection="1" quotePrefix="1">
      <alignment horizontal="center"/>
      <protection/>
    </xf>
    <xf numFmtId="168" fontId="88" fillId="9" borderId="30" xfId="0" applyNumberFormat="1" applyFont="1" applyFill="1" applyBorder="1" applyAlignment="1" applyProtection="1" quotePrefix="1">
      <alignment horizontal="center"/>
      <protection/>
    </xf>
    <xf numFmtId="168" fontId="88" fillId="9" borderId="32" xfId="0" applyNumberFormat="1" applyFont="1" applyFill="1" applyBorder="1" applyAlignment="1" applyProtection="1" quotePrefix="1">
      <alignment horizontal="center"/>
      <protection/>
    </xf>
    <xf numFmtId="168" fontId="89" fillId="11" borderId="3" xfId="0" applyNumberFormat="1" applyFont="1" applyFill="1" applyBorder="1" applyAlignment="1" applyProtection="1" quotePrefix="1">
      <alignment horizontal="center"/>
      <protection/>
    </xf>
    <xf numFmtId="168" fontId="69" fillId="0" borderId="20" xfId="0" applyNumberFormat="1" applyFont="1" applyFill="1" applyBorder="1" applyAlignment="1">
      <alignment horizontal="center"/>
    </xf>
    <xf numFmtId="168" fontId="28" fillId="0" borderId="49" xfId="0" applyNumberFormat="1" applyFont="1" applyFill="1" applyBorder="1" applyAlignment="1">
      <alignment horizontal="center"/>
    </xf>
    <xf numFmtId="4" fontId="86" fillId="11" borderId="14" xfId="0" applyNumberFormat="1" applyFont="1" applyFill="1" applyBorder="1" applyAlignment="1">
      <alignment horizontal="center"/>
    </xf>
    <xf numFmtId="4" fontId="87" fillId="6" borderId="14" xfId="0" applyNumberFormat="1" applyFont="1" applyFill="1" applyBorder="1" applyAlignment="1">
      <alignment horizontal="center"/>
    </xf>
    <xf numFmtId="4" fontId="38" fillId="2" borderId="34" xfId="0" applyNumberFormat="1" applyFont="1" applyFill="1" applyBorder="1" applyAlignment="1">
      <alignment horizontal="center"/>
    </xf>
    <xf numFmtId="4" fontId="38" fillId="2" borderId="9" xfId="0" applyNumberFormat="1" applyFont="1" applyFill="1" applyBorder="1" applyAlignment="1">
      <alignment horizontal="center"/>
    </xf>
    <xf numFmtId="4" fontId="88" fillId="9" borderId="34" xfId="0" applyNumberFormat="1" applyFont="1" applyFill="1" applyBorder="1" applyAlignment="1">
      <alignment horizontal="center"/>
    </xf>
    <xf numFmtId="4" fontId="88" fillId="9" borderId="36" xfId="0" applyNumberFormat="1" applyFont="1" applyFill="1" applyBorder="1" applyAlignment="1">
      <alignment horizontal="center"/>
    </xf>
    <xf numFmtId="4" fontId="48" fillId="14" borderId="14" xfId="0" applyNumberFormat="1" applyFont="1" applyFill="1" applyBorder="1" applyAlignment="1">
      <alignment horizontal="center"/>
    </xf>
    <xf numFmtId="4" fontId="89" fillId="11" borderId="14" xfId="0" applyNumberFormat="1" applyFont="1" applyFill="1" applyBorder="1" applyAlignment="1">
      <alignment horizontal="center"/>
    </xf>
    <xf numFmtId="7" fontId="90" fillId="0" borderId="14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32" fillId="0" borderId="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2" fontId="32" fillId="0" borderId="0" xfId="0" applyNumberFormat="1" applyFont="1" applyFill="1" applyBorder="1" applyAlignment="1">
      <alignment/>
    </xf>
    <xf numFmtId="4" fontId="91" fillId="0" borderId="0" xfId="0" applyNumberFormat="1" applyFont="1" applyFill="1" applyBorder="1" applyAlignment="1">
      <alignment horizontal="center"/>
    </xf>
    <xf numFmtId="7" fontId="92" fillId="0" borderId="0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83" fillId="0" borderId="0" xfId="0" applyFont="1" applyFill="1" applyAlignment="1">
      <alignment horizontal="centerContinuous"/>
    </xf>
    <xf numFmtId="0" fontId="0" fillId="0" borderId="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46" fillId="5" borderId="14" xfId="0" applyNumberFormat="1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164" fontId="7" fillId="0" borderId="50" xfId="0" applyNumberFormat="1" applyFont="1" applyFill="1" applyBorder="1" applyAlignment="1" applyProtection="1">
      <alignment horizontal="center"/>
      <protection/>
    </xf>
    <xf numFmtId="0" fontId="37" fillId="2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64" fontId="46" fillId="5" borderId="17" xfId="0" applyNumberFormat="1" applyFont="1" applyFill="1" applyBorder="1" applyAlignment="1" applyProtection="1">
      <alignment horizontal="center"/>
      <protection/>
    </xf>
    <xf numFmtId="7" fontId="29" fillId="2" borderId="38" xfId="0" applyNumberFormat="1" applyFont="1" applyFill="1" applyBorder="1" applyAlignment="1">
      <alignment horizontal="center"/>
    </xf>
    <xf numFmtId="7" fontId="10" fillId="0" borderId="50" xfId="0" applyNumberFormat="1" applyFont="1" applyFill="1" applyBorder="1" applyAlignment="1">
      <alignment horizontal="center"/>
    </xf>
    <xf numFmtId="164" fontId="46" fillId="5" borderId="19" xfId="0" applyNumberFormat="1" applyFont="1" applyFill="1" applyBorder="1" applyAlignment="1" applyProtection="1">
      <alignment horizontal="center"/>
      <protection/>
    </xf>
    <xf numFmtId="0" fontId="29" fillId="2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74" fontId="37" fillId="2" borderId="19" xfId="0" applyNumberFormat="1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center"/>
      <protection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 quotePrefix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 locked="0"/>
    </xf>
    <xf numFmtId="164" fontId="46" fillId="5" borderId="19" xfId="0" applyNumberFormat="1" applyFont="1" applyFill="1" applyBorder="1" applyAlignment="1" applyProtection="1">
      <alignment horizontal="center"/>
      <protection locked="0"/>
    </xf>
    <xf numFmtId="2" fontId="86" fillId="11" borderId="2" xfId="0" applyNumberFormat="1" applyFont="1" applyFill="1" applyBorder="1" applyAlignment="1" applyProtection="1">
      <alignment horizontal="center"/>
      <protection locked="0"/>
    </xf>
    <xf numFmtId="2" fontId="87" fillId="6" borderId="2" xfId="0" applyNumberFormat="1" applyFont="1" applyFill="1" applyBorder="1" applyAlignment="1" applyProtection="1">
      <alignment horizontal="center"/>
      <protection locked="0"/>
    </xf>
    <xf numFmtId="168" fontId="38" fillId="2" borderId="44" xfId="0" applyNumberFormat="1" applyFont="1" applyFill="1" applyBorder="1" applyAlignment="1" applyProtection="1" quotePrefix="1">
      <alignment horizontal="center"/>
      <protection locked="0"/>
    </xf>
    <xf numFmtId="168" fontId="38" fillId="2" borderId="45" xfId="0" applyNumberFormat="1" applyFont="1" applyFill="1" applyBorder="1" applyAlignment="1" applyProtection="1" quotePrefix="1">
      <alignment horizontal="center"/>
      <protection locked="0"/>
    </xf>
    <xf numFmtId="168" fontId="88" fillId="9" borderId="44" xfId="0" applyNumberFormat="1" applyFont="1" applyFill="1" applyBorder="1" applyAlignment="1" applyProtection="1" quotePrefix="1">
      <alignment horizontal="center"/>
      <protection locked="0"/>
    </xf>
    <xf numFmtId="168" fontId="88" fillId="9" borderId="45" xfId="0" applyNumberFormat="1" applyFont="1" applyFill="1" applyBorder="1" applyAlignment="1" applyProtection="1" quotePrefix="1">
      <alignment horizontal="center"/>
      <protection locked="0"/>
    </xf>
    <xf numFmtId="168" fontId="48" fillId="14" borderId="2" xfId="0" applyNumberFormat="1" applyFont="1" applyFill="1" applyBorder="1" applyAlignment="1" applyProtection="1" quotePrefix="1">
      <alignment horizontal="center"/>
      <protection locked="0"/>
    </xf>
    <xf numFmtId="168" fontId="89" fillId="11" borderId="19" xfId="0" applyNumberFormat="1" applyFont="1" applyFill="1" applyBorder="1" applyAlignment="1" applyProtection="1" quotePrefix="1">
      <alignment horizontal="center"/>
      <protection locked="0"/>
    </xf>
    <xf numFmtId="168" fontId="7" fillId="0" borderId="43" xfId="0" applyNumberFormat="1" applyFont="1" applyFill="1" applyBorder="1" applyAlignment="1" applyProtection="1">
      <alignment horizontal="center"/>
      <protection locked="0"/>
    </xf>
    <xf numFmtId="4" fontId="29" fillId="2" borderId="19" xfId="0" applyNumberFormat="1" applyFont="1" applyFill="1" applyBorder="1" applyAlignment="1">
      <alignment horizontal="right"/>
    </xf>
    <xf numFmtId="4" fontId="29" fillId="0" borderId="19" xfId="0" applyNumberFormat="1" applyFont="1" applyFill="1" applyBorder="1" applyAlignment="1">
      <alignment horizontal="right"/>
    </xf>
    <xf numFmtId="164" fontId="46" fillId="5" borderId="46" xfId="0" applyNumberFormat="1" applyFont="1" applyFill="1" applyBorder="1" applyAlignment="1" applyProtection="1">
      <alignment horizontal="center"/>
      <protection locked="0"/>
    </xf>
    <xf numFmtId="2" fontId="86" fillId="11" borderId="3" xfId="0" applyNumberFormat="1" applyFont="1" applyFill="1" applyBorder="1" applyAlignment="1" applyProtection="1">
      <alignment horizontal="center"/>
      <protection locked="0"/>
    </xf>
    <xf numFmtId="2" fontId="87" fillId="6" borderId="3" xfId="0" applyNumberFormat="1" applyFont="1" applyFill="1" applyBorder="1" applyAlignment="1" applyProtection="1">
      <alignment horizontal="center"/>
      <protection locked="0"/>
    </xf>
    <xf numFmtId="168" fontId="38" fillId="2" borderId="47" xfId="0" applyNumberFormat="1" applyFont="1" applyFill="1" applyBorder="1" applyAlignment="1" applyProtection="1" quotePrefix="1">
      <alignment horizontal="center"/>
      <protection locked="0"/>
    </xf>
    <xf numFmtId="168" fontId="38" fillId="2" borderId="48" xfId="0" applyNumberFormat="1" applyFont="1" applyFill="1" applyBorder="1" applyAlignment="1" applyProtection="1" quotePrefix="1">
      <alignment horizontal="center"/>
      <protection locked="0"/>
    </xf>
    <xf numFmtId="168" fontId="88" fillId="9" borderId="30" xfId="0" applyNumberFormat="1" applyFont="1" applyFill="1" applyBorder="1" applyAlignment="1" applyProtection="1" quotePrefix="1">
      <alignment horizontal="center"/>
      <protection locked="0"/>
    </xf>
    <xf numFmtId="168" fontId="88" fillId="9" borderId="32" xfId="0" applyNumberFormat="1" applyFont="1" applyFill="1" applyBorder="1" applyAlignment="1" applyProtection="1" quotePrefix="1">
      <alignment horizontal="center"/>
      <protection locked="0"/>
    </xf>
    <xf numFmtId="168" fontId="48" fillId="14" borderId="3" xfId="0" applyNumberFormat="1" applyFont="1" applyFill="1" applyBorder="1" applyAlignment="1" applyProtection="1" quotePrefix="1">
      <alignment horizontal="center"/>
      <protection locked="0"/>
    </xf>
    <xf numFmtId="168" fontId="89" fillId="11" borderId="3" xfId="0" applyNumberFormat="1" applyFont="1" applyFill="1" applyBorder="1" applyAlignment="1" applyProtection="1" quotePrefix="1">
      <alignment horizontal="center"/>
      <protection locked="0"/>
    </xf>
    <xf numFmtId="168" fontId="69" fillId="0" borderId="20" xfId="0" applyNumberFormat="1" applyFont="1" applyFill="1" applyBorder="1" applyAlignment="1" applyProtection="1">
      <alignment horizontal="center"/>
      <protection locked="0"/>
    </xf>
    <xf numFmtId="168" fontId="29" fillId="2" borderId="33" xfId="0" applyNumberFormat="1" applyFont="1" applyFill="1" applyBorder="1" applyAlignment="1">
      <alignment horizontal="center"/>
    </xf>
    <xf numFmtId="168" fontId="28" fillId="0" borderId="33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 applyProtection="1">
      <alignment horizontal="center"/>
      <protection/>
    </xf>
    <xf numFmtId="4" fontId="48" fillId="14" borderId="34" xfId="0" applyNumberFormat="1" applyFont="1" applyFill="1" applyBorder="1" applyAlignment="1">
      <alignment horizontal="center"/>
    </xf>
    <xf numFmtId="4" fontId="89" fillId="11" borderId="36" xfId="0" applyNumberFormat="1" applyFont="1" applyFill="1" applyBorder="1" applyAlignment="1">
      <alignment horizontal="center"/>
    </xf>
    <xf numFmtId="7" fontId="90" fillId="2" borderId="14" xfId="0" applyNumberFormat="1" applyFont="1" applyFill="1" applyBorder="1" applyAlignment="1">
      <alignment horizontal="right"/>
    </xf>
    <xf numFmtId="164" fontId="46" fillId="5" borderId="2" xfId="0" applyNumberFormat="1" applyFont="1" applyFill="1" applyBorder="1" applyAlignment="1" applyProtection="1">
      <alignment horizontal="center"/>
      <protection locked="0"/>
    </xf>
    <xf numFmtId="164" fontId="46" fillId="5" borderId="3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29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/>
    </xf>
    <xf numFmtId="164" fontId="9" fillId="0" borderId="29" xfId="0" applyNumberFormat="1" applyFont="1" applyBorder="1" applyAlignment="1" applyProtection="1">
      <alignment horizontal="center"/>
      <protection/>
    </xf>
    <xf numFmtId="168" fontId="7" fillId="0" borderId="29" xfId="0" applyNumberFormat="1" applyFont="1" applyBorder="1" applyAlignment="1" applyProtection="1">
      <alignment horizontal="center"/>
      <protection/>
    </xf>
    <xf numFmtId="164" fontId="7" fillId="0" borderId="29" xfId="0" applyNumberFormat="1" applyFont="1" applyBorder="1" applyAlignment="1" applyProtection="1">
      <alignment horizontal="center"/>
      <protection/>
    </xf>
    <xf numFmtId="2" fontId="64" fillId="0" borderId="29" xfId="0" applyNumberFormat="1" applyFont="1" applyBorder="1" applyAlignment="1">
      <alignment horizontal="center"/>
    </xf>
    <xf numFmtId="168" fontId="9" fillId="0" borderId="29" xfId="0" applyNumberFormat="1" applyFont="1" applyBorder="1" applyAlignment="1" applyProtection="1" quotePrefix="1">
      <alignment horizontal="center"/>
      <protection/>
    </xf>
    <xf numFmtId="168" fontId="7" fillId="0" borderId="29" xfId="0" applyNumberFormat="1" applyFont="1" applyBorder="1" applyAlignment="1">
      <alignment horizontal="center"/>
    </xf>
    <xf numFmtId="168" fontId="69" fillId="0" borderId="29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1" fillId="9" borderId="14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6" fillId="4" borderId="17" xfId="0" applyFont="1" applyFill="1" applyBorder="1" applyAlignment="1" applyProtection="1">
      <alignment horizontal="center"/>
      <protection/>
    </xf>
    <xf numFmtId="0" fontId="88" fillId="9" borderId="17" xfId="0" applyFont="1" applyFill="1" applyBorder="1" applyAlignment="1" applyProtection="1">
      <alignment horizontal="center"/>
      <protection/>
    </xf>
    <xf numFmtId="168" fontId="68" fillId="6" borderId="24" xfId="0" applyNumberFormat="1" applyFont="1" applyFill="1" applyBorder="1" applyAlignment="1" applyProtection="1" quotePrefix="1">
      <alignment horizontal="center"/>
      <protection/>
    </xf>
    <xf numFmtId="168" fontId="68" fillId="6" borderId="40" xfId="0" applyNumberFormat="1" applyFont="1" applyFill="1" applyBorder="1" applyAlignment="1" applyProtection="1" quotePrefix="1">
      <alignment horizontal="center"/>
      <protection/>
    </xf>
    <xf numFmtId="168" fontId="45" fillId="3" borderId="17" xfId="0" applyNumberFormat="1" applyFont="1" applyFill="1" applyBorder="1" applyAlignment="1" applyProtection="1" quotePrefix="1">
      <alignment horizontal="center"/>
      <protection/>
    </xf>
    <xf numFmtId="7" fontId="93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7" fillId="2" borderId="21" xfId="0" applyFont="1" applyFill="1" applyBorder="1" applyAlignment="1" applyProtection="1">
      <alignment horizontal="center"/>
      <protection/>
    </xf>
    <xf numFmtId="0" fontId="46" fillId="4" borderId="2" xfId="0" applyFont="1" applyFill="1" applyBorder="1" applyAlignment="1" applyProtection="1">
      <alignment horizontal="center"/>
      <protection/>
    </xf>
    <xf numFmtId="0" fontId="88" fillId="9" borderId="2" xfId="0" applyFont="1" applyFill="1" applyBorder="1" applyAlignment="1" applyProtection="1">
      <alignment horizontal="center"/>
      <protection/>
    </xf>
    <xf numFmtId="168" fontId="68" fillId="6" borderId="52" xfId="0" applyNumberFormat="1" applyFont="1" applyFill="1" applyBorder="1" applyAlignment="1" applyProtection="1" quotePrefix="1">
      <alignment horizontal="center"/>
      <protection/>
    </xf>
    <xf numFmtId="168" fontId="45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 locked="0"/>
    </xf>
    <xf numFmtId="2" fontId="88" fillId="9" borderId="2" xfId="0" applyNumberFormat="1" applyFont="1" applyFill="1" applyBorder="1" applyAlignment="1" applyProtection="1">
      <alignment horizontal="center"/>
      <protection locked="0"/>
    </xf>
    <xf numFmtId="168" fontId="68" fillId="6" borderId="22" xfId="0" applyNumberFormat="1" applyFont="1" applyFill="1" applyBorder="1" applyAlignment="1" applyProtection="1" quotePrefix="1">
      <alignment horizontal="center"/>
      <protection locked="0"/>
    </xf>
    <xf numFmtId="168" fontId="68" fillId="6" borderId="52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6" fillId="4" borderId="3" xfId="0" applyNumberFormat="1" applyFont="1" applyFill="1" applyBorder="1" applyAlignment="1" applyProtection="1">
      <alignment horizontal="center"/>
      <protection locked="0"/>
    </xf>
    <xf numFmtId="2" fontId="88" fillId="9" borderId="3" xfId="0" applyNumberFormat="1" applyFont="1" applyFill="1" applyBorder="1" applyAlignment="1" applyProtection="1">
      <alignment horizontal="center"/>
      <protection locked="0"/>
    </xf>
    <xf numFmtId="168" fontId="68" fillId="6" borderId="30" xfId="0" applyNumberFormat="1" applyFont="1" applyFill="1" applyBorder="1" applyAlignment="1" applyProtection="1" quotePrefix="1">
      <alignment horizontal="center"/>
      <protection locked="0"/>
    </xf>
    <xf numFmtId="168" fontId="68" fillId="6" borderId="32" xfId="0" applyNumberFormat="1" applyFont="1" applyFill="1" applyBorder="1" applyAlignment="1" applyProtection="1" quotePrefix="1">
      <alignment horizontal="center"/>
      <protection locked="0"/>
    </xf>
    <xf numFmtId="7" fontId="28" fillId="0" borderId="33" xfId="0" applyNumberFormat="1" applyFont="1" applyFill="1" applyBorder="1" applyAlignment="1">
      <alignment horizontal="right"/>
    </xf>
    <xf numFmtId="4" fontId="88" fillId="9" borderId="14" xfId="0" applyNumberFormat="1" applyFont="1" applyFill="1" applyBorder="1" applyAlignment="1">
      <alignment horizontal="center"/>
    </xf>
    <xf numFmtId="4" fontId="68" fillId="6" borderId="34" xfId="0" applyNumberFormat="1" applyFont="1" applyFill="1" applyBorder="1" applyAlignment="1">
      <alignment horizontal="center"/>
    </xf>
    <xf numFmtId="4" fontId="68" fillId="6" borderId="36" xfId="0" applyNumberFormat="1" applyFont="1" applyFill="1" applyBorder="1" applyAlignment="1">
      <alignment horizontal="center"/>
    </xf>
    <xf numFmtId="4" fontId="45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2" fillId="0" borderId="1" xfId="0" applyFont="1" applyBorder="1" applyAlignment="1">
      <alignment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9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4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9" fillId="11" borderId="14" xfId="0" applyFont="1" applyFill="1" applyBorder="1" applyAlignment="1">
      <alignment horizontal="center" vertical="center" wrapText="1"/>
    </xf>
    <xf numFmtId="0" fontId="47" fillId="15" borderId="8" xfId="0" applyFont="1" applyFill="1" applyBorder="1" applyAlignment="1" applyProtection="1">
      <alignment horizontal="centerContinuous" vertical="center" wrapText="1"/>
      <protection/>
    </xf>
    <xf numFmtId="0" fontId="47" fillId="15" borderId="9" xfId="0" applyFont="1" applyFill="1" applyBorder="1" applyAlignment="1">
      <alignment horizontal="centerContinuous" vertical="center"/>
    </xf>
    <xf numFmtId="0" fontId="50" fillId="6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95" fillId="11" borderId="38" xfId="0" applyFont="1" applyFill="1" applyBorder="1" applyAlignment="1">
      <alignment horizontal="center"/>
    </xf>
    <xf numFmtId="0" fontId="48" fillId="15" borderId="24" xfId="0" applyFont="1" applyFill="1" applyBorder="1" applyAlignment="1">
      <alignment horizontal="center"/>
    </xf>
    <xf numFmtId="0" fontId="48" fillId="15" borderId="40" xfId="0" applyFont="1" applyFill="1" applyBorder="1" applyAlignment="1">
      <alignment horizontal="center"/>
    </xf>
    <xf numFmtId="0" fontId="51" fillId="6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7" fontId="29" fillId="0" borderId="38" xfId="0" applyNumberFormat="1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7" fillId="2" borderId="19" xfId="0" applyNumberFormat="1" applyFont="1" applyFill="1" applyBorder="1" applyAlignment="1" applyProtection="1">
      <alignment horizontal="center"/>
      <protection/>
    </xf>
    <xf numFmtId="22" fontId="7" fillId="0" borderId="44" xfId="0" applyNumberFormat="1" applyFont="1" applyBorder="1" applyAlignment="1">
      <alignment horizontal="center"/>
    </xf>
    <xf numFmtId="22" fontId="7" fillId="0" borderId="54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43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7" fillId="2" borderId="28" xfId="0" applyNumberFormat="1" applyFont="1" applyFill="1" applyBorder="1" applyAlignment="1" applyProtection="1">
      <alignment horizontal="center"/>
      <protection/>
    </xf>
    <xf numFmtId="2" fontId="95" fillId="11" borderId="19" xfId="0" applyNumberFormat="1" applyFont="1" applyFill="1" applyBorder="1" applyAlignment="1">
      <alignment horizontal="center"/>
    </xf>
    <xf numFmtId="168" fontId="48" fillId="15" borderId="44" xfId="0" applyNumberFormat="1" applyFont="1" applyFill="1" applyBorder="1" applyAlignment="1" applyProtection="1" quotePrefix="1">
      <alignment horizontal="center"/>
      <protection/>
    </xf>
    <xf numFmtId="168" fontId="48" fillId="15" borderId="45" xfId="0" applyNumberFormat="1" applyFont="1" applyFill="1" applyBorder="1" applyAlignment="1" applyProtection="1" quotePrefix="1">
      <alignment horizontal="center"/>
      <protection/>
    </xf>
    <xf numFmtId="168" fontId="51" fillId="6" borderId="19" xfId="0" applyNumberFormat="1" applyFont="1" applyFill="1" applyBorder="1" applyAlignment="1" applyProtection="1" quotePrefix="1">
      <alignment horizontal="center"/>
      <protection/>
    </xf>
    <xf numFmtId="168" fontId="29" fillId="0" borderId="19" xfId="0" applyNumberFormat="1" applyFont="1" applyFill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7" fillId="2" borderId="29" xfId="0" applyNumberFormat="1" applyFont="1" applyFill="1" applyBorder="1" applyAlignment="1" applyProtection="1">
      <alignment horizontal="center"/>
      <protection locked="0"/>
    </xf>
    <xf numFmtId="2" fontId="95" fillId="11" borderId="2" xfId="0" applyNumberFormat="1" applyFont="1" applyFill="1" applyBorder="1" applyAlignment="1" applyProtection="1">
      <alignment horizontal="center"/>
      <protection locked="0"/>
    </xf>
    <xf numFmtId="168" fontId="48" fillId="15" borderId="44" xfId="0" applyNumberFormat="1" applyFont="1" applyFill="1" applyBorder="1" applyAlignment="1" applyProtection="1" quotePrefix="1">
      <alignment horizontal="center"/>
      <protection locked="0"/>
    </xf>
    <xf numFmtId="168" fontId="48" fillId="15" borderId="45" xfId="0" applyNumberFormat="1" applyFont="1" applyFill="1" applyBorder="1" applyAlignment="1" applyProtection="1" quotePrefix="1">
      <alignment horizontal="center"/>
      <protection locked="0"/>
    </xf>
    <xf numFmtId="168" fontId="51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5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7" fillId="2" borderId="23" xfId="0" applyNumberFormat="1" applyFont="1" applyFill="1" applyBorder="1" applyAlignment="1" applyProtection="1">
      <alignment horizontal="center"/>
      <protection locked="0"/>
    </xf>
    <xf numFmtId="2" fontId="95" fillId="11" borderId="3" xfId="0" applyNumberFormat="1" applyFont="1" applyFill="1" applyBorder="1" applyAlignment="1" applyProtection="1">
      <alignment horizontal="center"/>
      <protection locked="0"/>
    </xf>
    <xf numFmtId="168" fontId="48" fillId="15" borderId="47" xfId="0" applyNumberFormat="1" applyFont="1" applyFill="1" applyBorder="1" applyAlignment="1" applyProtection="1" quotePrefix="1">
      <alignment horizontal="center"/>
      <protection locked="0"/>
    </xf>
    <xf numFmtId="168" fontId="48" fillId="15" borderId="48" xfId="0" applyNumberFormat="1" applyFont="1" applyFill="1" applyBorder="1" applyAlignment="1" applyProtection="1" quotePrefix="1">
      <alignment horizontal="center"/>
      <protection locked="0"/>
    </xf>
    <xf numFmtId="168" fontId="51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33" xfId="0" applyNumberFormat="1" applyFont="1" applyFill="1" applyBorder="1" applyAlignment="1">
      <alignment horizontal="center"/>
    </xf>
    <xf numFmtId="4" fontId="95" fillId="11" borderId="14" xfId="0" applyNumberFormat="1" applyFont="1" applyFill="1" applyBorder="1" applyAlignment="1">
      <alignment horizontal="center"/>
    </xf>
    <xf numFmtId="4" fontId="48" fillId="15" borderId="34" xfId="0" applyNumberFormat="1" applyFont="1" applyFill="1" applyBorder="1" applyAlignment="1">
      <alignment horizontal="center"/>
    </xf>
    <xf numFmtId="4" fontId="48" fillId="15" borderId="9" xfId="0" applyNumberFormat="1" applyFont="1" applyFill="1" applyBorder="1" applyAlignment="1">
      <alignment horizontal="center"/>
    </xf>
    <xf numFmtId="4" fontId="51" fillId="6" borderId="14" xfId="0" applyNumberFormat="1" applyFont="1" applyFill="1" applyBorder="1" applyAlignment="1">
      <alignment horizontal="center"/>
    </xf>
    <xf numFmtId="0" fontId="7" fillId="0" borderId="56" xfId="0" applyFont="1" applyBorder="1" applyAlignment="1">
      <alignment/>
    </xf>
    <xf numFmtId="168" fontId="7" fillId="0" borderId="54" xfId="0" applyNumberFormat="1" applyFont="1" applyBorder="1" applyAlignment="1" applyProtection="1">
      <alignment horizontal="center"/>
      <protection/>
    </xf>
    <xf numFmtId="0" fontId="96" fillId="0" borderId="0" xfId="0" applyFont="1" applyAlignment="1">
      <alignment horizontal="centerContinuous"/>
    </xf>
    <xf numFmtId="0" fontId="9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8" xfId="0" applyNumberFormat="1" applyFont="1" applyBorder="1" applyAlignment="1">
      <alignment horizontal="center"/>
    </xf>
    <xf numFmtId="0" fontId="100" fillId="0" borderId="0" xfId="0" applyFont="1" applyFill="1" applyAlignment="1">
      <alignment/>
    </xf>
    <xf numFmtId="0" fontId="101" fillId="0" borderId="0" xfId="0" applyFont="1" applyAlignment="1">
      <alignment horizontal="centerContinuous"/>
    </xf>
    <xf numFmtId="0" fontId="100" fillId="0" borderId="0" xfId="0" applyFont="1" applyAlignment="1">
      <alignment horizontal="centerContinuous"/>
    </xf>
    <xf numFmtId="0" fontId="100" fillId="0" borderId="0" xfId="0" applyFont="1" applyAlignment="1">
      <alignment/>
    </xf>
    <xf numFmtId="0" fontId="23" fillId="0" borderId="0" xfId="0" applyFont="1" applyAlignment="1">
      <alignment/>
    </xf>
    <xf numFmtId="0" fontId="102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3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9" fillId="10" borderId="14" xfId="0" applyFont="1" applyFill="1" applyBorder="1" applyAlignment="1">
      <alignment horizontal="center" vertical="center" wrapText="1"/>
    </xf>
    <xf numFmtId="0" fontId="104" fillId="3" borderId="8" xfId="0" applyFont="1" applyFill="1" applyBorder="1" applyAlignment="1" applyProtection="1">
      <alignment horizontal="centerContinuous" vertical="center" wrapText="1"/>
      <protection/>
    </xf>
    <xf numFmtId="0" fontId="105" fillId="3" borderId="15" xfId="0" applyFont="1" applyFill="1" applyBorder="1" applyAlignment="1">
      <alignment horizontal="centerContinuous"/>
    </xf>
    <xf numFmtId="0" fontId="104" fillId="3" borderId="9" xfId="0" applyFont="1" applyFill="1" applyBorder="1" applyAlignment="1">
      <alignment horizontal="centerContinuous" vertical="center"/>
    </xf>
    <xf numFmtId="0" fontId="43" fillId="16" borderId="8" xfId="0" applyFont="1" applyFill="1" applyBorder="1" applyAlignment="1">
      <alignment horizontal="centerContinuous" vertical="center" wrapText="1"/>
    </xf>
    <xf numFmtId="0" fontId="44" fillId="16" borderId="15" xfId="0" applyFont="1" applyFill="1" applyBorder="1" applyAlignment="1">
      <alignment horizontal="centerContinuous"/>
    </xf>
    <xf numFmtId="0" fontId="43" fillId="16" borderId="9" xfId="0" applyFont="1" applyFill="1" applyBorder="1" applyAlignment="1">
      <alignment horizontal="centerContinuous" vertical="center"/>
    </xf>
    <xf numFmtId="0" fontId="43" fillId="11" borderId="14" xfId="0" applyFont="1" applyFill="1" applyBorder="1" applyAlignment="1">
      <alignment horizontal="centerContinuous" vertical="center" wrapText="1"/>
    </xf>
    <xf numFmtId="0" fontId="43" fillId="17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106" fillId="2" borderId="17" xfId="0" applyNumberFormat="1" applyFont="1" applyFill="1" applyBorder="1" applyAlignment="1" applyProtection="1">
      <alignment horizontal="center"/>
      <protection/>
    </xf>
    <xf numFmtId="0" fontId="107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95" fillId="10" borderId="17" xfId="0" applyFont="1" applyFill="1" applyBorder="1" applyAlignment="1">
      <alignment horizontal="center"/>
    </xf>
    <xf numFmtId="168" fontId="108" fillId="3" borderId="24" xfId="0" applyNumberFormat="1" applyFont="1" applyFill="1" applyBorder="1" applyAlignment="1" applyProtection="1" quotePrefix="1">
      <alignment horizontal="center"/>
      <protection/>
    </xf>
    <xf numFmtId="168" fontId="108" fillId="3" borderId="25" xfId="0" applyNumberFormat="1" applyFont="1" applyFill="1" applyBorder="1" applyAlignment="1" applyProtection="1" quotePrefix="1">
      <alignment horizontal="center"/>
      <protection/>
    </xf>
    <xf numFmtId="4" fontId="108" fillId="3" borderId="26" xfId="0" applyNumberFormat="1" applyFont="1" applyFill="1" applyBorder="1" applyAlignment="1" applyProtection="1">
      <alignment horizontal="center"/>
      <protection/>
    </xf>
    <xf numFmtId="168" fontId="45" fillId="16" borderId="24" xfId="0" applyNumberFormat="1" applyFont="1" applyFill="1" applyBorder="1" applyAlignment="1" applyProtection="1" quotePrefix="1">
      <alignment horizontal="center"/>
      <protection/>
    </xf>
    <xf numFmtId="168" fontId="45" fillId="16" borderId="25" xfId="0" applyNumberFormat="1" applyFont="1" applyFill="1" applyBorder="1" applyAlignment="1" applyProtection="1" quotePrefix="1">
      <alignment horizontal="center"/>
      <protection/>
    </xf>
    <xf numFmtId="4" fontId="45" fillId="16" borderId="26" xfId="0" applyNumberFormat="1" applyFont="1" applyFill="1" applyBorder="1" applyAlignment="1" applyProtection="1">
      <alignment horizontal="center"/>
      <protection/>
    </xf>
    <xf numFmtId="4" fontId="45" fillId="11" borderId="17" xfId="0" applyNumberFormat="1" applyFont="1" applyFill="1" applyBorder="1" applyAlignment="1" applyProtection="1">
      <alignment horizontal="center"/>
      <protection/>
    </xf>
    <xf numFmtId="4" fontId="45" fillId="17" borderId="17" xfId="0" applyNumberFormat="1" applyFont="1" applyFill="1" applyBorder="1" applyAlignment="1" applyProtection="1">
      <alignment horizontal="center"/>
      <protection/>
    </xf>
    <xf numFmtId="0" fontId="7" fillId="0" borderId="26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106" fillId="2" borderId="2" xfId="0" applyFont="1" applyFill="1" applyBorder="1" applyAlignment="1" applyProtection="1">
      <alignment horizontal="center"/>
      <protection/>
    </xf>
    <xf numFmtId="168" fontId="107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5" fillId="5" borderId="2" xfId="0" applyNumberFormat="1" applyFont="1" applyFill="1" applyBorder="1" applyAlignment="1" applyProtection="1">
      <alignment horizontal="center"/>
      <protection/>
    </xf>
    <xf numFmtId="2" fontId="95" fillId="10" borderId="2" xfId="0" applyNumberFormat="1" applyFont="1" applyFill="1" applyBorder="1" applyAlignment="1" applyProtection="1">
      <alignment horizontal="center"/>
      <protection/>
    </xf>
    <xf numFmtId="168" fontId="108" fillId="3" borderId="22" xfId="0" applyNumberFormat="1" applyFont="1" applyFill="1" applyBorder="1" applyAlignment="1" applyProtection="1" quotePrefix="1">
      <alignment horizontal="center"/>
      <protection/>
    </xf>
    <xf numFmtId="168" fontId="108" fillId="3" borderId="27" xfId="0" applyNumberFormat="1" applyFont="1" applyFill="1" applyBorder="1" applyAlignment="1" applyProtection="1" quotePrefix="1">
      <alignment horizontal="center"/>
      <protection/>
    </xf>
    <xf numFmtId="4" fontId="108" fillId="3" borderId="4" xfId="0" applyNumberFormat="1" applyFont="1" applyFill="1" applyBorder="1" applyAlignment="1" applyProtection="1">
      <alignment horizontal="center"/>
      <protection/>
    </xf>
    <xf numFmtId="168" fontId="45" fillId="16" borderId="22" xfId="0" applyNumberFormat="1" applyFont="1" applyFill="1" applyBorder="1" applyAlignment="1" applyProtection="1" quotePrefix="1">
      <alignment horizontal="center"/>
      <protection/>
    </xf>
    <xf numFmtId="168" fontId="45" fillId="16" borderId="27" xfId="0" applyNumberFormat="1" applyFont="1" applyFill="1" applyBorder="1" applyAlignment="1" applyProtection="1" quotePrefix="1">
      <alignment horizontal="center"/>
      <protection/>
    </xf>
    <xf numFmtId="4" fontId="45" fillId="16" borderId="4" xfId="0" applyNumberFormat="1" applyFont="1" applyFill="1" applyBorder="1" applyAlignment="1" applyProtection="1">
      <alignment horizontal="center"/>
      <protection/>
    </xf>
    <xf numFmtId="4" fontId="45" fillId="11" borderId="2" xfId="0" applyNumberFormat="1" applyFont="1" applyFill="1" applyBorder="1" applyAlignment="1" applyProtection="1">
      <alignment horizontal="center"/>
      <protection/>
    </xf>
    <xf numFmtId="4" fontId="45" fillId="17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109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106" fillId="2" borderId="3" xfId="0" applyNumberFormat="1" applyFont="1" applyFill="1" applyBorder="1" applyAlignment="1" applyProtection="1">
      <alignment horizontal="center"/>
      <protection/>
    </xf>
    <xf numFmtId="168" fontId="107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5" fillId="5" borderId="3" xfId="0" applyNumberFormat="1" applyFont="1" applyFill="1" applyBorder="1" applyAlignment="1" applyProtection="1">
      <alignment horizontal="center"/>
      <protection/>
    </xf>
    <xf numFmtId="2" fontId="95" fillId="10" borderId="3" xfId="0" applyNumberFormat="1" applyFont="1" applyFill="1" applyBorder="1" applyAlignment="1" applyProtection="1">
      <alignment horizontal="center"/>
      <protection/>
    </xf>
    <xf numFmtId="168" fontId="108" fillId="3" borderId="30" xfId="0" applyNumberFormat="1" applyFont="1" applyFill="1" applyBorder="1" applyAlignment="1" applyProtection="1" quotePrefix="1">
      <alignment horizontal="center"/>
      <protection/>
    </xf>
    <xf numFmtId="168" fontId="108" fillId="3" borderId="58" xfId="0" applyNumberFormat="1" applyFont="1" applyFill="1" applyBorder="1" applyAlignment="1" applyProtection="1" quotePrefix="1">
      <alignment horizontal="center"/>
      <protection/>
    </xf>
    <xf numFmtId="4" fontId="108" fillId="3" borderId="20" xfId="0" applyNumberFormat="1" applyFont="1" applyFill="1" applyBorder="1" applyAlignment="1" applyProtection="1">
      <alignment horizontal="center"/>
      <protection/>
    </xf>
    <xf numFmtId="168" fontId="45" fillId="16" borderId="30" xfId="0" applyNumberFormat="1" applyFont="1" applyFill="1" applyBorder="1" applyAlignment="1" applyProtection="1" quotePrefix="1">
      <alignment horizontal="center"/>
      <protection/>
    </xf>
    <xf numFmtId="168" fontId="45" fillId="16" borderId="58" xfId="0" applyNumberFormat="1" applyFont="1" applyFill="1" applyBorder="1" applyAlignment="1" applyProtection="1" quotePrefix="1">
      <alignment horizontal="center"/>
      <protection/>
    </xf>
    <xf numFmtId="4" fontId="45" fillId="16" borderId="20" xfId="0" applyNumberFormat="1" applyFont="1" applyFill="1" applyBorder="1" applyAlignment="1" applyProtection="1">
      <alignment horizontal="center"/>
      <protection/>
    </xf>
    <xf numFmtId="4" fontId="45" fillId="11" borderId="3" xfId="0" applyNumberFormat="1" applyFont="1" applyFill="1" applyBorder="1" applyAlignment="1" applyProtection="1">
      <alignment horizontal="center"/>
      <protection/>
    </xf>
    <xf numFmtId="4" fontId="45" fillId="17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109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107" fillId="5" borderId="14" xfId="0" applyNumberFormat="1" applyFont="1" applyFill="1" applyBorder="1" applyAlignment="1" applyProtection="1">
      <alignment horizontal="center"/>
      <protection/>
    </xf>
    <xf numFmtId="2" fontId="90" fillId="10" borderId="14" xfId="0" applyNumberFormat="1" applyFont="1" applyFill="1" applyBorder="1" applyAlignment="1" applyProtection="1">
      <alignment horizontal="center"/>
      <protection/>
    </xf>
    <xf numFmtId="2" fontId="110" fillId="3" borderId="14" xfId="0" applyNumberFormat="1" applyFont="1" applyFill="1" applyBorder="1" applyAlignment="1" applyProtection="1">
      <alignment horizontal="center"/>
      <protection/>
    </xf>
    <xf numFmtId="2" fontId="107" fillId="16" borderId="14" xfId="0" applyNumberFormat="1" applyFont="1" applyFill="1" applyBorder="1" applyAlignment="1" applyProtection="1">
      <alignment horizontal="center"/>
      <protection/>
    </xf>
    <xf numFmtId="2" fontId="107" fillId="11" borderId="14" xfId="0" applyNumberFormat="1" applyFont="1" applyFill="1" applyBorder="1" applyAlignment="1" applyProtection="1">
      <alignment horizontal="center"/>
      <protection/>
    </xf>
    <xf numFmtId="2" fontId="107" fillId="17" borderId="14" xfId="0" applyNumberFormat="1" applyFont="1" applyFill="1" applyBorder="1" applyAlignment="1" applyProtection="1">
      <alignment horizontal="center"/>
      <protection/>
    </xf>
    <xf numFmtId="2" fontId="22" fillId="0" borderId="39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107" fillId="0" borderId="15" xfId="0" applyNumberFormat="1" applyFont="1" applyFill="1" applyBorder="1" applyAlignment="1" applyProtection="1">
      <alignment horizontal="center"/>
      <protection/>
    </xf>
    <xf numFmtId="2" fontId="90" fillId="0" borderId="15" xfId="0" applyNumberFormat="1" applyFont="1" applyFill="1" applyBorder="1" applyAlignment="1" applyProtection="1">
      <alignment horizontal="center"/>
      <protection/>
    </xf>
    <xf numFmtId="2" fontId="110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6" fillId="18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19" borderId="14" xfId="0" applyFont="1" applyFill="1" applyBorder="1" applyAlignment="1">
      <alignment horizontal="center" vertical="center" wrapText="1"/>
    </xf>
    <xf numFmtId="0" fontId="43" fillId="20" borderId="8" xfId="0" applyFont="1" applyFill="1" applyBorder="1" applyAlignment="1" applyProtection="1">
      <alignment horizontal="centerContinuous" vertical="center" wrapText="1"/>
      <protection/>
    </xf>
    <xf numFmtId="0" fontId="43" fillId="20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8" borderId="59" xfId="0" applyFont="1" applyFill="1" applyBorder="1" applyAlignment="1">
      <alignment vertical="center" wrapText="1"/>
    </xf>
    <xf numFmtId="0" fontId="43" fillId="18" borderId="16" xfId="0" applyFont="1" applyFill="1" applyBorder="1" applyAlignment="1">
      <alignment vertical="center" wrapText="1"/>
    </xf>
    <xf numFmtId="0" fontId="43" fillId="18" borderId="39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111" fillId="2" borderId="2" xfId="0" applyFont="1" applyFill="1" applyBorder="1" applyAlignment="1">
      <alignment horizontal="center"/>
    </xf>
    <xf numFmtId="0" fontId="111" fillId="18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6" fillId="19" borderId="17" xfId="0" applyFont="1" applyFill="1" applyBorder="1" applyAlignment="1">
      <alignment horizontal="center"/>
    </xf>
    <xf numFmtId="0" fontId="46" fillId="20" borderId="24" xfId="0" applyFont="1" applyFill="1" applyBorder="1" applyAlignment="1">
      <alignment horizontal="center"/>
    </xf>
    <xf numFmtId="0" fontId="46" fillId="20" borderId="40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left"/>
    </xf>
    <xf numFmtId="0" fontId="46" fillId="18" borderId="53" xfId="0" applyFont="1" applyFill="1" applyBorder="1" applyAlignment="1">
      <alignment horizontal="left"/>
    </xf>
    <xf numFmtId="0" fontId="46" fillId="18" borderId="0" xfId="0" applyFont="1" applyFill="1" applyBorder="1" applyAlignment="1">
      <alignment horizontal="left"/>
    </xf>
    <xf numFmtId="0" fontId="46" fillId="18" borderId="5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45" xfId="0" applyNumberFormat="1" applyFont="1" applyBorder="1" applyAlignment="1" applyProtection="1" quotePrefix="1">
      <alignment horizontal="center"/>
      <protection/>
    </xf>
    <xf numFmtId="168" fontId="111" fillId="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7" fillId="2" borderId="2" xfId="0" applyNumberFormat="1" applyFont="1" applyFill="1" applyBorder="1" applyAlignment="1" applyProtection="1">
      <alignment horizontal="center"/>
      <protection/>
    </xf>
    <xf numFmtId="2" fontId="45" fillId="19" borderId="2" xfId="0" applyNumberFormat="1" applyFont="1" applyFill="1" applyBorder="1" applyAlignment="1">
      <alignment horizontal="center"/>
    </xf>
    <xf numFmtId="168" fontId="45" fillId="20" borderId="44" xfId="0" applyNumberFormat="1" applyFont="1" applyFill="1" applyBorder="1" applyAlignment="1" applyProtection="1" quotePrefix="1">
      <alignment horizontal="center"/>
      <protection/>
    </xf>
    <xf numFmtId="168" fontId="45" fillId="20" borderId="45" xfId="0" applyNumberFormat="1" applyFont="1" applyFill="1" applyBorder="1" applyAlignment="1" applyProtection="1" quotePrefix="1">
      <alignment horizontal="center"/>
      <protection/>
    </xf>
    <xf numFmtId="168" fontId="45" fillId="18" borderId="53" xfId="0" applyNumberFormat="1" applyFont="1" applyFill="1" applyBorder="1" applyAlignment="1" applyProtection="1" quotePrefix="1">
      <alignment horizontal="center"/>
      <protection/>
    </xf>
    <xf numFmtId="168" fontId="45" fillId="18" borderId="0" xfId="0" applyNumberFormat="1" applyFont="1" applyFill="1" applyBorder="1" applyAlignment="1" applyProtection="1" quotePrefix="1">
      <alignment horizontal="center"/>
      <protection/>
    </xf>
    <xf numFmtId="168" fontId="45" fillId="18" borderId="51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6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164" fontId="7" fillId="0" borderId="46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 quotePrefix="1">
      <alignment horizontal="center"/>
      <protection/>
    </xf>
    <xf numFmtId="168" fontId="111" fillId="2" borderId="3" xfId="0" applyNumberFormat="1" applyFont="1" applyFill="1" applyBorder="1" applyAlignment="1" applyProtection="1">
      <alignment horizontal="center"/>
      <protection/>
    </xf>
    <xf numFmtId="168" fontId="111" fillId="18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4" fontId="37" fillId="2" borderId="3" xfId="0" applyNumberFormat="1" applyFont="1" applyFill="1" applyBorder="1" applyAlignment="1" applyProtection="1">
      <alignment horizontal="center"/>
      <protection/>
    </xf>
    <xf numFmtId="2" fontId="46" fillId="19" borderId="3" xfId="0" applyNumberFormat="1" applyFont="1" applyFill="1" applyBorder="1" applyAlignment="1">
      <alignment horizontal="center"/>
    </xf>
    <xf numFmtId="168" fontId="46" fillId="20" borderId="47" xfId="0" applyNumberFormat="1" applyFont="1" applyFill="1" applyBorder="1" applyAlignment="1" applyProtection="1" quotePrefix="1">
      <alignment horizontal="center"/>
      <protection/>
    </xf>
    <xf numFmtId="168" fontId="46" fillId="20" borderId="48" xfId="0" applyNumberFormat="1" applyFont="1" applyFill="1" applyBorder="1" applyAlignment="1" applyProtection="1" quotePrefix="1">
      <alignment horizontal="center"/>
      <protection/>
    </xf>
    <xf numFmtId="168" fontId="46" fillId="3" borderId="3" xfId="0" applyNumberFormat="1" applyFont="1" applyFill="1" applyBorder="1" applyAlignment="1" applyProtection="1" quotePrefix="1">
      <alignment horizontal="center"/>
      <protection/>
    </xf>
    <xf numFmtId="168" fontId="46" fillId="18" borderId="18" xfId="0" applyNumberFormat="1" applyFont="1" applyFill="1" applyBorder="1" applyAlignment="1" applyProtection="1" quotePrefix="1">
      <alignment horizontal="center"/>
      <protection/>
    </xf>
    <xf numFmtId="168" fontId="46" fillId="18" borderId="23" xfId="0" applyNumberFormat="1" applyFont="1" applyFill="1" applyBorder="1" applyAlignment="1" applyProtection="1" quotePrefix="1">
      <alignment horizontal="center"/>
      <protection/>
    </xf>
    <xf numFmtId="168" fontId="46" fillId="18" borderId="20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4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6" fillId="0" borderId="0" xfId="0" applyNumberFormat="1" applyFont="1" applyBorder="1" applyAlignment="1" applyProtection="1">
      <alignment horizontal="left"/>
      <protection/>
    </xf>
    <xf numFmtId="168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73" fontId="56" fillId="0" borderId="0" xfId="0" applyNumberFormat="1" applyFont="1" applyBorder="1" applyAlignment="1" applyProtection="1" quotePrefix="1">
      <alignment horizontal="center"/>
      <protection/>
    </xf>
    <xf numFmtId="0" fontId="56" fillId="0" borderId="0" xfId="0" applyFont="1" applyAlignment="1">
      <alignment/>
    </xf>
    <xf numFmtId="2" fontId="56" fillId="0" borderId="0" xfId="0" applyNumberFormat="1" applyFont="1" applyBorder="1" applyAlignment="1" applyProtection="1">
      <alignment horizontal="center"/>
      <protection/>
    </xf>
    <xf numFmtId="168" fontId="56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1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13" fillId="0" borderId="0" xfId="0" applyNumberFormat="1" applyFont="1" applyBorder="1" applyAlignment="1" applyProtection="1">
      <alignment horizontal="center"/>
      <protection/>
    </xf>
    <xf numFmtId="168" fontId="109" fillId="0" borderId="0" xfId="0" applyNumberFormat="1" applyFont="1" applyBorder="1" applyAlignment="1" applyProtection="1" quotePrefix="1">
      <alignment horizontal="center"/>
      <protection/>
    </xf>
    <xf numFmtId="4" fontId="109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6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97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14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15" fillId="0" borderId="0" xfId="0" applyNumberFormat="1" applyFont="1" applyBorder="1" applyAlignment="1" applyProtection="1">
      <alignment horizontal="center" vertical="center"/>
      <protection/>
    </xf>
    <xf numFmtId="168" fontId="116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6" fillId="0" borderId="0" xfId="0" applyNumberFormat="1" applyFont="1" applyBorder="1" applyAlignment="1" applyProtection="1">
      <alignment horizontal="center"/>
      <protection/>
    </xf>
    <xf numFmtId="7" fontId="56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6" fillId="0" borderId="29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1" fontId="0" fillId="0" borderId="61" xfId="0" applyNumberFormat="1" applyBorder="1" applyAlignment="1">
      <alignment horizontal="center"/>
    </xf>
    <xf numFmtId="0" fontId="10" fillId="0" borderId="62" xfId="0" applyFont="1" applyBorder="1" applyAlignment="1">
      <alignment horizontal="centerContinuous"/>
    </xf>
    <xf numFmtId="0" fontId="10" fillId="0" borderId="63" xfId="0" applyFont="1" applyBorder="1" applyAlignment="1">
      <alignment horizontal="centerContinuous"/>
    </xf>
    <xf numFmtId="174" fontId="10" fillId="0" borderId="64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Continuous"/>
    </xf>
    <xf numFmtId="0" fontId="10" fillId="0" borderId="66" xfId="0" applyFont="1" applyBorder="1" applyAlignment="1">
      <alignment horizontal="centerContinuous"/>
    </xf>
    <xf numFmtId="174" fontId="10" fillId="0" borderId="67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0" fontId="10" fillId="0" borderId="68" xfId="0" applyFont="1" applyBorder="1" applyAlignment="1">
      <alignment horizontal="centerContinuous"/>
    </xf>
    <xf numFmtId="0" fontId="10" fillId="0" borderId="69" xfId="0" applyFont="1" applyBorder="1" applyAlignment="1">
      <alignment horizontal="centerContinuous"/>
    </xf>
    <xf numFmtId="174" fontId="10" fillId="0" borderId="70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107" fillId="0" borderId="23" xfId="0" applyNumberFormat="1" applyFont="1" applyFill="1" applyBorder="1" applyAlignment="1" applyProtection="1">
      <alignment horizontal="center"/>
      <protection/>
    </xf>
    <xf numFmtId="2" fontId="90" fillId="0" borderId="23" xfId="0" applyNumberFormat="1" applyFont="1" applyFill="1" applyBorder="1" applyAlignment="1" applyProtection="1">
      <alignment horizontal="center"/>
      <protection/>
    </xf>
    <xf numFmtId="2" fontId="110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26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/>
    </xf>
    <xf numFmtId="2" fontId="88" fillId="9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2" fillId="0" borderId="71" xfId="0" applyFont="1" applyBorder="1" applyAlignment="1" applyProtection="1">
      <alignment horizontal="center"/>
      <protection/>
    </xf>
    <xf numFmtId="164" fontId="9" fillId="0" borderId="46" xfId="0" applyNumberFormat="1" applyFont="1" applyBorder="1" applyAlignment="1" applyProtection="1" quotePrefix="1">
      <alignment horizontal="center"/>
      <protection/>
    </xf>
    <xf numFmtId="168" fontId="37" fillId="2" borderId="46" xfId="0" applyNumberFormat="1" applyFont="1" applyFill="1" applyBorder="1" applyAlignment="1" applyProtection="1">
      <alignment horizontal="center"/>
      <protection/>
    </xf>
    <xf numFmtId="22" fontId="7" fillId="0" borderId="47" xfId="0" applyNumberFormat="1" applyFont="1" applyBorder="1" applyAlignment="1">
      <alignment horizontal="center"/>
    </xf>
    <xf numFmtId="22" fontId="7" fillId="0" borderId="46" xfId="0" applyNumberFormat="1" applyFont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 quotePrefix="1">
      <alignment horizontal="center"/>
      <protection/>
    </xf>
    <xf numFmtId="164" fontId="7" fillId="0" borderId="46" xfId="0" applyNumberFormat="1" applyFont="1" applyFill="1" applyBorder="1" applyAlignment="1" applyProtection="1" quotePrefix="1">
      <alignment horizontal="center"/>
      <protection/>
    </xf>
    <xf numFmtId="168" fontId="7" fillId="0" borderId="72" xfId="0" applyNumberFormat="1" applyFont="1" applyBorder="1" applyAlignment="1" applyProtection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4" fontId="46" fillId="4" borderId="46" xfId="0" applyNumberFormat="1" applyFont="1" applyFill="1" applyBorder="1" applyAlignment="1" applyProtection="1">
      <alignment horizontal="center"/>
      <protection/>
    </xf>
    <xf numFmtId="2" fontId="88" fillId="9" borderId="46" xfId="0" applyNumberFormat="1" applyFont="1" applyFill="1" applyBorder="1" applyAlignment="1">
      <alignment horizontal="center"/>
    </xf>
    <xf numFmtId="168" fontId="68" fillId="6" borderId="47" xfId="0" applyNumberFormat="1" applyFont="1" applyFill="1" applyBorder="1" applyAlignment="1" applyProtection="1" quotePrefix="1">
      <alignment horizontal="center"/>
      <protection/>
    </xf>
    <xf numFmtId="168" fontId="68" fillId="6" borderId="48" xfId="0" applyNumberFormat="1" applyFont="1" applyFill="1" applyBorder="1" applyAlignment="1" applyProtection="1" quotePrefix="1">
      <alignment horizontal="center"/>
      <protection/>
    </xf>
    <xf numFmtId="168" fontId="45" fillId="3" borderId="46" xfId="0" applyNumberFormat="1" applyFont="1" applyFill="1" applyBorder="1" applyAlignment="1" applyProtection="1" quotePrefix="1">
      <alignment horizontal="center"/>
      <protection/>
    </xf>
    <xf numFmtId="168" fontId="7" fillId="0" borderId="46" xfId="0" applyNumberFormat="1" applyFont="1" applyBorder="1" applyAlignment="1">
      <alignment horizontal="center"/>
    </xf>
    <xf numFmtId="4" fontId="29" fillId="0" borderId="46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Border="1" applyAlignment="1" applyProtection="1">
      <alignment horizontal="center"/>
      <protection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98" fillId="21" borderId="14" xfId="0" applyNumberFormat="1" applyFont="1" applyFill="1" applyBorder="1" applyAlignment="1" applyProtection="1">
      <alignment horizontal="center" vertical="center"/>
      <protection/>
    </xf>
    <xf numFmtId="0" fontId="62" fillId="4" borderId="14" xfId="0" applyFont="1" applyFill="1" applyBorder="1" applyAlignment="1" applyProtection="1">
      <alignment horizontal="center" vertical="center"/>
      <protection/>
    </xf>
    <xf numFmtId="0" fontId="66" fillId="6" borderId="14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Continuous" vertical="center" wrapText="1"/>
    </xf>
    <xf numFmtId="0" fontId="117" fillId="22" borderId="15" xfId="0" applyFont="1" applyFill="1" applyBorder="1" applyAlignment="1">
      <alignment horizontal="centerContinuous"/>
    </xf>
    <xf numFmtId="0" fontId="50" fillId="22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99" fillId="21" borderId="2" xfId="0" applyFont="1" applyFill="1" applyBorder="1" applyAlignment="1">
      <alignment/>
    </xf>
    <xf numFmtId="0" fontId="63" fillId="4" borderId="2" xfId="0" applyFont="1" applyFill="1" applyBorder="1" applyAlignment="1">
      <alignment/>
    </xf>
    <xf numFmtId="0" fontId="118" fillId="3" borderId="2" xfId="0" applyFont="1" applyFill="1" applyBorder="1" applyAlignment="1">
      <alignment/>
    </xf>
    <xf numFmtId="0" fontId="67" fillId="6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7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19" fillId="22" borderId="22" xfId="0" applyNumberFormat="1" applyFont="1" applyFill="1" applyBorder="1" applyAlignment="1" applyProtection="1" quotePrefix="1">
      <alignment horizontal="center"/>
      <protection/>
    </xf>
    <xf numFmtId="168" fontId="119" fillId="22" borderId="27" xfId="0" applyNumberFormat="1" applyFont="1" applyFill="1" applyBorder="1" applyAlignment="1" applyProtection="1" quotePrefix="1">
      <alignment horizontal="center"/>
      <protection/>
    </xf>
    <xf numFmtId="4" fontId="119" fillId="22" borderId="4" xfId="0" applyNumberFormat="1" applyFont="1" applyFill="1" applyBorder="1" applyAlignment="1" applyProtection="1">
      <alignment horizontal="center"/>
      <protection/>
    </xf>
    <xf numFmtId="0" fontId="99" fillId="21" borderId="2" xfId="0" applyFont="1" applyFill="1" applyBorder="1" applyAlignment="1" applyProtection="1">
      <alignment horizontal="center"/>
      <protection/>
    </xf>
    <xf numFmtId="174" fontId="63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8" xfId="0" applyNumberFormat="1" applyFont="1" applyFill="1" applyBorder="1" applyAlignment="1" applyProtection="1">
      <alignment horizontal="center"/>
      <protection locked="0"/>
    </xf>
    <xf numFmtId="2" fontId="48" fillId="3" borderId="2" xfId="0" applyNumberFormat="1" applyFont="1" applyFill="1" applyBorder="1" applyAlignment="1" applyProtection="1">
      <alignment horizontal="center"/>
      <protection locked="0"/>
    </xf>
    <xf numFmtId="2" fontId="68" fillId="6" borderId="4" xfId="0" applyNumberFormat="1" applyFont="1" applyFill="1" applyBorder="1" applyAlignment="1" applyProtection="1">
      <alignment horizontal="center"/>
      <protection locked="0"/>
    </xf>
    <xf numFmtId="168" fontId="51" fillId="22" borderId="22" xfId="0" applyNumberFormat="1" applyFont="1" applyFill="1" applyBorder="1" applyAlignment="1" applyProtection="1" quotePrefix="1">
      <alignment horizontal="center"/>
      <protection locked="0"/>
    </xf>
    <xf numFmtId="168" fontId="51" fillId="22" borderId="27" xfId="0" applyNumberFormat="1" applyFont="1" applyFill="1" applyBorder="1" applyAlignment="1" applyProtection="1" quotePrefix="1">
      <alignment horizontal="center"/>
      <protection locked="0"/>
    </xf>
    <xf numFmtId="4" fontId="51" fillId="22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4" applyFont="1" applyFill="1" applyBorder="1" applyAlignment="1" applyProtection="1">
      <alignment horizontal="center"/>
      <protection locked="0"/>
    </xf>
    <xf numFmtId="164" fontId="7" fillId="0" borderId="2" xfId="24" applyNumberFormat="1" applyFont="1" applyFill="1" applyBorder="1" applyAlignment="1" applyProtection="1">
      <alignment horizontal="center"/>
      <protection locked="0"/>
    </xf>
    <xf numFmtId="22" fontId="7" fillId="0" borderId="4" xfId="24" applyNumberFormat="1" applyFont="1" applyFill="1" applyBorder="1" applyAlignment="1" applyProtection="1">
      <alignment horizontal="center"/>
      <protection locked="0"/>
    </xf>
    <xf numFmtId="22" fontId="7" fillId="0" borderId="21" xfId="24" applyNumberFormat="1" applyFont="1" applyFill="1" applyBorder="1" applyAlignment="1" applyProtection="1">
      <alignment horizontal="center"/>
      <protection locked="0"/>
    </xf>
    <xf numFmtId="0" fontId="99" fillId="21" borderId="3" xfId="0" applyFont="1" applyFill="1" applyBorder="1" applyAlignment="1" applyProtection="1">
      <alignment horizontal="center"/>
      <protection/>
    </xf>
    <xf numFmtId="174" fontId="63" fillId="4" borderId="3" xfId="0" applyNumberFormat="1" applyFont="1" applyFill="1" applyBorder="1" applyAlignment="1" applyProtection="1">
      <alignment horizontal="center"/>
      <protection/>
    </xf>
    <xf numFmtId="2" fontId="118" fillId="3" borderId="3" xfId="0" applyNumberFormat="1" applyFont="1" applyFill="1" applyBorder="1" applyAlignment="1" applyProtection="1">
      <alignment horizontal="center"/>
      <protection locked="0"/>
    </xf>
    <xf numFmtId="2" fontId="68" fillId="6" borderId="3" xfId="0" applyNumberFormat="1" applyFont="1" applyFill="1" applyBorder="1" applyAlignment="1" applyProtection="1">
      <alignment horizontal="center"/>
      <protection locked="0"/>
    </xf>
    <xf numFmtId="168" fontId="51" fillId="22" borderId="30" xfId="0" applyNumberFormat="1" applyFont="1" applyFill="1" applyBorder="1" applyAlignment="1" applyProtection="1" quotePrefix="1">
      <alignment horizontal="center"/>
      <protection locked="0"/>
    </xf>
    <xf numFmtId="168" fontId="51" fillId="22" borderId="31" xfId="0" applyNumberFormat="1" applyFont="1" applyFill="1" applyBorder="1" applyAlignment="1" applyProtection="1" quotePrefix="1">
      <alignment horizontal="center"/>
      <protection locked="0"/>
    </xf>
    <xf numFmtId="4" fontId="51" fillId="22" borderId="32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8" fillId="3" borderId="14" xfId="0" applyNumberFormat="1" applyFont="1" applyFill="1" applyBorder="1" applyAlignment="1" applyProtection="1">
      <alignment horizontal="center"/>
      <protection/>
    </xf>
    <xf numFmtId="2" fontId="68" fillId="6" borderId="14" xfId="0" applyNumberFormat="1" applyFont="1" applyFill="1" applyBorder="1" applyAlignment="1" applyProtection="1">
      <alignment horizontal="center"/>
      <protection/>
    </xf>
    <xf numFmtId="2" fontId="38" fillId="2" borderId="14" xfId="0" applyNumberFormat="1" applyFont="1" applyFill="1" applyBorder="1" applyAlignment="1" applyProtection="1">
      <alignment horizontal="center"/>
      <protection/>
    </xf>
    <xf numFmtId="2" fontId="51" fillId="22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9" fillId="0" borderId="17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118" fillId="0" borderId="17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19" fillId="0" borderId="24" xfId="0" applyFont="1" applyFill="1" applyBorder="1" applyAlignment="1">
      <alignment/>
    </xf>
    <xf numFmtId="0" fontId="119" fillId="0" borderId="73" xfId="0" applyFont="1" applyFill="1" applyBorder="1" applyAlignment="1">
      <alignment/>
    </xf>
    <xf numFmtId="0" fontId="119" fillId="0" borderId="40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4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70" fontId="7" fillId="0" borderId="17" xfId="0" applyNumberFormat="1" applyFont="1" applyBorder="1" applyAlignment="1">
      <alignment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1" fontId="7" fillId="0" borderId="45" xfId="0" applyNumberFormat="1" applyFont="1" applyBorder="1" applyAlignment="1" applyProtection="1">
      <alignment horizontal="center"/>
      <protection locked="0"/>
    </xf>
    <xf numFmtId="0" fontId="120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96" fillId="0" borderId="0" xfId="0" applyFont="1" applyAlignment="1">
      <alignment/>
    </xf>
    <xf numFmtId="0" fontId="121" fillId="0" borderId="0" xfId="0" applyFont="1" applyAlignment="1">
      <alignment horizontal="centerContinuous"/>
    </xf>
    <xf numFmtId="0" fontId="96" fillId="0" borderId="0" xfId="0" applyFont="1" applyAlignment="1">
      <alignment/>
    </xf>
    <xf numFmtId="0" fontId="22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2" fillId="0" borderId="7" xfId="0" applyFont="1" applyBorder="1" applyAlignment="1">
      <alignment vertical="center"/>
    </xf>
    <xf numFmtId="0" fontId="122" fillId="0" borderId="21" xfId="0" applyFont="1" applyBorder="1" applyAlignment="1">
      <alignment vertical="center"/>
    </xf>
    <xf numFmtId="0" fontId="122" fillId="0" borderId="2" xfId="0" applyFont="1" applyBorder="1" applyAlignment="1">
      <alignment vertical="center"/>
    </xf>
    <xf numFmtId="0" fontId="122" fillId="23" borderId="2" xfId="0" applyFont="1" applyFill="1" applyBorder="1" applyAlignment="1">
      <alignment vertical="center"/>
    </xf>
    <xf numFmtId="0" fontId="122" fillId="0" borderId="1" xfId="0" applyFont="1" applyBorder="1" applyAlignment="1">
      <alignment vertical="center"/>
    </xf>
    <xf numFmtId="0" fontId="122" fillId="1" borderId="22" xfId="0" applyFont="1" applyFill="1" applyBorder="1" applyAlignment="1">
      <alignment horizontal="center" vertical="center"/>
    </xf>
    <xf numFmtId="0" fontId="122" fillId="1" borderId="2" xfId="0" applyFont="1" applyFill="1" applyBorder="1" applyAlignment="1">
      <alignment horizontal="center" vertical="center"/>
    </xf>
    <xf numFmtId="0" fontId="122" fillId="23" borderId="19" xfId="0" applyFont="1" applyFill="1" applyBorder="1" applyAlignment="1">
      <alignment horizontal="center" vertical="center"/>
    </xf>
    <xf numFmtId="0" fontId="122" fillId="0" borderId="44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1" borderId="44" xfId="0" applyFont="1" applyFill="1" applyBorder="1" applyAlignment="1">
      <alignment horizontal="center" vertical="center"/>
    </xf>
    <xf numFmtId="0" fontId="122" fillId="1" borderId="19" xfId="0" applyFont="1" applyFill="1" applyBorder="1" applyAlignment="1">
      <alignment horizontal="center" vertical="center"/>
    </xf>
    <xf numFmtId="0" fontId="122" fillId="0" borderId="47" xfId="0" applyFont="1" applyBorder="1" applyAlignment="1">
      <alignment horizontal="center" vertical="center"/>
    </xf>
    <xf numFmtId="0" fontId="122" fillId="0" borderId="46" xfId="0" applyFont="1" applyBorder="1" applyAlignment="1">
      <alignment horizontal="center" vertical="center"/>
    </xf>
    <xf numFmtId="0" fontId="122" fillId="23" borderId="46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right" vertical="center"/>
    </xf>
    <xf numFmtId="170" fontId="123" fillId="0" borderId="14" xfId="0" applyNumberFormat="1" applyFont="1" applyFill="1" applyBorder="1" applyAlignment="1">
      <alignment horizontal="center" vertical="center"/>
    </xf>
    <xf numFmtId="0" fontId="122" fillId="0" borderId="8" xfId="0" applyFont="1" applyFill="1" applyBorder="1" applyAlignment="1">
      <alignment horizontal="center" vertical="center"/>
    </xf>
    <xf numFmtId="0" fontId="122" fillId="0" borderId="15" xfId="0" applyFont="1" applyFill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2" fillId="0" borderId="0" xfId="0" applyFont="1" applyBorder="1" applyAlignment="1">
      <alignment horizontal="right" vertical="center"/>
    </xf>
    <xf numFmtId="0" fontId="123" fillId="0" borderId="0" xfId="0" applyFont="1" applyBorder="1" applyAlignment="1">
      <alignment horizontal="right" vertical="center"/>
    </xf>
    <xf numFmtId="0" fontId="122" fillId="0" borderId="14" xfId="0" applyFont="1" applyBorder="1" applyAlignment="1">
      <alignment horizontal="center" vertical="center"/>
    </xf>
    <xf numFmtId="2" fontId="123" fillId="23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4" fillId="23" borderId="61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10" fontId="15" fillId="0" borderId="0" xfId="0" applyNumberFormat="1" applyFont="1" applyFill="1" applyAlignment="1">
      <alignment/>
    </xf>
    <xf numFmtId="10" fontId="16" fillId="0" borderId="0" xfId="0" applyNumberFormat="1" applyFont="1" applyFill="1" applyAlignment="1">
      <alignment horizontal="centerContinuous"/>
    </xf>
    <xf numFmtId="10" fontId="7" fillId="0" borderId="0" xfId="0" applyNumberFormat="1" applyFont="1" applyFill="1" applyAlignment="1">
      <alignment/>
    </xf>
    <xf numFmtId="10" fontId="18" fillId="0" borderId="0" xfId="0" applyNumberFormat="1" applyFont="1" applyFill="1" applyAlignment="1">
      <alignment/>
    </xf>
    <xf numFmtId="10" fontId="7" fillId="0" borderId="5" xfId="0" applyNumberFormat="1" applyFont="1" applyFill="1" applyBorder="1" applyAlignment="1">
      <alignment/>
    </xf>
    <xf numFmtId="10" fontId="20" fillId="0" borderId="0" xfId="0" applyNumberFormat="1" applyFont="1" applyFill="1" applyAlignment="1">
      <alignment/>
    </xf>
    <xf numFmtId="10" fontId="24" fillId="0" borderId="0" xfId="0" applyNumberFormat="1" applyFont="1" applyFill="1" applyAlignment="1">
      <alignment horizontal="centerContinuous"/>
    </xf>
    <xf numFmtId="10" fontId="7" fillId="0" borderId="0" xfId="0" applyNumberFormat="1" applyFont="1" applyFill="1" applyBorder="1" applyAlignment="1">
      <alignment/>
    </xf>
    <xf numFmtId="10" fontId="27" fillId="0" borderId="8" xfId="0" applyNumberFormat="1" applyFont="1" applyBorder="1" applyAlignment="1" applyProtection="1">
      <alignment horizontal="center" vertical="center" wrapText="1"/>
      <protection/>
    </xf>
    <xf numFmtId="10" fontId="7" fillId="0" borderId="17" xfId="0" applyNumberFormat="1" applyFont="1" applyBorder="1" applyAlignment="1">
      <alignment/>
    </xf>
    <xf numFmtId="10" fontId="7" fillId="0" borderId="4" xfId="0" applyNumberFormat="1" applyFont="1" applyBorder="1" applyAlignment="1" applyProtection="1" quotePrefix="1">
      <alignment horizontal="center"/>
      <protection locked="0"/>
    </xf>
    <xf numFmtId="10" fontId="7" fillId="0" borderId="3" xfId="0" applyNumberFormat="1" applyFont="1" applyBorder="1" applyAlignment="1" applyProtection="1" quotePrefix="1">
      <alignment horizontal="center"/>
      <protection locked="0"/>
    </xf>
    <xf numFmtId="10" fontId="32" fillId="0" borderId="0" xfId="0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7" fontId="18" fillId="0" borderId="0" xfId="0" applyNumberFormat="1" applyFont="1" applyBorder="1" applyAlignment="1" applyProtection="1">
      <alignment horizontal="left"/>
      <protection/>
    </xf>
    <xf numFmtId="173" fontId="7" fillId="0" borderId="4" xfId="0" applyNumberFormat="1" applyFont="1" applyBorder="1" applyAlignment="1" applyProtection="1">
      <alignment horizontal="center"/>
      <protection locked="0"/>
    </xf>
    <xf numFmtId="168" fontId="69" fillId="0" borderId="0" xfId="0" applyNumberFormat="1" applyFont="1" applyFill="1" applyBorder="1" applyAlignment="1">
      <alignment horizontal="center"/>
    </xf>
    <xf numFmtId="0" fontId="7" fillId="0" borderId="74" xfId="0" applyFont="1" applyBorder="1" applyAlignment="1">
      <alignment horizontal="right"/>
    </xf>
    <xf numFmtId="2" fontId="7" fillId="0" borderId="74" xfId="0" applyNumberFormat="1" applyFont="1" applyFill="1" applyBorder="1" applyAlignment="1" applyProtection="1" quotePrefix="1">
      <alignment horizontal="right"/>
      <protection/>
    </xf>
    <xf numFmtId="223" fontId="125" fillId="0" borderId="0" xfId="0" applyNumberFormat="1" applyFont="1" applyAlignment="1">
      <alignment/>
    </xf>
    <xf numFmtId="7" fontId="25" fillId="0" borderId="14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122" fillId="0" borderId="55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7" fontId="10" fillId="0" borderId="0" xfId="0" applyNumberFormat="1" applyFont="1" applyFill="1" applyBorder="1" applyAlignment="1">
      <alignment horizontal="center"/>
    </xf>
    <xf numFmtId="0" fontId="12" fillId="0" borderId="71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7" fontId="10" fillId="0" borderId="29" xfId="0" applyNumberFormat="1" applyFont="1" applyFill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Normal_líneas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66675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FE15">
            <v>38961</v>
          </cell>
          <cell r="FF15">
            <v>38991</v>
          </cell>
          <cell r="FG15">
            <v>39022</v>
          </cell>
          <cell r="FH15">
            <v>39052</v>
          </cell>
          <cell r="FI15">
            <v>39083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FE17">
            <v>1</v>
          </cell>
          <cell r="FK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FE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FL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E24">
            <v>1</v>
          </cell>
          <cell r="FP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K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  <cell r="FL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FM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FM44">
            <v>1</v>
          </cell>
          <cell r="FO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F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E46" t="str">
            <v>XXXX</v>
          </cell>
          <cell r="FF46" t="str">
            <v>XXXX</v>
          </cell>
          <cell r="FG46" t="str">
            <v>XXXX</v>
          </cell>
          <cell r="FH46" t="str">
            <v>XXXX</v>
          </cell>
          <cell r="FI46" t="str">
            <v>XXXX</v>
          </cell>
          <cell r="FJ46" t="str">
            <v>XXXX</v>
          </cell>
          <cell r="FK46" t="str">
            <v>XXXX</v>
          </cell>
          <cell r="FL46" t="str">
            <v>XXXX</v>
          </cell>
          <cell r="FM46" t="str">
            <v>XXXX</v>
          </cell>
          <cell r="FN46" t="str">
            <v>XXXX</v>
          </cell>
          <cell r="FO46" t="str">
            <v>XXXX</v>
          </cell>
          <cell r="FP46" t="str">
            <v>XXXX</v>
          </cell>
          <cell r="FQ46" t="str">
            <v>XXXX</v>
          </cell>
          <cell r="FR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FG47">
            <v>1</v>
          </cell>
          <cell r="FR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G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FO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R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E54" t="str">
            <v>XXXX</v>
          </cell>
          <cell r="FF54" t="str">
            <v>XXXX</v>
          </cell>
          <cell r="FG54" t="str">
            <v>XXXX</v>
          </cell>
          <cell r="FH54" t="str">
            <v>XXXX</v>
          </cell>
          <cell r="FI54" t="str">
            <v>XXXX</v>
          </cell>
          <cell r="FJ54" t="str">
            <v>XXXX</v>
          </cell>
          <cell r="FK54" t="str">
            <v>XXXX</v>
          </cell>
          <cell r="FL54" t="str">
            <v>XXXX</v>
          </cell>
          <cell r="FM54" t="str">
            <v>XXXX</v>
          </cell>
          <cell r="FN54" t="str">
            <v>XXXX</v>
          </cell>
          <cell r="FO54" t="str">
            <v>XXXX</v>
          </cell>
          <cell r="FP54" t="str">
            <v>XXXX</v>
          </cell>
          <cell r="FQ54" t="str">
            <v>XXXX</v>
          </cell>
          <cell r="FR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FP55">
            <v>2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E57" t="str">
            <v>XXXX</v>
          </cell>
          <cell r="FF57" t="str">
            <v>XXXX</v>
          </cell>
          <cell r="FG57" t="str">
            <v>XXXX</v>
          </cell>
          <cell r="FH57" t="str">
            <v>XXXX</v>
          </cell>
          <cell r="FI57" t="str">
            <v>XXXX</v>
          </cell>
          <cell r="FJ57" t="str">
            <v>XXXX</v>
          </cell>
          <cell r="FK57" t="str">
            <v>XXXX</v>
          </cell>
          <cell r="FL57" t="str">
            <v>XXXX</v>
          </cell>
          <cell r="FM57" t="str">
            <v>XXXX</v>
          </cell>
          <cell r="FN57" t="str">
            <v>XXXX</v>
          </cell>
          <cell r="FO57" t="str">
            <v>XXXX</v>
          </cell>
          <cell r="FP57" t="str">
            <v>XXXX</v>
          </cell>
          <cell r="FQ57" t="str">
            <v>XXXX</v>
          </cell>
          <cell r="FR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FG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FF62">
            <v>1</v>
          </cell>
          <cell r="FG62">
            <v>2</v>
          </cell>
          <cell r="FI62">
            <v>1</v>
          </cell>
          <cell r="FM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FO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K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FM68">
            <v>1</v>
          </cell>
          <cell r="FR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FH69">
            <v>1</v>
          </cell>
          <cell r="FI69">
            <v>1</v>
          </cell>
          <cell r="FO69">
            <v>2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N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FH71">
            <v>1</v>
          </cell>
          <cell r="FR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FH72">
            <v>1</v>
          </cell>
          <cell r="FL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FH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FH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FK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E87" t="str">
            <v>XXXX</v>
          </cell>
          <cell r="FF87" t="str">
            <v>XXXX</v>
          </cell>
          <cell r="FG87" t="str">
            <v>XXXX</v>
          </cell>
          <cell r="FH87" t="str">
            <v>XXXX</v>
          </cell>
          <cell r="FI87" t="str">
            <v>XXXX</v>
          </cell>
          <cell r="FJ87" t="str">
            <v>XXXX</v>
          </cell>
          <cell r="FK87" t="str">
            <v>XXXX</v>
          </cell>
          <cell r="FL87" t="str">
            <v>XXXX</v>
          </cell>
          <cell r="FM87" t="str">
            <v>XXXX</v>
          </cell>
          <cell r="FN87" t="str">
            <v>XXXX</v>
          </cell>
          <cell r="FO87" t="str">
            <v>XXXX</v>
          </cell>
          <cell r="FP87" t="str">
            <v>XXXX</v>
          </cell>
          <cell r="FQ87" t="str">
            <v>XXXX</v>
          </cell>
          <cell r="FR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E100">
            <v>0.43</v>
          </cell>
          <cell r="FF100">
            <v>0.46</v>
          </cell>
          <cell r="FG100">
            <v>0.41</v>
          </cell>
          <cell r="FH100">
            <v>0.44</v>
          </cell>
          <cell r="FI100">
            <v>0.46</v>
          </cell>
          <cell r="FJ100">
            <v>0.44</v>
          </cell>
          <cell r="FK100">
            <v>0.38</v>
          </cell>
          <cell r="FL100">
            <v>0.37</v>
          </cell>
          <cell r="FM100">
            <v>0.38</v>
          </cell>
          <cell r="FN100">
            <v>0.38</v>
          </cell>
          <cell r="FO100">
            <v>0.35</v>
          </cell>
          <cell r="FP100">
            <v>0.37</v>
          </cell>
          <cell r="FQ100">
            <v>0.38</v>
          </cell>
          <cell r="FR100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5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7.57421875" style="5" customWidth="1"/>
    <col min="10" max="10" width="29.7109375" style="5" bestFit="1" customWidth="1"/>
    <col min="11" max="11" width="12.28125" style="5" customWidth="1"/>
    <col min="12" max="12" width="15.7109375" style="5" customWidth="1"/>
    <col min="13" max="14" width="11.421875" style="5" customWidth="1"/>
    <col min="15" max="15" width="14.140625" style="5" customWidth="1"/>
    <col min="16" max="16" width="11.421875" style="5" customWidth="1"/>
    <col min="17" max="17" width="14.7109375" style="5" customWidth="1"/>
    <col min="18" max="18" width="11.421875" style="5" customWidth="1"/>
    <col min="19" max="19" width="12.00390625" style="5" customWidth="1"/>
    <col min="20" max="16384" width="11.421875" style="5" customWidth="1"/>
  </cols>
  <sheetData>
    <row r="1" spans="1:12" s="18" customFormat="1" ht="26.25">
      <c r="A1" s="982"/>
      <c r="B1" s="19"/>
      <c r="E1" s="54"/>
      <c r="L1" s="156"/>
    </row>
    <row r="2" spans="2:11" s="18" customFormat="1" ht="26.25">
      <c r="B2" s="19" t="s">
        <v>306</v>
      </c>
      <c r="C2" s="20"/>
      <c r="D2" s="21"/>
      <c r="E2" s="21"/>
      <c r="F2" s="21"/>
      <c r="G2" s="21"/>
      <c r="H2" s="21"/>
      <c r="I2" s="21"/>
      <c r="J2" s="21"/>
      <c r="K2" s="21"/>
    </row>
    <row r="3" spans="3:20" ht="12.75">
      <c r="C3"/>
      <c r="D3" s="22"/>
      <c r="E3" s="22"/>
      <c r="F3" s="22"/>
      <c r="G3" s="22"/>
      <c r="H3" s="22"/>
      <c r="I3" s="22"/>
      <c r="J3" s="22"/>
      <c r="K3" s="22"/>
      <c r="Q3" s="4"/>
      <c r="R3" s="4"/>
      <c r="S3" s="4"/>
      <c r="T3" s="4"/>
    </row>
    <row r="4" spans="1:20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2:20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2:20" s="29" customFormat="1" ht="21">
      <c r="B7" s="83" t="s">
        <v>53</v>
      </c>
      <c r="C7" s="185"/>
      <c r="D7" s="186"/>
      <c r="E7" s="186"/>
      <c r="F7" s="187"/>
      <c r="G7" s="187"/>
      <c r="H7" s="187"/>
      <c r="I7" s="187"/>
      <c r="J7" s="187"/>
      <c r="K7" s="187"/>
      <c r="L7" s="30"/>
      <c r="M7" s="30"/>
      <c r="N7" s="30"/>
      <c r="O7" s="30"/>
      <c r="P7" s="30"/>
      <c r="Q7" s="30"/>
      <c r="R7" s="30"/>
      <c r="S7" s="30"/>
      <c r="T7" s="30"/>
    </row>
    <row r="8" spans="9:20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s="29" customFormat="1" ht="21">
      <c r="B9" s="83" t="s">
        <v>52</v>
      </c>
      <c r="C9" s="185"/>
      <c r="D9" s="186"/>
      <c r="E9" s="186"/>
      <c r="F9" s="186"/>
      <c r="G9" s="186"/>
      <c r="H9" s="186"/>
      <c r="I9" s="187"/>
      <c r="J9" s="187"/>
      <c r="K9" s="187"/>
      <c r="L9" s="30"/>
      <c r="M9" s="30"/>
      <c r="N9" s="30"/>
      <c r="O9" s="30"/>
      <c r="P9" s="30"/>
      <c r="Q9" s="30"/>
      <c r="R9" s="30"/>
      <c r="S9" s="30"/>
      <c r="T9" s="30"/>
    </row>
    <row r="10" spans="4:20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s="29" customFormat="1" ht="20.25">
      <c r="B11" s="83" t="s">
        <v>285</v>
      </c>
      <c r="C11" s="188"/>
      <c r="D11" s="189"/>
      <c r="E11" s="189"/>
      <c r="F11" s="186"/>
      <c r="G11" s="186"/>
      <c r="H11" s="186"/>
      <c r="I11" s="187"/>
      <c r="J11" s="187"/>
      <c r="K11" s="187"/>
      <c r="L11" s="30"/>
      <c r="M11" s="30"/>
      <c r="N11" s="30"/>
      <c r="O11" s="30"/>
      <c r="P11" s="30"/>
      <c r="Q11" s="30"/>
      <c r="R11" s="30"/>
      <c r="S11" s="30"/>
      <c r="T11" s="30"/>
    </row>
    <row r="12" spans="4:20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2:20" s="32" customFormat="1" ht="16.5" thickTop="1">
      <c r="B13" s="962"/>
      <c r="C13" s="34"/>
      <c r="D13" s="34"/>
      <c r="E13" s="963"/>
      <c r="F13" s="34"/>
      <c r="G13" s="34"/>
      <c r="H13" s="34"/>
      <c r="I13" s="34"/>
      <c r="J13" s="34"/>
      <c r="K13" s="35"/>
      <c r="L13" s="33"/>
      <c r="M13" s="33"/>
      <c r="N13" s="33"/>
      <c r="O13" s="33"/>
      <c r="P13" s="33"/>
      <c r="Q13" s="33"/>
      <c r="R13" s="33"/>
      <c r="S13" s="33"/>
      <c r="T13" s="33"/>
    </row>
    <row r="14" spans="2:20" s="36" customFormat="1" ht="19.5">
      <c r="B14" s="37" t="s">
        <v>184</v>
      </c>
      <c r="C14" s="38"/>
      <c r="D14" s="39"/>
      <c r="E14" s="964"/>
      <c r="F14" s="40"/>
      <c r="G14" s="40"/>
      <c r="H14" s="40"/>
      <c r="I14" s="41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3"/>
    </row>
    <row r="15" spans="2:20" s="36" customFormat="1" ht="13.5" customHeight="1">
      <c r="B15" s="44"/>
      <c r="C15" s="45"/>
      <c r="D15" s="179"/>
      <c r="E15" s="183"/>
      <c r="F15" s="46"/>
      <c r="G15" s="46"/>
      <c r="H15" s="46"/>
      <c r="I15" s="43"/>
      <c r="J15" s="43"/>
      <c r="K15" s="47"/>
      <c r="L15" s="43"/>
      <c r="M15" s="43"/>
      <c r="N15" s="43"/>
      <c r="O15" s="43"/>
      <c r="P15" s="43"/>
      <c r="Q15" s="43"/>
      <c r="R15" s="43"/>
      <c r="S15" s="43"/>
      <c r="T15" s="43"/>
    </row>
    <row r="16" spans="2:20" s="36" customFormat="1" ht="19.5">
      <c r="B16" s="44"/>
      <c r="C16" s="48" t="s">
        <v>4</v>
      </c>
      <c r="D16" s="179" t="s">
        <v>0</v>
      </c>
      <c r="E16" s="183"/>
      <c r="F16" s="46"/>
      <c r="G16" s="46"/>
      <c r="H16" s="46"/>
      <c r="I16" s="49"/>
      <c r="J16" s="49" t="s">
        <v>305</v>
      </c>
      <c r="K16" s="47"/>
      <c r="L16" s="43"/>
      <c r="M16" s="43"/>
      <c r="N16" s="43"/>
      <c r="O16" s="43"/>
      <c r="P16" s="43"/>
      <c r="Q16" s="43"/>
      <c r="R16" s="43"/>
      <c r="S16" s="43"/>
      <c r="T16" s="43"/>
    </row>
    <row r="17" spans="2:20" s="36" customFormat="1" ht="19.5">
      <c r="B17" s="44"/>
      <c r="C17" s="48"/>
      <c r="D17" s="179">
        <v>11</v>
      </c>
      <c r="E17" s="180" t="s">
        <v>5</v>
      </c>
      <c r="F17" s="46"/>
      <c r="G17" s="46"/>
      <c r="H17" s="46"/>
      <c r="I17" s="49">
        <f>'LI-10 (1)'!AC43</f>
        <v>180224.51</v>
      </c>
      <c r="J17" s="49">
        <f>'LI-10 (1)'!AD43</f>
        <v>38797.01872996766</v>
      </c>
      <c r="K17" s="47"/>
      <c r="L17" s="43"/>
      <c r="M17" s="43"/>
      <c r="N17" s="43"/>
      <c r="O17" s="43"/>
      <c r="P17" s="43"/>
      <c r="Q17" s="43"/>
      <c r="R17" s="43"/>
      <c r="S17" s="43"/>
      <c r="T17" s="43"/>
    </row>
    <row r="18" spans="2:20" s="36" customFormat="1" ht="19.5">
      <c r="B18" s="44"/>
      <c r="C18" s="48"/>
      <c r="D18" s="179">
        <v>13</v>
      </c>
      <c r="E18" s="180" t="s">
        <v>54</v>
      </c>
      <c r="F18" s="46"/>
      <c r="G18" s="46"/>
      <c r="H18" s="46"/>
      <c r="I18" s="49">
        <f>'LI-LITSA-10 (1)'!AD43</f>
        <v>20782.3</v>
      </c>
      <c r="J18" s="49">
        <f>I18</f>
        <v>20782.3</v>
      </c>
      <c r="K18" s="47"/>
      <c r="L18" s="43"/>
      <c r="M18" s="43"/>
      <c r="N18" s="43"/>
      <c r="O18" s="43"/>
      <c r="P18" s="43"/>
      <c r="Q18" s="43"/>
      <c r="R18" s="43"/>
      <c r="S18" s="43"/>
      <c r="T18" s="43"/>
    </row>
    <row r="19" spans="2:20" s="36" customFormat="1" ht="19.5">
      <c r="B19" s="44"/>
      <c r="C19" s="48"/>
      <c r="D19" s="179">
        <v>14</v>
      </c>
      <c r="E19" s="180" t="s">
        <v>164</v>
      </c>
      <c r="F19" s="46"/>
      <c r="G19" s="46"/>
      <c r="H19" s="46"/>
      <c r="I19" s="49">
        <f>'LI-IV-10 (1)'!AC43</f>
        <v>81410.97</v>
      </c>
      <c r="J19" s="49">
        <f>I19</f>
        <v>81410.97</v>
      </c>
      <c r="K19" s="47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 customHeight="1">
      <c r="B20" s="50"/>
      <c r="C20" s="51"/>
      <c r="D20" s="179"/>
      <c r="E20" s="965"/>
      <c r="F20" s="52"/>
      <c r="G20" s="52"/>
      <c r="H20" s="52"/>
      <c r="I20" s="53"/>
      <c r="J20" s="53"/>
      <c r="K20" s="6"/>
      <c r="L20" s="4"/>
      <c r="M20" s="4"/>
      <c r="N20" s="4"/>
      <c r="O20" s="4"/>
      <c r="P20" s="4"/>
      <c r="Q20" s="4"/>
      <c r="R20" s="4"/>
      <c r="S20" s="4"/>
      <c r="T20" s="4"/>
    </row>
    <row r="21" spans="2:20" s="36" customFormat="1" ht="19.5">
      <c r="B21" s="44"/>
      <c r="C21" s="48" t="s">
        <v>6</v>
      </c>
      <c r="D21" s="182" t="s">
        <v>7</v>
      </c>
      <c r="E21" s="183"/>
      <c r="F21" s="46"/>
      <c r="G21" s="46"/>
      <c r="H21" s="46"/>
      <c r="I21" s="49"/>
      <c r="J21" s="49"/>
      <c r="K21" s="47"/>
      <c r="L21" s="43"/>
      <c r="M21" s="43"/>
      <c r="N21" s="43"/>
      <c r="O21" s="43"/>
      <c r="P21" s="43"/>
      <c r="Q21" s="43"/>
      <c r="R21" s="43"/>
      <c r="S21" s="43"/>
      <c r="T21" s="43"/>
    </row>
    <row r="22" spans="2:20" s="36" customFormat="1" ht="19.5">
      <c r="B22" s="44"/>
      <c r="C22" s="48"/>
      <c r="D22" s="179">
        <v>21</v>
      </c>
      <c r="E22" s="180" t="s">
        <v>8</v>
      </c>
      <c r="F22" s="46"/>
      <c r="G22" s="46"/>
      <c r="H22" s="46"/>
      <c r="I22" s="49"/>
      <c r="J22" s="49"/>
      <c r="K22" s="47"/>
      <c r="L22" s="43"/>
      <c r="M22" s="43"/>
      <c r="N22" s="43"/>
      <c r="O22" s="43"/>
      <c r="P22" s="43"/>
      <c r="Q22" s="43"/>
      <c r="R22" s="43"/>
      <c r="S22" s="43"/>
      <c r="T22" s="43"/>
    </row>
    <row r="23" spans="2:20" s="36" customFormat="1" ht="19.5">
      <c r="B23" s="44"/>
      <c r="C23" s="48"/>
      <c r="D23" s="179"/>
      <c r="E23" s="181">
        <v>211</v>
      </c>
      <c r="F23" s="54" t="s">
        <v>5</v>
      </c>
      <c r="G23" s="46"/>
      <c r="H23" s="46"/>
      <c r="I23" s="49">
        <f>'TR-10 (1)'!AA46</f>
        <v>400458.38</v>
      </c>
      <c r="J23" s="49">
        <f>'TR-10 (1)'!AB46</f>
        <v>86206.87402067718</v>
      </c>
      <c r="K23" s="47"/>
      <c r="L23" s="43"/>
      <c r="M23" s="43"/>
      <c r="N23" s="43"/>
      <c r="O23" s="43"/>
      <c r="P23" s="43"/>
      <c r="Q23" s="43"/>
      <c r="R23" s="43"/>
      <c r="S23" s="43"/>
      <c r="T23" s="43"/>
    </row>
    <row r="24" spans="2:20" s="36" customFormat="1" ht="19.5">
      <c r="B24" s="44"/>
      <c r="C24" s="48"/>
      <c r="D24" s="179"/>
      <c r="E24" s="181">
        <v>212</v>
      </c>
      <c r="F24" s="54" t="s">
        <v>54</v>
      </c>
      <c r="G24" s="46"/>
      <c r="H24" s="46"/>
      <c r="I24" s="49">
        <f>'TR-LITSA-10 (1)'!AA43</f>
        <v>1121.61</v>
      </c>
      <c r="J24" s="49">
        <f>I24</f>
        <v>1121.61</v>
      </c>
      <c r="K24" s="47"/>
      <c r="L24" s="43"/>
      <c r="M24" s="43"/>
      <c r="N24" s="43"/>
      <c r="O24" s="43"/>
      <c r="P24" s="43"/>
      <c r="Q24" s="43"/>
      <c r="R24" s="43"/>
      <c r="S24" s="43"/>
      <c r="T24" s="43"/>
    </row>
    <row r="25" spans="2:20" s="36" customFormat="1" ht="19.5">
      <c r="B25" s="44"/>
      <c r="C25" s="48"/>
      <c r="D25" s="179"/>
      <c r="E25" s="181">
        <v>213</v>
      </c>
      <c r="F25" s="54" t="s">
        <v>56</v>
      </c>
      <c r="G25" s="46"/>
      <c r="H25" s="46"/>
      <c r="I25" s="49">
        <f>'TR-TIBA-10 (1)'!AA41</f>
        <v>3454.08</v>
      </c>
      <c r="J25" s="49">
        <f>I25</f>
        <v>3454.08</v>
      </c>
      <c r="K25" s="47"/>
      <c r="L25" s="43"/>
      <c r="M25" s="43"/>
      <c r="N25" s="43"/>
      <c r="O25" s="43"/>
      <c r="P25" s="43"/>
      <c r="Q25" s="43"/>
      <c r="R25" s="43"/>
      <c r="S25" s="43"/>
      <c r="T25" s="43"/>
    </row>
    <row r="26" spans="2:20" s="36" customFormat="1" ht="19.5">
      <c r="B26" s="44"/>
      <c r="C26" s="48"/>
      <c r="D26" s="179">
        <v>22</v>
      </c>
      <c r="E26" s="180" t="s">
        <v>9</v>
      </c>
      <c r="F26" s="46"/>
      <c r="G26" s="46"/>
      <c r="H26" s="46"/>
      <c r="I26" s="49"/>
      <c r="J26" s="49"/>
      <c r="K26" s="47"/>
      <c r="L26" s="43"/>
      <c r="M26" s="43"/>
      <c r="N26" s="43"/>
      <c r="O26" s="43"/>
      <c r="P26" s="43"/>
      <c r="Q26" s="43"/>
      <c r="R26" s="43"/>
      <c r="S26" s="43"/>
      <c r="T26" s="43"/>
    </row>
    <row r="27" spans="2:20" s="36" customFormat="1" ht="19.5">
      <c r="B27" s="44"/>
      <c r="C27" s="48"/>
      <c r="D27" s="179"/>
      <c r="E27" s="181">
        <v>221</v>
      </c>
      <c r="F27" s="54" t="s">
        <v>5</v>
      </c>
      <c r="G27" s="46"/>
      <c r="H27" s="46"/>
      <c r="I27" s="49">
        <f>'SA-10 (1)'!T45</f>
        <v>35087.88</v>
      </c>
      <c r="J27" s="49">
        <f>'SA-10 (1)'!U45</f>
        <v>7553.385239010077</v>
      </c>
      <c r="K27" s="47"/>
      <c r="L27" s="43"/>
      <c r="M27" s="43"/>
      <c r="N27" s="43"/>
      <c r="O27" s="43"/>
      <c r="P27" s="43"/>
      <c r="Q27" s="43"/>
      <c r="R27" s="43"/>
      <c r="S27" s="43"/>
      <c r="T27" s="43"/>
    </row>
    <row r="28" spans="2:20" s="36" customFormat="1" ht="19.5">
      <c r="B28" s="44"/>
      <c r="C28" s="48"/>
      <c r="D28" s="179"/>
      <c r="E28" s="181">
        <v>222</v>
      </c>
      <c r="F28" s="54" t="s">
        <v>56</v>
      </c>
      <c r="G28" s="46"/>
      <c r="H28" s="46"/>
      <c r="I28" s="49">
        <f>'SA-TIBA-10 (1)'!T41</f>
        <v>25363</v>
      </c>
      <c r="J28" s="49">
        <f>I28</f>
        <v>25363</v>
      </c>
      <c r="K28" s="47"/>
      <c r="L28" s="43"/>
      <c r="M28" s="43"/>
      <c r="N28" s="43"/>
      <c r="O28" s="43"/>
      <c r="P28" s="43"/>
      <c r="Q28" s="43"/>
      <c r="R28" s="43"/>
      <c r="S28" s="43"/>
      <c r="T28" s="43"/>
    </row>
    <row r="29" spans="2:20" s="36" customFormat="1" ht="19.5">
      <c r="B29" s="44"/>
      <c r="C29" s="48"/>
      <c r="D29" s="179"/>
      <c r="E29" s="181">
        <v>223</v>
      </c>
      <c r="F29" s="54" t="s">
        <v>55</v>
      </c>
      <c r="G29" s="46"/>
      <c r="H29" s="46"/>
      <c r="I29" s="49">
        <f>'SA-ENECOR-10 (1)'!T43</f>
        <v>410.02</v>
      </c>
      <c r="J29" s="49">
        <f>I29</f>
        <v>410.02</v>
      </c>
      <c r="K29" s="47"/>
      <c r="L29" s="43"/>
      <c r="M29" s="43"/>
      <c r="N29" s="43"/>
      <c r="O29" s="43"/>
      <c r="P29" s="43"/>
      <c r="Q29" s="43"/>
      <c r="R29" s="43"/>
      <c r="S29" s="43"/>
      <c r="T29" s="43"/>
    </row>
    <row r="30" spans="2:20" ht="12.75" customHeight="1">
      <c r="B30" s="50"/>
      <c r="C30" s="51"/>
      <c r="D30" s="179"/>
      <c r="E30" s="965"/>
      <c r="F30" s="52"/>
      <c r="G30" s="52"/>
      <c r="H30" s="52"/>
      <c r="I30" s="53"/>
      <c r="J30" s="53"/>
      <c r="K30" s="6"/>
      <c r="L30" s="4"/>
      <c r="M30" s="4"/>
      <c r="N30" s="4"/>
      <c r="O30" s="4"/>
      <c r="P30" s="4"/>
      <c r="Q30" s="4"/>
      <c r="R30" s="4"/>
      <c r="S30" s="4"/>
      <c r="T30" s="4"/>
    </row>
    <row r="31" spans="2:20" s="36" customFormat="1" ht="19.5">
      <c r="B31" s="44"/>
      <c r="C31" s="48" t="s">
        <v>10</v>
      </c>
      <c r="D31" s="182" t="s">
        <v>57</v>
      </c>
      <c r="E31" s="183"/>
      <c r="F31" s="46"/>
      <c r="G31" s="46"/>
      <c r="H31" s="46"/>
      <c r="I31" s="49"/>
      <c r="J31" s="49"/>
      <c r="K31" s="47"/>
      <c r="L31" s="43"/>
      <c r="M31" s="43"/>
      <c r="N31" s="43"/>
      <c r="O31" s="43"/>
      <c r="P31" s="43"/>
      <c r="Q31" s="43"/>
      <c r="R31" s="43"/>
      <c r="S31" s="43"/>
      <c r="T31" s="43"/>
    </row>
    <row r="32" spans="2:20" s="36" customFormat="1" ht="19.5">
      <c r="B32" s="44"/>
      <c r="C32" s="48"/>
      <c r="D32" s="179">
        <v>31</v>
      </c>
      <c r="E32" s="180" t="s">
        <v>5</v>
      </c>
      <c r="F32" s="46"/>
      <c r="G32" s="46"/>
      <c r="H32" s="46"/>
      <c r="I32" s="49">
        <f>'RE-10 (1)'!V39</f>
        <v>14915.16</v>
      </c>
      <c r="J32" s="49">
        <f>'RE-10 (1)'!W39</f>
        <v>3210.793673268541</v>
      </c>
      <c r="K32" s="47"/>
      <c r="L32" s="43"/>
      <c r="M32" s="43"/>
      <c r="N32" s="43"/>
      <c r="O32" s="43"/>
      <c r="P32" s="43"/>
      <c r="Q32" s="43"/>
      <c r="R32" s="43"/>
      <c r="S32" s="43"/>
      <c r="T32" s="43"/>
    </row>
    <row r="33" spans="2:20" s="36" customFormat="1" ht="19.5" customHeight="1">
      <c r="B33" s="44"/>
      <c r="C33" s="48"/>
      <c r="D33" s="179">
        <v>34</v>
      </c>
      <c r="E33" s="180" t="s">
        <v>164</v>
      </c>
      <c r="F33" s="46"/>
      <c r="G33" s="46"/>
      <c r="H33" s="46"/>
      <c r="I33" s="49">
        <f>'RE-IV-10 '!V44</f>
        <v>591.38</v>
      </c>
      <c r="J33" s="49">
        <f>I33</f>
        <v>591.38</v>
      </c>
      <c r="K33" s="47"/>
      <c r="L33" s="43"/>
      <c r="M33" s="43"/>
      <c r="N33" s="43"/>
      <c r="O33" s="43"/>
      <c r="P33" s="43"/>
      <c r="Q33" s="43"/>
      <c r="R33" s="43"/>
      <c r="S33" s="43"/>
      <c r="T33" s="43"/>
    </row>
    <row r="34" spans="2:20" s="36" customFormat="1" ht="19.5">
      <c r="B34" s="44"/>
      <c r="C34" s="48" t="s">
        <v>58</v>
      </c>
      <c r="D34" s="182" t="s">
        <v>59</v>
      </c>
      <c r="E34" s="183"/>
      <c r="F34" s="46"/>
      <c r="G34" s="46"/>
      <c r="H34" s="46"/>
      <c r="I34" s="49"/>
      <c r="J34" s="49"/>
      <c r="K34" s="47"/>
      <c r="L34" s="43"/>
      <c r="M34" s="43"/>
      <c r="N34" s="43"/>
      <c r="O34" s="43"/>
      <c r="P34" s="43"/>
      <c r="Q34" s="43"/>
      <c r="R34" s="43"/>
      <c r="S34" s="43"/>
      <c r="T34" s="43"/>
    </row>
    <row r="35" spans="2:20" s="36" customFormat="1" ht="19.5">
      <c r="B35" s="44"/>
      <c r="C35" s="48"/>
      <c r="D35" s="179">
        <v>42</v>
      </c>
      <c r="E35" s="180" t="s">
        <v>54</v>
      </c>
      <c r="F35" s="46"/>
      <c r="G35" s="46"/>
      <c r="H35" s="46"/>
      <c r="I35" s="49">
        <f>'SUP-LITSA'!K67</f>
        <v>8761.5636744</v>
      </c>
      <c r="J35" s="49">
        <f>I35</f>
        <v>8761.5636744</v>
      </c>
      <c r="K35" s="47"/>
      <c r="L35" s="43"/>
      <c r="M35" s="43"/>
      <c r="N35" s="43"/>
      <c r="O35" s="43"/>
      <c r="P35" s="43"/>
      <c r="Q35" s="43"/>
      <c r="R35" s="43"/>
      <c r="S35" s="43"/>
      <c r="T35" s="43"/>
    </row>
    <row r="36" spans="2:20" s="36" customFormat="1" ht="19.5">
      <c r="B36" s="44"/>
      <c r="C36" s="48"/>
      <c r="D36" s="179">
        <v>43</v>
      </c>
      <c r="E36" s="180" t="s">
        <v>60</v>
      </c>
      <c r="F36" s="46"/>
      <c r="G36" s="46"/>
      <c r="H36" s="46"/>
      <c r="I36" s="49">
        <f>'SUP-TIBA'!J83</f>
        <v>7210.203048269194</v>
      </c>
      <c r="J36" s="49">
        <f>I36</f>
        <v>7210.203048269194</v>
      </c>
      <c r="K36" s="47"/>
      <c r="L36" s="43"/>
      <c r="M36" s="43"/>
      <c r="N36" s="43"/>
      <c r="O36" s="43"/>
      <c r="P36" s="43"/>
      <c r="Q36" s="43"/>
      <c r="R36" s="43"/>
      <c r="S36" s="43"/>
      <c r="T36" s="43"/>
    </row>
    <row r="37" spans="2:20" s="36" customFormat="1" ht="19.5">
      <c r="B37" s="44"/>
      <c r="C37" s="48"/>
      <c r="D37" s="179">
        <v>44</v>
      </c>
      <c r="E37" s="180" t="s">
        <v>55</v>
      </c>
      <c r="F37" s="46"/>
      <c r="G37" s="46"/>
      <c r="H37" s="46"/>
      <c r="I37" s="49">
        <f>'SUP-ENECOR'!J66</f>
        <v>682.7055679999999</v>
      </c>
      <c r="J37" s="49">
        <f>I37</f>
        <v>682.7055679999999</v>
      </c>
      <c r="K37" s="47"/>
      <c r="L37" s="43"/>
      <c r="M37" s="43"/>
      <c r="N37" s="43"/>
      <c r="O37" s="43"/>
      <c r="P37" s="43"/>
      <c r="Q37" s="43"/>
      <c r="R37" s="43"/>
      <c r="S37" s="43"/>
      <c r="T37" s="43"/>
    </row>
    <row r="38" spans="2:20" s="36" customFormat="1" ht="20.25" thickBot="1">
      <c r="B38" s="44"/>
      <c r="C38" s="45"/>
      <c r="D38" s="179"/>
      <c r="E38" s="183"/>
      <c r="F38" s="46"/>
      <c r="G38" s="46"/>
      <c r="H38" s="46"/>
      <c r="I38" s="43"/>
      <c r="J38" s="43"/>
      <c r="K38" s="47"/>
      <c r="L38" s="43"/>
      <c r="M38" s="43"/>
      <c r="N38" s="43"/>
      <c r="O38" s="43"/>
      <c r="P38" s="43"/>
      <c r="Q38" s="43"/>
      <c r="R38" s="43"/>
      <c r="S38" s="43"/>
      <c r="T38" s="43"/>
    </row>
    <row r="39" spans="2:20" s="36" customFormat="1" ht="20.25" thickBot="1" thickTop="1">
      <c r="B39" s="44"/>
      <c r="C39" s="48"/>
      <c r="D39" s="48"/>
      <c r="H39" s="55" t="s">
        <v>11</v>
      </c>
      <c r="I39" s="1080">
        <f>SUM(I16:I37)</f>
        <v>780473.7622906691</v>
      </c>
      <c r="J39" s="56">
        <f>SUM(J17:J37)</f>
        <v>285555.9039535926</v>
      </c>
      <c r="K39" s="47"/>
      <c r="L39" s="43"/>
      <c r="M39" s="43"/>
      <c r="N39" s="43"/>
      <c r="O39" s="43"/>
      <c r="P39" s="43"/>
      <c r="Q39" s="43"/>
      <c r="R39" s="43"/>
      <c r="S39" s="43"/>
      <c r="T39" s="43"/>
    </row>
    <row r="40" spans="2:20" s="36" customFormat="1" ht="9.75" customHeight="1" thickTop="1">
      <c r="B40" s="44"/>
      <c r="C40" s="48"/>
      <c r="D40" s="48"/>
      <c r="F40" s="178"/>
      <c r="G40" s="127"/>
      <c r="H40" s="127"/>
      <c r="K40" s="47"/>
      <c r="L40" s="43"/>
      <c r="M40" s="43"/>
      <c r="N40" s="43"/>
      <c r="O40" s="43"/>
      <c r="P40" s="43"/>
      <c r="Q40" s="43"/>
      <c r="R40" s="43"/>
      <c r="S40" s="43"/>
      <c r="T40" s="43"/>
    </row>
    <row r="41" spans="2:20" s="36" customFormat="1" ht="18.75">
      <c r="B41" s="44"/>
      <c r="C41" s="184" t="s">
        <v>284</v>
      </c>
      <c r="D41" s="48"/>
      <c r="F41" s="178"/>
      <c r="G41" s="127"/>
      <c r="H41" s="127"/>
      <c r="K41" s="47"/>
      <c r="L41" s="43"/>
      <c r="M41" s="43"/>
      <c r="N41" s="43"/>
      <c r="O41" s="43"/>
      <c r="P41" s="43"/>
      <c r="Q41" s="43"/>
      <c r="R41" s="43"/>
      <c r="S41" s="43"/>
      <c r="T41" s="43"/>
    </row>
    <row r="42" spans="2:20" s="32" customFormat="1" ht="10.5" customHeight="1" thickBot="1">
      <c r="B42" s="57"/>
      <c r="C42" s="58"/>
      <c r="D42" s="58"/>
      <c r="E42" s="59"/>
      <c r="F42" s="59"/>
      <c r="G42" s="59"/>
      <c r="H42" s="59"/>
      <c r="I42" s="59"/>
      <c r="J42" s="59"/>
      <c r="K42" s="60"/>
      <c r="L42" s="33"/>
      <c r="M42" s="33"/>
      <c r="N42" s="61"/>
      <c r="O42" s="62"/>
      <c r="P42" s="62"/>
      <c r="Q42" s="63"/>
      <c r="R42" s="64"/>
      <c r="S42" s="33"/>
      <c r="T42" s="33"/>
    </row>
    <row r="43" spans="4:20" ht="13.5" thickTop="1">
      <c r="D43" s="4"/>
      <c r="F43" s="4"/>
      <c r="G43" s="4"/>
      <c r="H43" s="4"/>
      <c r="I43" s="4"/>
      <c r="J43" s="4"/>
      <c r="K43" s="4"/>
      <c r="L43" s="4"/>
      <c r="M43" s="4"/>
      <c r="N43" s="15"/>
      <c r="O43" s="65"/>
      <c r="P43" s="65"/>
      <c r="Q43" s="4"/>
      <c r="R43" s="66"/>
      <c r="S43" s="4"/>
      <c r="T43" s="4"/>
    </row>
    <row r="44" spans="4:20" ht="12.75">
      <c r="D44" s="4"/>
      <c r="F44" s="4"/>
      <c r="G44" s="4"/>
      <c r="H44" s="4"/>
      <c r="I44" s="4"/>
      <c r="J44" s="4"/>
      <c r="K44" s="4"/>
      <c r="L44" s="4"/>
      <c r="M44" s="4"/>
      <c r="N44" s="4"/>
      <c r="O44" s="67"/>
      <c r="P44" s="67"/>
      <c r="Q44" s="68"/>
      <c r="R44" s="66"/>
      <c r="S44" s="4"/>
      <c r="T44" s="4"/>
    </row>
    <row r="45" spans="4:20" ht="12.7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7"/>
      <c r="P45" s="67"/>
      <c r="Q45" s="68"/>
      <c r="R45" s="66"/>
      <c r="S45" s="4"/>
      <c r="T45" s="4"/>
    </row>
    <row r="46" spans="4:20" ht="12.75">
      <c r="D46" s="4"/>
      <c r="E46" s="4"/>
      <c r="M46" s="4"/>
      <c r="N46" s="4"/>
      <c r="O46" s="4"/>
      <c r="P46" s="4"/>
      <c r="Q46" s="4"/>
      <c r="R46" s="4"/>
      <c r="S46" s="4"/>
      <c r="T46" s="4"/>
    </row>
    <row r="47" spans="4:20" ht="12.75">
      <c r="D47" s="4"/>
      <c r="E47" s="4"/>
      <c r="Q47" s="4"/>
      <c r="R47" s="4"/>
      <c r="S47" s="4"/>
      <c r="T47" s="4"/>
    </row>
    <row r="48" spans="4:20" ht="12.75">
      <c r="D48" s="4"/>
      <c r="E48" s="4"/>
      <c r="Q48" s="4"/>
      <c r="R48" s="4"/>
      <c r="S48" s="4"/>
      <c r="T48" s="4"/>
    </row>
    <row r="49" spans="4:20" ht="12.75">
      <c r="D49" s="4"/>
      <c r="E49" s="4"/>
      <c r="Q49" s="4"/>
      <c r="R49" s="4"/>
      <c r="S49" s="4"/>
      <c r="T49" s="4"/>
    </row>
    <row r="50" spans="4:20" ht="12.75">
      <c r="D50" s="4"/>
      <c r="E50" s="4"/>
      <c r="Q50" s="4"/>
      <c r="R50" s="4"/>
      <c r="S50" s="4"/>
      <c r="T50" s="4"/>
    </row>
    <row r="51" spans="4:20" ht="12.75">
      <c r="D51" s="4"/>
      <c r="E51" s="4"/>
      <c r="Q51" s="4"/>
      <c r="R51" s="4"/>
      <c r="S51" s="4"/>
      <c r="T51" s="4"/>
    </row>
    <row r="52" spans="17:20" ht="12.75">
      <c r="Q52" s="4"/>
      <c r="R52" s="4"/>
      <c r="S52" s="4"/>
      <c r="T52" s="4"/>
    </row>
    <row r="53" spans="17:20" ht="12.75">
      <c r="Q53" s="4"/>
      <c r="R53" s="4"/>
      <c r="S53" s="4"/>
      <c r="T53" s="4"/>
    </row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155"/>
  <sheetViews>
    <sheetView zoomScale="75" zoomScaleNormal="75" workbookViewId="0" topLeftCell="A1">
      <selection activeCell="AA20" sqref="AA20:AA2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57"/>
    </row>
    <row r="2" spans="1:28" s="18" customFormat="1" ht="26.25">
      <c r="A2" s="91"/>
      <c r="B2" s="336" t="str">
        <f>+'TOT-1007'!B2</f>
        <v>ANEXO V al Memorandum D.T.E.E. N° 1955 /2009</v>
      </c>
      <c r="C2" s="336"/>
      <c r="D2" s="336"/>
      <c r="E2" s="19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337" t="s">
        <v>75</v>
      </c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 s="25" customFormat="1" ht="11.25">
      <c r="A5" s="337" t="s">
        <v>3</v>
      </c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7"/>
      <c r="B8" s="108"/>
      <c r="C8" s="107"/>
      <c r="D8" s="338" t="s">
        <v>61</v>
      </c>
      <c r="E8" s="107"/>
      <c r="F8" s="107"/>
      <c r="G8" s="33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96"/>
      <c r="S8" s="96"/>
      <c r="T8" s="96"/>
      <c r="U8" s="96"/>
      <c r="V8" s="96"/>
      <c r="W8" s="96"/>
      <c r="X8" s="96"/>
      <c r="Y8" s="96"/>
      <c r="Z8" s="96"/>
      <c r="AA8" s="96"/>
      <c r="AB8" s="109"/>
    </row>
    <row r="9" spans="1:28" s="5" customFormat="1" ht="12.75">
      <c r="A9" s="90"/>
      <c r="B9" s="95"/>
      <c r="C9" s="90"/>
      <c r="D9" s="15"/>
      <c r="E9" s="340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29" customFormat="1" ht="20.25">
      <c r="A10" s="107"/>
      <c r="B10" s="108"/>
      <c r="C10" s="107"/>
      <c r="D10" s="190" t="s">
        <v>82</v>
      </c>
      <c r="E10" s="107"/>
      <c r="F10" s="12"/>
      <c r="G10" s="9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109"/>
    </row>
    <row r="11" spans="1:28" s="5" customFormat="1" ht="12.75">
      <c r="A11" s="90"/>
      <c r="B11" s="95"/>
      <c r="C11" s="90"/>
      <c r="D11" s="15"/>
      <c r="E11" s="15"/>
      <c r="F11" s="15"/>
      <c r="G11" s="98"/>
      <c r="H11" s="15"/>
      <c r="I11" s="15"/>
      <c r="J11" s="15"/>
      <c r="K11" s="15"/>
      <c r="L11" s="15"/>
      <c r="M11" s="90"/>
      <c r="N11" s="90"/>
      <c r="O11" s="90"/>
      <c r="P11" s="90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7"/>
    </row>
    <row r="12" spans="1:28" s="36" customFormat="1" ht="19.5">
      <c r="A12" s="111"/>
      <c r="B12" s="37" t="str">
        <f>'TOT-1007'!B14</f>
        <v>Desde el 01 al 31 de octubre de 2007</v>
      </c>
      <c r="C12" s="341"/>
      <c r="D12" s="114"/>
      <c r="E12" s="114"/>
      <c r="F12" s="114"/>
      <c r="G12" s="114"/>
      <c r="H12" s="114"/>
      <c r="I12" s="114"/>
      <c r="J12" s="114"/>
      <c r="K12" s="114"/>
      <c r="L12" s="114"/>
      <c r="M12" s="341"/>
      <c r="N12" s="341"/>
      <c r="O12" s="341"/>
      <c r="P12" s="341"/>
      <c r="Q12" s="341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342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343" t="s">
        <v>76</v>
      </c>
      <c r="E14" s="344"/>
      <c r="F14" s="345">
        <v>0.0896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2" t="s">
        <v>28</v>
      </c>
      <c r="E15" s="113"/>
      <c r="F15" s="993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5" t="s">
        <v>13</v>
      </c>
      <c r="D17" s="121" t="s">
        <v>29</v>
      </c>
      <c r="E17" s="120" t="s">
        <v>30</v>
      </c>
      <c r="F17" s="122" t="s">
        <v>31</v>
      </c>
      <c r="G17" s="123" t="s">
        <v>14</v>
      </c>
      <c r="H17" s="137" t="s">
        <v>16</v>
      </c>
      <c r="I17" s="120" t="s">
        <v>17</v>
      </c>
      <c r="J17" s="120" t="s">
        <v>18</v>
      </c>
      <c r="K17" s="121" t="s">
        <v>32</v>
      </c>
      <c r="L17" s="121" t="s">
        <v>33</v>
      </c>
      <c r="M17" s="88" t="s">
        <v>19</v>
      </c>
      <c r="N17" s="88" t="s">
        <v>48</v>
      </c>
      <c r="O17" s="124" t="s">
        <v>34</v>
      </c>
      <c r="P17" s="120" t="s">
        <v>35</v>
      </c>
      <c r="Q17" s="346" t="s">
        <v>39</v>
      </c>
      <c r="R17" s="347" t="s">
        <v>20</v>
      </c>
      <c r="S17" s="348" t="s">
        <v>21</v>
      </c>
      <c r="T17" s="243" t="s">
        <v>77</v>
      </c>
      <c r="U17" s="245"/>
      <c r="V17" s="349" t="s">
        <v>78</v>
      </c>
      <c r="W17" s="350"/>
      <c r="X17" s="351" t="s">
        <v>22</v>
      </c>
      <c r="Y17" s="352" t="s">
        <v>73</v>
      </c>
      <c r="Z17" s="142" t="s">
        <v>74</v>
      </c>
      <c r="AA17" s="123" t="s">
        <v>24</v>
      </c>
      <c r="AB17" s="17"/>
    </row>
    <row r="18" spans="1:28" s="5" customFormat="1" ht="16.5" customHeight="1" thickTop="1">
      <c r="A18" s="90"/>
      <c r="B18" s="95"/>
      <c r="C18" s="353"/>
      <c r="D18" s="353"/>
      <c r="E18" s="353"/>
      <c r="F18" s="353"/>
      <c r="G18" s="354"/>
      <c r="H18" s="355"/>
      <c r="I18" s="353"/>
      <c r="J18" s="353"/>
      <c r="K18" s="353"/>
      <c r="L18" s="353"/>
      <c r="M18" s="353"/>
      <c r="N18" s="198"/>
      <c r="O18" s="356"/>
      <c r="P18" s="353"/>
      <c r="Q18" s="357"/>
      <c r="R18" s="358"/>
      <c r="S18" s="359"/>
      <c r="T18" s="360"/>
      <c r="U18" s="361"/>
      <c r="V18" s="362"/>
      <c r="W18" s="363"/>
      <c r="X18" s="364"/>
      <c r="Y18" s="365"/>
      <c r="Z18" s="356"/>
      <c r="AA18" s="366"/>
      <c r="AB18" s="17"/>
    </row>
    <row r="19" spans="1:28" s="5" customFormat="1" ht="16.5" customHeight="1">
      <c r="A19" s="90"/>
      <c r="B19" s="95"/>
      <c r="C19" s="367"/>
      <c r="D19" s="367"/>
      <c r="E19" s="367"/>
      <c r="F19" s="367"/>
      <c r="G19" s="368"/>
      <c r="H19" s="369"/>
      <c r="I19" s="367"/>
      <c r="J19" s="367"/>
      <c r="K19" s="367"/>
      <c r="L19" s="367"/>
      <c r="M19" s="367"/>
      <c r="N19" s="201"/>
      <c r="O19" s="370"/>
      <c r="P19" s="367"/>
      <c r="Q19" s="371"/>
      <c r="R19" s="372"/>
      <c r="S19" s="373"/>
      <c r="T19" s="374"/>
      <c r="U19" s="375"/>
      <c r="V19" s="376"/>
      <c r="W19" s="377"/>
      <c r="X19" s="378"/>
      <c r="Y19" s="379"/>
      <c r="Z19" s="370"/>
      <c r="AA19" s="380"/>
      <c r="AB19" s="17"/>
    </row>
    <row r="20" spans="1:28" s="5" customFormat="1" ht="16.5" customHeight="1">
      <c r="A20" s="90"/>
      <c r="B20" s="95"/>
      <c r="C20" s="168">
        <v>90</v>
      </c>
      <c r="D20" s="162" t="s">
        <v>253</v>
      </c>
      <c r="E20" s="381" t="s">
        <v>254</v>
      </c>
      <c r="F20" s="382">
        <v>300</v>
      </c>
      <c r="G20" s="383" t="s">
        <v>255</v>
      </c>
      <c r="H20" s="384">
        <f aca="true" t="shared" si="0" ref="H20:H39">F20*$F$14</f>
        <v>26.88</v>
      </c>
      <c r="I20" s="169">
        <v>39379.24930555555</v>
      </c>
      <c r="J20" s="169">
        <v>39379.36319444444</v>
      </c>
      <c r="K20" s="385">
        <f aca="true" t="shared" si="1" ref="K20:K39">IF(D20="","",(J20-I20)*24)</f>
        <v>2.733333333337214</v>
      </c>
      <c r="L20" s="14">
        <f aca="true" t="shared" si="2" ref="L20:L39">IF(D20="","",ROUND((J20-I20)*24*60,0))</f>
        <v>164</v>
      </c>
      <c r="M20" s="170" t="s">
        <v>190</v>
      </c>
      <c r="N20" s="282" t="str">
        <f aca="true" t="shared" si="3" ref="N20:N39">IF(D20="","","--")</f>
        <v>--</v>
      </c>
      <c r="O20" s="167" t="str">
        <f>IF(D20="","",IF(OR(M20="P",M20="RP"),"--","NO"))</f>
        <v>NO</v>
      </c>
      <c r="P20" s="166" t="str">
        <f aca="true" t="shared" si="4" ref="P20:P39">IF(D20="","","NO")</f>
        <v>NO</v>
      </c>
      <c r="Q20" s="483">
        <f aca="true" t="shared" si="5" ref="Q20:Q39">$F$15*IF(OR(M20="P",M20="RP"),0.1,1)*IF(P20="SI",1,0.1)</f>
        <v>20</v>
      </c>
      <c r="R20" s="456" t="str">
        <f aca="true" t="shared" si="6" ref="R20:R39">IF(M20="P",H20*Q20*ROUND(L20/60,2),"--")</f>
        <v>--</v>
      </c>
      <c r="S20" s="457" t="str">
        <f aca="true" t="shared" si="7" ref="S20:S39">IF(M20="RP",H20*Q20*N20/100*ROUND(L20/60,2),"--")</f>
        <v>--</v>
      </c>
      <c r="T20" s="458">
        <f aca="true" t="shared" si="8" ref="T20:T39">IF(AND(M20="F",O20="NO"),H20*Q20,"--")</f>
        <v>537.6</v>
      </c>
      <c r="U20" s="459">
        <f aca="true" t="shared" si="9" ref="U20:U39">IF(M20="F",H20*Q20*ROUND(L20/60,2),"--")</f>
        <v>1467.6480000000001</v>
      </c>
      <c r="V20" s="460" t="str">
        <f aca="true" t="shared" si="10" ref="V20:V39">IF(AND(M20="R",O20="NO"),H20*Q20*N20/100,"--")</f>
        <v>--</v>
      </c>
      <c r="W20" s="461" t="str">
        <f aca="true" t="shared" si="11" ref="W20:W39">IF(M20="R",H20*Q20*N20/100*ROUND(L20/60,2),"--")</f>
        <v>--</v>
      </c>
      <c r="X20" s="462" t="str">
        <f aca="true" t="shared" si="12" ref="X20:X39">IF(M20="RF",H20*Q20*ROUND(L20/60,2),"--")</f>
        <v>--</v>
      </c>
      <c r="Y20" s="463" t="str">
        <f aca="true" t="shared" si="13" ref="Y20:Y39">IF(M20="RR",H20*Q20*N20/100*ROUND(L20/60,2),"--")</f>
        <v>--</v>
      </c>
      <c r="Z20" s="173" t="s">
        <v>188</v>
      </c>
      <c r="AA20" s="396">
        <f aca="true" t="shared" si="14" ref="AA20:AA39">IF(D20="","",SUM(R20:Y20)*IF(Z20="SI",1,2))</f>
        <v>2005.248</v>
      </c>
      <c r="AB20" s="17"/>
    </row>
    <row r="21" spans="1:28" s="5" customFormat="1" ht="16.5" customHeight="1">
      <c r="A21" s="90"/>
      <c r="B21" s="95"/>
      <c r="C21" s="367">
        <v>91</v>
      </c>
      <c r="D21" s="162" t="s">
        <v>253</v>
      </c>
      <c r="E21" s="381" t="s">
        <v>254</v>
      </c>
      <c r="F21" s="382">
        <v>300</v>
      </c>
      <c r="G21" s="383" t="s">
        <v>255</v>
      </c>
      <c r="H21" s="384">
        <f t="shared" si="0"/>
        <v>26.88</v>
      </c>
      <c r="I21" s="169">
        <v>39380.33194444444</v>
      </c>
      <c r="J21" s="169">
        <v>39380.72222222222</v>
      </c>
      <c r="K21" s="385">
        <f t="shared" si="1"/>
        <v>9.366666666639503</v>
      </c>
      <c r="L21" s="14">
        <f t="shared" si="2"/>
        <v>562</v>
      </c>
      <c r="M21" s="170" t="s">
        <v>187</v>
      </c>
      <c r="N21" s="282" t="str">
        <f t="shared" si="3"/>
        <v>--</v>
      </c>
      <c r="O21" s="167" t="str">
        <f aca="true" t="shared" si="15" ref="O21:O39">IF(D21="","",IF(M21="P","--","NO"))</f>
        <v>--</v>
      </c>
      <c r="P21" s="166" t="str">
        <f t="shared" si="4"/>
        <v>NO</v>
      </c>
      <c r="Q21" s="483">
        <f t="shared" si="5"/>
        <v>2</v>
      </c>
      <c r="R21" s="456">
        <f t="shared" si="6"/>
        <v>503.73119999999994</v>
      </c>
      <c r="S21" s="457" t="str">
        <f t="shared" si="7"/>
        <v>--</v>
      </c>
      <c r="T21" s="458" t="str">
        <f t="shared" si="8"/>
        <v>--</v>
      </c>
      <c r="U21" s="459" t="str">
        <f t="shared" si="9"/>
        <v>--</v>
      </c>
      <c r="V21" s="460" t="str">
        <f t="shared" si="10"/>
        <v>--</v>
      </c>
      <c r="W21" s="461" t="str">
        <f t="shared" si="11"/>
        <v>--</v>
      </c>
      <c r="X21" s="462" t="str">
        <f t="shared" si="12"/>
        <v>--</v>
      </c>
      <c r="Y21" s="463" t="str">
        <f t="shared" si="13"/>
        <v>--</v>
      </c>
      <c r="Z21" s="173" t="s">
        <v>188</v>
      </c>
      <c r="AA21" s="396">
        <f t="shared" si="14"/>
        <v>503.73119999999994</v>
      </c>
      <c r="AB21" s="17"/>
    </row>
    <row r="22" spans="1:28" s="5" customFormat="1" ht="16.5" customHeight="1">
      <c r="A22" s="90"/>
      <c r="B22" s="95"/>
      <c r="C22" s="168">
        <v>92</v>
      </c>
      <c r="D22" s="162" t="s">
        <v>253</v>
      </c>
      <c r="E22" s="381" t="s">
        <v>254</v>
      </c>
      <c r="F22" s="382">
        <v>300</v>
      </c>
      <c r="G22" s="383" t="s">
        <v>255</v>
      </c>
      <c r="H22" s="384">
        <f t="shared" si="0"/>
        <v>26.88</v>
      </c>
      <c r="I22" s="169">
        <v>39381.37708333333</v>
      </c>
      <c r="J22" s="169">
        <v>39381.71805555555</v>
      </c>
      <c r="K22" s="385">
        <f t="shared" si="1"/>
        <v>8.183333333290648</v>
      </c>
      <c r="L22" s="14">
        <f t="shared" si="2"/>
        <v>491</v>
      </c>
      <c r="M22" s="170" t="s">
        <v>187</v>
      </c>
      <c r="N22" s="282" t="str">
        <f t="shared" si="3"/>
        <v>--</v>
      </c>
      <c r="O22" s="167" t="str">
        <f t="shared" si="15"/>
        <v>--</v>
      </c>
      <c r="P22" s="166" t="str">
        <f t="shared" si="4"/>
        <v>NO</v>
      </c>
      <c r="Q22" s="483">
        <f t="shared" si="5"/>
        <v>2</v>
      </c>
      <c r="R22" s="456">
        <f t="shared" si="6"/>
        <v>439.75679999999994</v>
      </c>
      <c r="S22" s="457" t="str">
        <f t="shared" si="7"/>
        <v>--</v>
      </c>
      <c r="T22" s="458" t="str">
        <f t="shared" si="8"/>
        <v>--</v>
      </c>
      <c r="U22" s="459" t="str">
        <f t="shared" si="9"/>
        <v>--</v>
      </c>
      <c r="V22" s="460" t="str">
        <f t="shared" si="10"/>
        <v>--</v>
      </c>
      <c r="W22" s="461" t="str">
        <f t="shared" si="11"/>
        <v>--</v>
      </c>
      <c r="X22" s="462" t="str">
        <f t="shared" si="12"/>
        <v>--</v>
      </c>
      <c r="Y22" s="463" t="str">
        <f t="shared" si="13"/>
        <v>--</v>
      </c>
      <c r="Z22" s="173" t="s">
        <v>188</v>
      </c>
      <c r="AA22" s="396">
        <f t="shared" si="14"/>
        <v>439.75679999999994</v>
      </c>
      <c r="AB22" s="17"/>
    </row>
    <row r="23" spans="1:28" s="5" customFormat="1" ht="16.5" customHeight="1">
      <c r="A23" s="90"/>
      <c r="B23" s="95"/>
      <c r="C23" s="367">
        <v>93</v>
      </c>
      <c r="D23" s="162" t="s">
        <v>253</v>
      </c>
      <c r="E23" s="381" t="s">
        <v>254</v>
      </c>
      <c r="F23" s="382">
        <v>300</v>
      </c>
      <c r="G23" s="383" t="s">
        <v>255</v>
      </c>
      <c r="H23" s="384">
        <f t="shared" si="0"/>
        <v>26.88</v>
      </c>
      <c r="I23" s="169">
        <v>39382.375</v>
      </c>
      <c r="J23" s="169">
        <v>39382.76666666667</v>
      </c>
      <c r="K23" s="385">
        <f t="shared" si="1"/>
        <v>9.40000000008149</v>
      </c>
      <c r="L23" s="14">
        <f t="shared" si="2"/>
        <v>564</v>
      </c>
      <c r="M23" s="170" t="s">
        <v>187</v>
      </c>
      <c r="N23" s="282" t="str">
        <f t="shared" si="3"/>
        <v>--</v>
      </c>
      <c r="O23" s="167" t="str">
        <f t="shared" si="15"/>
        <v>--</v>
      </c>
      <c r="P23" s="166" t="str">
        <f t="shared" si="4"/>
        <v>NO</v>
      </c>
      <c r="Q23" s="483">
        <f t="shared" si="5"/>
        <v>2</v>
      </c>
      <c r="R23" s="456">
        <f t="shared" si="6"/>
        <v>505.344</v>
      </c>
      <c r="S23" s="457" t="str">
        <f t="shared" si="7"/>
        <v>--</v>
      </c>
      <c r="T23" s="458" t="str">
        <f t="shared" si="8"/>
        <v>--</v>
      </c>
      <c r="U23" s="459" t="str">
        <f t="shared" si="9"/>
        <v>--</v>
      </c>
      <c r="V23" s="460" t="str">
        <f t="shared" si="10"/>
        <v>--</v>
      </c>
      <c r="W23" s="461" t="str">
        <f t="shared" si="11"/>
        <v>--</v>
      </c>
      <c r="X23" s="462" t="str">
        <f t="shared" si="12"/>
        <v>--</v>
      </c>
      <c r="Y23" s="463" t="str">
        <f t="shared" si="13"/>
        <v>--</v>
      </c>
      <c r="Z23" s="173" t="s">
        <v>188</v>
      </c>
      <c r="AA23" s="396">
        <f t="shared" si="14"/>
        <v>505.344</v>
      </c>
      <c r="AB23" s="17"/>
    </row>
    <row r="24" spans="1:28" s="5" customFormat="1" ht="16.5" customHeight="1">
      <c r="A24" s="90"/>
      <c r="B24" s="95"/>
      <c r="C24" s="168"/>
      <c r="D24" s="162"/>
      <c r="E24" s="381"/>
      <c r="F24" s="382"/>
      <c r="G24" s="383"/>
      <c r="H24" s="384">
        <f t="shared" si="0"/>
        <v>0</v>
      </c>
      <c r="I24" s="169"/>
      <c r="J24" s="169"/>
      <c r="K24" s="385">
        <f t="shared" si="1"/>
      </c>
      <c r="L24" s="14">
        <f t="shared" si="2"/>
      </c>
      <c r="M24" s="170"/>
      <c r="N24" s="282">
        <f t="shared" si="3"/>
      </c>
      <c r="O24" s="167">
        <f t="shared" si="15"/>
      </c>
      <c r="P24" s="166">
        <f t="shared" si="4"/>
      </c>
      <c r="Q24" s="483">
        <f t="shared" si="5"/>
        <v>20</v>
      </c>
      <c r="R24" s="456" t="str">
        <f t="shared" si="6"/>
        <v>--</v>
      </c>
      <c r="S24" s="457" t="str">
        <f t="shared" si="7"/>
        <v>--</v>
      </c>
      <c r="T24" s="458" t="str">
        <f t="shared" si="8"/>
        <v>--</v>
      </c>
      <c r="U24" s="459" t="str">
        <f t="shared" si="9"/>
        <v>--</v>
      </c>
      <c r="V24" s="460" t="str">
        <f t="shared" si="10"/>
        <v>--</v>
      </c>
      <c r="W24" s="461" t="str">
        <f t="shared" si="11"/>
        <v>--</v>
      </c>
      <c r="X24" s="462" t="str">
        <f t="shared" si="12"/>
        <v>--</v>
      </c>
      <c r="Y24" s="463" t="str">
        <f t="shared" si="13"/>
        <v>--</v>
      </c>
      <c r="Z24" s="173">
        <f aca="true" t="shared" si="16" ref="Z24:Z39">IF(D24="","","SI")</f>
      </c>
      <c r="AA24" s="396">
        <f t="shared" si="14"/>
      </c>
      <c r="AB24" s="17"/>
    </row>
    <row r="25" spans="1:28" s="5" customFormat="1" ht="16.5" customHeight="1">
      <c r="A25" s="90"/>
      <c r="B25" s="95"/>
      <c r="C25" s="367"/>
      <c r="D25" s="162"/>
      <c r="E25" s="381"/>
      <c r="F25" s="382"/>
      <c r="G25" s="383"/>
      <c r="H25" s="384">
        <f t="shared" si="0"/>
        <v>0</v>
      </c>
      <c r="I25" s="169"/>
      <c r="J25" s="169"/>
      <c r="K25" s="385">
        <f t="shared" si="1"/>
      </c>
      <c r="L25" s="14">
        <f t="shared" si="2"/>
      </c>
      <c r="M25" s="170"/>
      <c r="N25" s="282">
        <f t="shared" si="3"/>
      </c>
      <c r="O25" s="167">
        <f t="shared" si="15"/>
      </c>
      <c r="P25" s="166">
        <f t="shared" si="4"/>
      </c>
      <c r="Q25" s="483">
        <f t="shared" si="5"/>
        <v>20</v>
      </c>
      <c r="R25" s="456" t="str">
        <f t="shared" si="6"/>
        <v>--</v>
      </c>
      <c r="S25" s="457" t="str">
        <f t="shared" si="7"/>
        <v>--</v>
      </c>
      <c r="T25" s="458" t="str">
        <f t="shared" si="8"/>
        <v>--</v>
      </c>
      <c r="U25" s="459" t="str">
        <f t="shared" si="9"/>
        <v>--</v>
      </c>
      <c r="V25" s="460" t="str">
        <f t="shared" si="10"/>
        <v>--</v>
      </c>
      <c r="W25" s="461" t="str">
        <f t="shared" si="11"/>
        <v>--</v>
      </c>
      <c r="X25" s="462" t="str">
        <f t="shared" si="12"/>
        <v>--</v>
      </c>
      <c r="Y25" s="463" t="str">
        <f t="shared" si="13"/>
        <v>--</v>
      </c>
      <c r="Z25" s="173">
        <f t="shared" si="16"/>
      </c>
      <c r="AA25" s="396">
        <f t="shared" si="14"/>
      </c>
      <c r="AB25" s="17"/>
    </row>
    <row r="26" spans="1:29" s="5" customFormat="1" ht="16.5" customHeight="1">
      <c r="A26" s="90"/>
      <c r="B26" s="95"/>
      <c r="C26" s="168"/>
      <c r="D26" s="162"/>
      <c r="E26" s="381"/>
      <c r="F26" s="382"/>
      <c r="G26" s="383"/>
      <c r="H26" s="384">
        <f t="shared" si="0"/>
        <v>0</v>
      </c>
      <c r="I26" s="169"/>
      <c r="J26" s="169"/>
      <c r="K26" s="385">
        <f t="shared" si="1"/>
      </c>
      <c r="L26" s="14">
        <f t="shared" si="2"/>
      </c>
      <c r="M26" s="170"/>
      <c r="N26" s="282">
        <f t="shared" si="3"/>
      </c>
      <c r="O26" s="167">
        <f t="shared" si="15"/>
      </c>
      <c r="P26" s="166">
        <f t="shared" si="4"/>
      </c>
      <c r="Q26" s="483">
        <f t="shared" si="5"/>
        <v>20</v>
      </c>
      <c r="R26" s="456" t="str">
        <f t="shared" si="6"/>
        <v>--</v>
      </c>
      <c r="S26" s="457" t="str">
        <f t="shared" si="7"/>
        <v>--</v>
      </c>
      <c r="T26" s="458" t="str">
        <f t="shared" si="8"/>
        <v>--</v>
      </c>
      <c r="U26" s="459" t="str">
        <f t="shared" si="9"/>
        <v>--</v>
      </c>
      <c r="V26" s="460" t="str">
        <f t="shared" si="10"/>
        <v>--</v>
      </c>
      <c r="W26" s="461" t="str">
        <f t="shared" si="11"/>
        <v>--</v>
      </c>
      <c r="X26" s="462" t="str">
        <f t="shared" si="12"/>
        <v>--</v>
      </c>
      <c r="Y26" s="463" t="str">
        <f t="shared" si="13"/>
        <v>--</v>
      </c>
      <c r="Z26" s="173">
        <f t="shared" si="16"/>
      </c>
      <c r="AA26" s="396">
        <f t="shared" si="14"/>
      </c>
      <c r="AB26" s="17"/>
      <c r="AC26" s="15"/>
    </row>
    <row r="27" spans="1:28" s="5" customFormat="1" ht="16.5" customHeight="1">
      <c r="A27" s="90"/>
      <c r="B27" s="95"/>
      <c r="C27" s="367"/>
      <c r="D27" s="162"/>
      <c r="E27" s="381"/>
      <c r="F27" s="382"/>
      <c r="G27" s="383"/>
      <c r="H27" s="384">
        <f t="shared" si="0"/>
        <v>0</v>
      </c>
      <c r="I27" s="169"/>
      <c r="J27" s="169"/>
      <c r="K27" s="385">
        <f t="shared" si="1"/>
      </c>
      <c r="L27" s="14">
        <f t="shared" si="2"/>
      </c>
      <c r="M27" s="170"/>
      <c r="N27" s="282">
        <f t="shared" si="3"/>
      </c>
      <c r="O27" s="167">
        <f t="shared" si="15"/>
      </c>
      <c r="P27" s="166">
        <f t="shared" si="4"/>
      </c>
      <c r="Q27" s="483">
        <f t="shared" si="5"/>
        <v>20</v>
      </c>
      <c r="R27" s="456" t="str">
        <f t="shared" si="6"/>
        <v>--</v>
      </c>
      <c r="S27" s="457" t="str">
        <f t="shared" si="7"/>
        <v>--</v>
      </c>
      <c r="T27" s="458" t="str">
        <f t="shared" si="8"/>
        <v>--</v>
      </c>
      <c r="U27" s="459" t="str">
        <f t="shared" si="9"/>
        <v>--</v>
      </c>
      <c r="V27" s="460" t="str">
        <f t="shared" si="10"/>
        <v>--</v>
      </c>
      <c r="W27" s="461" t="str">
        <f t="shared" si="11"/>
        <v>--</v>
      </c>
      <c r="X27" s="462" t="str">
        <f t="shared" si="12"/>
        <v>--</v>
      </c>
      <c r="Y27" s="463" t="str">
        <f t="shared" si="13"/>
        <v>--</v>
      </c>
      <c r="Z27" s="173">
        <f t="shared" si="16"/>
      </c>
      <c r="AA27" s="396">
        <f t="shared" si="14"/>
      </c>
      <c r="AB27" s="17"/>
    </row>
    <row r="28" spans="1:28" s="5" customFormat="1" ht="16.5" customHeight="1">
      <c r="A28" s="90"/>
      <c r="B28" s="95"/>
      <c r="C28" s="168"/>
      <c r="D28" s="162"/>
      <c r="E28" s="381"/>
      <c r="F28" s="382"/>
      <c r="G28" s="383"/>
      <c r="H28" s="384">
        <f t="shared" si="0"/>
        <v>0</v>
      </c>
      <c r="I28" s="169"/>
      <c r="J28" s="169"/>
      <c r="K28" s="385">
        <f t="shared" si="1"/>
      </c>
      <c r="L28" s="14">
        <f t="shared" si="2"/>
      </c>
      <c r="M28" s="170"/>
      <c r="N28" s="282">
        <f t="shared" si="3"/>
      </c>
      <c r="O28" s="167">
        <f t="shared" si="15"/>
      </c>
      <c r="P28" s="166">
        <f t="shared" si="4"/>
      </c>
      <c r="Q28" s="483">
        <f t="shared" si="5"/>
        <v>20</v>
      </c>
      <c r="R28" s="456" t="str">
        <f t="shared" si="6"/>
        <v>--</v>
      </c>
      <c r="S28" s="457" t="str">
        <f t="shared" si="7"/>
        <v>--</v>
      </c>
      <c r="T28" s="458" t="str">
        <f t="shared" si="8"/>
        <v>--</v>
      </c>
      <c r="U28" s="459" t="str">
        <f t="shared" si="9"/>
        <v>--</v>
      </c>
      <c r="V28" s="460" t="str">
        <f t="shared" si="10"/>
        <v>--</v>
      </c>
      <c r="W28" s="461" t="str">
        <f t="shared" si="11"/>
        <v>--</v>
      </c>
      <c r="X28" s="462" t="str">
        <f t="shared" si="12"/>
        <v>--</v>
      </c>
      <c r="Y28" s="463" t="str">
        <f t="shared" si="13"/>
        <v>--</v>
      </c>
      <c r="Z28" s="173">
        <f t="shared" si="16"/>
      </c>
      <c r="AA28" s="396">
        <f t="shared" si="14"/>
      </c>
      <c r="AB28" s="17"/>
    </row>
    <row r="29" spans="1:28" s="5" customFormat="1" ht="16.5" customHeight="1">
      <c r="A29" s="90"/>
      <c r="B29" s="95"/>
      <c r="C29" s="367"/>
      <c r="D29" s="162"/>
      <c r="E29" s="381"/>
      <c r="F29" s="382"/>
      <c r="G29" s="383"/>
      <c r="H29" s="384">
        <f t="shared" si="0"/>
        <v>0</v>
      </c>
      <c r="I29" s="169"/>
      <c r="J29" s="169"/>
      <c r="K29" s="385">
        <f t="shared" si="1"/>
      </c>
      <c r="L29" s="14">
        <f t="shared" si="2"/>
      </c>
      <c r="M29" s="170"/>
      <c r="N29" s="282">
        <f t="shared" si="3"/>
      </c>
      <c r="O29" s="167">
        <f t="shared" si="15"/>
      </c>
      <c r="P29" s="166">
        <f t="shared" si="4"/>
      </c>
      <c r="Q29" s="483">
        <f t="shared" si="5"/>
        <v>20</v>
      </c>
      <c r="R29" s="456" t="str">
        <f t="shared" si="6"/>
        <v>--</v>
      </c>
      <c r="S29" s="457" t="str">
        <f t="shared" si="7"/>
        <v>--</v>
      </c>
      <c r="T29" s="458" t="str">
        <f t="shared" si="8"/>
        <v>--</v>
      </c>
      <c r="U29" s="459" t="str">
        <f t="shared" si="9"/>
        <v>--</v>
      </c>
      <c r="V29" s="460" t="str">
        <f t="shared" si="10"/>
        <v>--</v>
      </c>
      <c r="W29" s="461" t="str">
        <f t="shared" si="11"/>
        <v>--</v>
      </c>
      <c r="X29" s="462" t="str">
        <f t="shared" si="12"/>
        <v>--</v>
      </c>
      <c r="Y29" s="463" t="str">
        <f t="shared" si="13"/>
        <v>--</v>
      </c>
      <c r="Z29" s="173">
        <f t="shared" si="16"/>
      </c>
      <c r="AA29" s="396">
        <f t="shared" si="14"/>
      </c>
      <c r="AB29" s="17"/>
    </row>
    <row r="30" spans="1:28" s="5" customFormat="1" ht="16.5" customHeight="1">
      <c r="A30" s="90"/>
      <c r="B30" s="95"/>
      <c r="C30" s="168"/>
      <c r="D30" s="162"/>
      <c r="E30" s="397"/>
      <c r="F30" s="382"/>
      <c r="G30" s="383"/>
      <c r="H30" s="384">
        <f t="shared" si="0"/>
        <v>0</v>
      </c>
      <c r="I30" s="169"/>
      <c r="J30" s="169"/>
      <c r="K30" s="385">
        <f t="shared" si="1"/>
      </c>
      <c r="L30" s="14">
        <f t="shared" si="2"/>
      </c>
      <c r="M30" s="170"/>
      <c r="N30" s="282">
        <f t="shared" si="3"/>
      </c>
      <c r="O30" s="167">
        <f t="shared" si="15"/>
      </c>
      <c r="P30" s="166">
        <f t="shared" si="4"/>
      </c>
      <c r="Q30" s="483">
        <f t="shared" si="5"/>
        <v>20</v>
      </c>
      <c r="R30" s="456" t="str">
        <f t="shared" si="6"/>
        <v>--</v>
      </c>
      <c r="S30" s="457" t="str">
        <f t="shared" si="7"/>
        <v>--</v>
      </c>
      <c r="T30" s="458" t="str">
        <f t="shared" si="8"/>
        <v>--</v>
      </c>
      <c r="U30" s="459" t="str">
        <f t="shared" si="9"/>
        <v>--</v>
      </c>
      <c r="V30" s="460" t="str">
        <f t="shared" si="10"/>
        <v>--</v>
      </c>
      <c r="W30" s="461" t="str">
        <f t="shared" si="11"/>
        <v>--</v>
      </c>
      <c r="X30" s="462" t="str">
        <f t="shared" si="12"/>
        <v>--</v>
      </c>
      <c r="Y30" s="463" t="str">
        <f t="shared" si="13"/>
        <v>--</v>
      </c>
      <c r="Z30" s="173">
        <f t="shared" si="16"/>
      </c>
      <c r="AA30" s="396">
        <f t="shared" si="14"/>
      </c>
      <c r="AB30" s="17"/>
    </row>
    <row r="31" spans="1:28" s="5" customFormat="1" ht="16.5" customHeight="1">
      <c r="A31" s="90"/>
      <c r="B31" s="95"/>
      <c r="C31" s="367"/>
      <c r="D31" s="162"/>
      <c r="E31" s="397"/>
      <c r="F31" s="382"/>
      <c r="G31" s="383"/>
      <c r="H31" s="384">
        <f t="shared" si="0"/>
        <v>0</v>
      </c>
      <c r="I31" s="169"/>
      <c r="J31" s="169"/>
      <c r="K31" s="385">
        <f t="shared" si="1"/>
      </c>
      <c r="L31" s="14">
        <f t="shared" si="2"/>
      </c>
      <c r="M31" s="170"/>
      <c r="N31" s="282">
        <f t="shared" si="3"/>
      </c>
      <c r="O31" s="167">
        <f t="shared" si="15"/>
      </c>
      <c r="P31" s="166">
        <f t="shared" si="4"/>
      </c>
      <c r="Q31" s="483">
        <f t="shared" si="5"/>
        <v>20</v>
      </c>
      <c r="R31" s="456" t="str">
        <f t="shared" si="6"/>
        <v>--</v>
      </c>
      <c r="S31" s="457" t="str">
        <f t="shared" si="7"/>
        <v>--</v>
      </c>
      <c r="T31" s="458" t="str">
        <f t="shared" si="8"/>
        <v>--</v>
      </c>
      <c r="U31" s="459" t="str">
        <f t="shared" si="9"/>
        <v>--</v>
      </c>
      <c r="V31" s="460" t="str">
        <f t="shared" si="10"/>
        <v>--</v>
      </c>
      <c r="W31" s="461" t="str">
        <f t="shared" si="11"/>
        <v>--</v>
      </c>
      <c r="X31" s="462" t="str">
        <f t="shared" si="12"/>
        <v>--</v>
      </c>
      <c r="Y31" s="463" t="str">
        <f t="shared" si="13"/>
        <v>--</v>
      </c>
      <c r="Z31" s="173">
        <f t="shared" si="16"/>
      </c>
      <c r="AA31" s="396">
        <f t="shared" si="14"/>
      </c>
      <c r="AB31" s="17"/>
    </row>
    <row r="32" spans="1:28" s="5" customFormat="1" ht="16.5" customHeight="1">
      <c r="A32" s="90"/>
      <c r="B32" s="95"/>
      <c r="C32" s="168"/>
      <c r="D32" s="162"/>
      <c r="E32" s="397"/>
      <c r="F32" s="382"/>
      <c r="G32" s="383"/>
      <c r="H32" s="384">
        <f t="shared" si="0"/>
        <v>0</v>
      </c>
      <c r="I32" s="169"/>
      <c r="J32" s="169"/>
      <c r="K32" s="385">
        <f t="shared" si="1"/>
      </c>
      <c r="L32" s="14">
        <f t="shared" si="2"/>
      </c>
      <c r="M32" s="170"/>
      <c r="N32" s="282">
        <f t="shared" si="3"/>
      </c>
      <c r="O32" s="167">
        <f t="shared" si="15"/>
      </c>
      <c r="P32" s="166">
        <f t="shared" si="4"/>
      </c>
      <c r="Q32" s="483">
        <f t="shared" si="5"/>
        <v>20</v>
      </c>
      <c r="R32" s="456" t="str">
        <f t="shared" si="6"/>
        <v>--</v>
      </c>
      <c r="S32" s="457" t="str">
        <f t="shared" si="7"/>
        <v>--</v>
      </c>
      <c r="T32" s="458" t="str">
        <f t="shared" si="8"/>
        <v>--</v>
      </c>
      <c r="U32" s="459" t="str">
        <f t="shared" si="9"/>
        <v>--</v>
      </c>
      <c r="V32" s="460" t="str">
        <f t="shared" si="10"/>
        <v>--</v>
      </c>
      <c r="W32" s="461" t="str">
        <f t="shared" si="11"/>
        <v>--</v>
      </c>
      <c r="X32" s="462" t="str">
        <f t="shared" si="12"/>
        <v>--</v>
      </c>
      <c r="Y32" s="463" t="str">
        <f t="shared" si="13"/>
        <v>--</v>
      </c>
      <c r="Z32" s="173">
        <f t="shared" si="16"/>
      </c>
      <c r="AA32" s="396">
        <f t="shared" si="14"/>
      </c>
      <c r="AB32" s="17"/>
    </row>
    <row r="33" spans="1:28" s="5" customFormat="1" ht="16.5" customHeight="1">
      <c r="A33" s="90"/>
      <c r="B33" s="95"/>
      <c r="C33" s="367"/>
      <c r="D33" s="162"/>
      <c r="E33" s="397"/>
      <c r="F33" s="382"/>
      <c r="G33" s="383"/>
      <c r="H33" s="384">
        <f t="shared" si="0"/>
        <v>0</v>
      </c>
      <c r="I33" s="169"/>
      <c r="J33" s="169"/>
      <c r="K33" s="385">
        <f t="shared" si="1"/>
      </c>
      <c r="L33" s="14">
        <f t="shared" si="2"/>
      </c>
      <c r="M33" s="170"/>
      <c r="N33" s="282">
        <f t="shared" si="3"/>
      </c>
      <c r="O33" s="167">
        <f t="shared" si="15"/>
      </c>
      <c r="P33" s="166">
        <f t="shared" si="4"/>
      </c>
      <c r="Q33" s="483">
        <f t="shared" si="5"/>
        <v>20</v>
      </c>
      <c r="R33" s="456" t="str">
        <f t="shared" si="6"/>
        <v>--</v>
      </c>
      <c r="S33" s="457" t="str">
        <f t="shared" si="7"/>
        <v>--</v>
      </c>
      <c r="T33" s="458" t="str">
        <f t="shared" si="8"/>
        <v>--</v>
      </c>
      <c r="U33" s="459" t="str">
        <f t="shared" si="9"/>
        <v>--</v>
      </c>
      <c r="V33" s="460" t="str">
        <f t="shared" si="10"/>
        <v>--</v>
      </c>
      <c r="W33" s="461" t="str">
        <f t="shared" si="11"/>
        <v>--</v>
      </c>
      <c r="X33" s="462" t="str">
        <f t="shared" si="12"/>
        <v>--</v>
      </c>
      <c r="Y33" s="463" t="str">
        <f t="shared" si="13"/>
        <v>--</v>
      </c>
      <c r="Z33" s="173">
        <f t="shared" si="16"/>
      </c>
      <c r="AA33" s="396">
        <f t="shared" si="14"/>
      </c>
      <c r="AB33" s="17"/>
    </row>
    <row r="34" spans="1:28" s="5" customFormat="1" ht="16.5" customHeight="1">
      <c r="A34" s="90"/>
      <c r="B34" s="95"/>
      <c r="C34" s="168"/>
      <c r="D34" s="162"/>
      <c r="E34" s="397"/>
      <c r="F34" s="382"/>
      <c r="G34" s="383"/>
      <c r="H34" s="384">
        <f t="shared" si="0"/>
        <v>0</v>
      </c>
      <c r="I34" s="169"/>
      <c r="J34" s="169"/>
      <c r="K34" s="385">
        <f t="shared" si="1"/>
      </c>
      <c r="L34" s="14">
        <f t="shared" si="2"/>
      </c>
      <c r="M34" s="170"/>
      <c r="N34" s="282">
        <f t="shared" si="3"/>
      </c>
      <c r="O34" s="167">
        <f t="shared" si="15"/>
      </c>
      <c r="P34" s="166">
        <f t="shared" si="4"/>
      </c>
      <c r="Q34" s="483">
        <f t="shared" si="5"/>
        <v>20</v>
      </c>
      <c r="R34" s="456" t="str">
        <f t="shared" si="6"/>
        <v>--</v>
      </c>
      <c r="S34" s="457" t="str">
        <f t="shared" si="7"/>
        <v>--</v>
      </c>
      <c r="T34" s="458" t="str">
        <f t="shared" si="8"/>
        <v>--</v>
      </c>
      <c r="U34" s="459" t="str">
        <f t="shared" si="9"/>
        <v>--</v>
      </c>
      <c r="V34" s="460" t="str">
        <f t="shared" si="10"/>
        <v>--</v>
      </c>
      <c r="W34" s="461" t="str">
        <f t="shared" si="11"/>
        <v>--</v>
      </c>
      <c r="X34" s="462" t="str">
        <f t="shared" si="12"/>
        <v>--</v>
      </c>
      <c r="Y34" s="463" t="str">
        <f t="shared" si="13"/>
        <v>--</v>
      </c>
      <c r="Z34" s="173">
        <f t="shared" si="16"/>
      </c>
      <c r="AA34" s="396">
        <f t="shared" si="14"/>
      </c>
      <c r="AB34" s="17"/>
    </row>
    <row r="35" spans="1:28" s="5" customFormat="1" ht="16.5" customHeight="1">
      <c r="A35" s="90"/>
      <c r="B35" s="95"/>
      <c r="C35" s="367"/>
      <c r="D35" s="162"/>
      <c r="E35" s="397"/>
      <c r="F35" s="382"/>
      <c r="G35" s="383"/>
      <c r="H35" s="384">
        <f t="shared" si="0"/>
        <v>0</v>
      </c>
      <c r="I35" s="169"/>
      <c r="J35" s="169"/>
      <c r="K35" s="385">
        <f t="shared" si="1"/>
      </c>
      <c r="L35" s="14">
        <f t="shared" si="2"/>
      </c>
      <c r="M35" s="170"/>
      <c r="N35" s="282">
        <f t="shared" si="3"/>
      </c>
      <c r="O35" s="167">
        <f t="shared" si="15"/>
      </c>
      <c r="P35" s="166">
        <f t="shared" si="4"/>
      </c>
      <c r="Q35" s="483">
        <f t="shared" si="5"/>
        <v>20</v>
      </c>
      <c r="R35" s="456" t="str">
        <f t="shared" si="6"/>
        <v>--</v>
      </c>
      <c r="S35" s="457" t="str">
        <f t="shared" si="7"/>
        <v>--</v>
      </c>
      <c r="T35" s="458" t="str">
        <f t="shared" si="8"/>
        <v>--</v>
      </c>
      <c r="U35" s="459" t="str">
        <f t="shared" si="9"/>
        <v>--</v>
      </c>
      <c r="V35" s="460" t="str">
        <f t="shared" si="10"/>
        <v>--</v>
      </c>
      <c r="W35" s="461" t="str">
        <f t="shared" si="11"/>
        <v>--</v>
      </c>
      <c r="X35" s="462" t="str">
        <f t="shared" si="12"/>
        <v>--</v>
      </c>
      <c r="Y35" s="463" t="str">
        <f t="shared" si="13"/>
        <v>--</v>
      </c>
      <c r="Z35" s="173">
        <f t="shared" si="16"/>
      </c>
      <c r="AA35" s="396">
        <f t="shared" si="14"/>
      </c>
      <c r="AB35" s="17"/>
    </row>
    <row r="36" spans="1:28" s="5" customFormat="1" ht="16.5" customHeight="1">
      <c r="A36" s="90"/>
      <c r="B36" s="95"/>
      <c r="C36" s="168"/>
      <c r="D36" s="162"/>
      <c r="E36" s="397"/>
      <c r="F36" s="382"/>
      <c r="G36" s="383"/>
      <c r="H36" s="384">
        <f t="shared" si="0"/>
        <v>0</v>
      </c>
      <c r="I36" s="169"/>
      <c r="J36" s="169"/>
      <c r="K36" s="385">
        <f t="shared" si="1"/>
      </c>
      <c r="L36" s="14">
        <f t="shared" si="2"/>
      </c>
      <c r="M36" s="170"/>
      <c r="N36" s="282">
        <f t="shared" si="3"/>
      </c>
      <c r="O36" s="167">
        <f t="shared" si="15"/>
      </c>
      <c r="P36" s="166">
        <f t="shared" si="4"/>
      </c>
      <c r="Q36" s="483">
        <f t="shared" si="5"/>
        <v>20</v>
      </c>
      <c r="R36" s="456" t="str">
        <f t="shared" si="6"/>
        <v>--</v>
      </c>
      <c r="S36" s="457" t="str">
        <f t="shared" si="7"/>
        <v>--</v>
      </c>
      <c r="T36" s="458" t="str">
        <f t="shared" si="8"/>
        <v>--</v>
      </c>
      <c r="U36" s="459" t="str">
        <f t="shared" si="9"/>
        <v>--</v>
      </c>
      <c r="V36" s="460" t="str">
        <f t="shared" si="10"/>
        <v>--</v>
      </c>
      <c r="W36" s="461" t="str">
        <f t="shared" si="11"/>
        <v>--</v>
      </c>
      <c r="X36" s="462" t="str">
        <f t="shared" si="12"/>
        <v>--</v>
      </c>
      <c r="Y36" s="463" t="str">
        <f t="shared" si="13"/>
        <v>--</v>
      </c>
      <c r="Z36" s="173">
        <f t="shared" si="16"/>
      </c>
      <c r="AA36" s="396">
        <f t="shared" si="14"/>
      </c>
      <c r="AB36" s="17"/>
    </row>
    <row r="37" spans="1:28" s="5" customFormat="1" ht="16.5" customHeight="1">
      <c r="A37" s="90"/>
      <c r="B37" s="95"/>
      <c r="C37" s="367"/>
      <c r="D37" s="162"/>
      <c r="E37" s="397"/>
      <c r="F37" s="382"/>
      <c r="G37" s="383"/>
      <c r="H37" s="384">
        <f t="shared" si="0"/>
        <v>0</v>
      </c>
      <c r="I37" s="169"/>
      <c r="J37" s="169"/>
      <c r="K37" s="385">
        <f t="shared" si="1"/>
      </c>
      <c r="L37" s="14">
        <f t="shared" si="2"/>
      </c>
      <c r="M37" s="170"/>
      <c r="N37" s="282">
        <f t="shared" si="3"/>
      </c>
      <c r="O37" s="167">
        <f t="shared" si="15"/>
      </c>
      <c r="P37" s="166">
        <f t="shared" si="4"/>
      </c>
      <c r="Q37" s="483">
        <f t="shared" si="5"/>
        <v>20</v>
      </c>
      <c r="R37" s="456" t="str">
        <f t="shared" si="6"/>
        <v>--</v>
      </c>
      <c r="S37" s="457" t="str">
        <f t="shared" si="7"/>
        <v>--</v>
      </c>
      <c r="T37" s="458" t="str">
        <f t="shared" si="8"/>
        <v>--</v>
      </c>
      <c r="U37" s="459" t="str">
        <f t="shared" si="9"/>
        <v>--</v>
      </c>
      <c r="V37" s="460" t="str">
        <f t="shared" si="10"/>
        <v>--</v>
      </c>
      <c r="W37" s="461" t="str">
        <f t="shared" si="11"/>
        <v>--</v>
      </c>
      <c r="X37" s="462" t="str">
        <f t="shared" si="12"/>
        <v>--</v>
      </c>
      <c r="Y37" s="463" t="str">
        <f t="shared" si="13"/>
        <v>--</v>
      </c>
      <c r="Z37" s="173">
        <f t="shared" si="16"/>
      </c>
      <c r="AA37" s="396">
        <f t="shared" si="14"/>
      </c>
      <c r="AB37" s="17"/>
    </row>
    <row r="38" spans="1:28" s="5" customFormat="1" ht="16.5" customHeight="1">
      <c r="A38" s="90"/>
      <c r="B38" s="95"/>
      <c r="C38" s="168"/>
      <c r="D38" s="162"/>
      <c r="E38" s="397"/>
      <c r="F38" s="382"/>
      <c r="G38" s="383"/>
      <c r="H38" s="384">
        <f t="shared" si="0"/>
        <v>0</v>
      </c>
      <c r="I38" s="169"/>
      <c r="J38" s="169"/>
      <c r="K38" s="385">
        <f t="shared" si="1"/>
      </c>
      <c r="L38" s="14">
        <f t="shared" si="2"/>
      </c>
      <c r="M38" s="170"/>
      <c r="N38" s="282">
        <f t="shared" si="3"/>
      </c>
      <c r="O38" s="167">
        <f t="shared" si="15"/>
      </c>
      <c r="P38" s="166">
        <f t="shared" si="4"/>
      </c>
      <c r="Q38" s="483">
        <f t="shared" si="5"/>
        <v>20</v>
      </c>
      <c r="R38" s="456" t="str">
        <f t="shared" si="6"/>
        <v>--</v>
      </c>
      <c r="S38" s="457" t="str">
        <f t="shared" si="7"/>
        <v>--</v>
      </c>
      <c r="T38" s="458" t="str">
        <f t="shared" si="8"/>
        <v>--</v>
      </c>
      <c r="U38" s="459" t="str">
        <f t="shared" si="9"/>
        <v>--</v>
      </c>
      <c r="V38" s="460" t="str">
        <f t="shared" si="10"/>
        <v>--</v>
      </c>
      <c r="W38" s="461" t="str">
        <f t="shared" si="11"/>
        <v>--</v>
      </c>
      <c r="X38" s="462" t="str">
        <f t="shared" si="12"/>
        <v>--</v>
      </c>
      <c r="Y38" s="463" t="str">
        <f t="shared" si="13"/>
        <v>--</v>
      </c>
      <c r="Z38" s="173">
        <f t="shared" si="16"/>
      </c>
      <c r="AA38" s="396">
        <f t="shared" si="14"/>
      </c>
      <c r="AB38" s="17"/>
    </row>
    <row r="39" spans="1:28" s="5" customFormat="1" ht="16.5" customHeight="1">
      <c r="A39" s="90"/>
      <c r="B39" s="95"/>
      <c r="C39" s="367"/>
      <c r="D39" s="162"/>
      <c r="E39" s="397"/>
      <c r="F39" s="382"/>
      <c r="G39" s="383"/>
      <c r="H39" s="384">
        <f t="shared" si="0"/>
        <v>0</v>
      </c>
      <c r="I39" s="169"/>
      <c r="J39" s="169"/>
      <c r="K39" s="385">
        <f t="shared" si="1"/>
      </c>
      <c r="L39" s="14">
        <f t="shared" si="2"/>
      </c>
      <c r="M39" s="170"/>
      <c r="N39" s="282">
        <f t="shared" si="3"/>
      </c>
      <c r="O39" s="167">
        <f t="shared" si="15"/>
      </c>
      <c r="P39" s="166">
        <f t="shared" si="4"/>
      </c>
      <c r="Q39" s="483">
        <f t="shared" si="5"/>
        <v>20</v>
      </c>
      <c r="R39" s="456" t="str">
        <f t="shared" si="6"/>
        <v>--</v>
      </c>
      <c r="S39" s="457" t="str">
        <f t="shared" si="7"/>
        <v>--</v>
      </c>
      <c r="T39" s="458" t="str">
        <f t="shared" si="8"/>
        <v>--</v>
      </c>
      <c r="U39" s="459" t="str">
        <f t="shared" si="9"/>
        <v>--</v>
      </c>
      <c r="V39" s="460" t="str">
        <f t="shared" si="10"/>
        <v>--</v>
      </c>
      <c r="W39" s="461" t="str">
        <f t="shared" si="11"/>
        <v>--</v>
      </c>
      <c r="X39" s="462" t="str">
        <f t="shared" si="12"/>
        <v>--</v>
      </c>
      <c r="Y39" s="463" t="str">
        <f t="shared" si="13"/>
        <v>--</v>
      </c>
      <c r="Z39" s="173">
        <f t="shared" si="16"/>
      </c>
      <c r="AA39" s="396">
        <f t="shared" si="14"/>
      </c>
      <c r="AB39" s="17"/>
    </row>
    <row r="40" spans="1:28" s="5" customFormat="1" ht="16.5" customHeight="1" thickBot="1">
      <c r="A40" s="90"/>
      <c r="B40" s="95"/>
      <c r="C40" s="168"/>
      <c r="D40" s="398"/>
      <c r="E40" s="399"/>
      <c r="F40" s="398"/>
      <c r="G40" s="400"/>
      <c r="H40" s="139"/>
      <c r="I40" s="171"/>
      <c r="J40" s="401"/>
      <c r="K40" s="402"/>
      <c r="L40" s="403"/>
      <c r="M40" s="177"/>
      <c r="N40" s="210"/>
      <c r="O40" s="175"/>
      <c r="P40" s="177"/>
      <c r="Q40" s="484"/>
      <c r="R40" s="468"/>
      <c r="S40" s="469"/>
      <c r="T40" s="470"/>
      <c r="U40" s="471"/>
      <c r="V40" s="472"/>
      <c r="W40" s="473"/>
      <c r="X40" s="474"/>
      <c r="Y40" s="475"/>
      <c r="Z40" s="476"/>
      <c r="AA40" s="413"/>
      <c r="AB40" s="17"/>
    </row>
    <row r="41" spans="1:28" s="5" customFormat="1" ht="16.5" customHeight="1" thickBot="1" thickTop="1">
      <c r="A41" s="90"/>
      <c r="B41" s="95"/>
      <c r="C41" s="129" t="s">
        <v>25</v>
      </c>
      <c r="D41" s="130" t="s">
        <v>295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414">
        <f aca="true" t="shared" si="17" ref="R41:Y41">SUM(R18:R40)</f>
        <v>1448.8319999999999</v>
      </c>
      <c r="S41" s="415">
        <f t="shared" si="17"/>
        <v>0</v>
      </c>
      <c r="T41" s="416">
        <f t="shared" si="17"/>
        <v>537.6</v>
      </c>
      <c r="U41" s="417">
        <f t="shared" si="17"/>
        <v>1467.6480000000001</v>
      </c>
      <c r="V41" s="418">
        <f t="shared" si="17"/>
        <v>0</v>
      </c>
      <c r="W41" s="419">
        <f t="shared" si="17"/>
        <v>0</v>
      </c>
      <c r="X41" s="420">
        <f t="shared" si="17"/>
        <v>0</v>
      </c>
      <c r="Y41" s="421">
        <f t="shared" si="17"/>
        <v>0</v>
      </c>
      <c r="Z41" s="90"/>
      <c r="AA41" s="422">
        <f>ROUND(SUM(AA18:AA40),2)</f>
        <v>3454.08</v>
      </c>
      <c r="AB41" s="17"/>
    </row>
    <row r="42" spans="1:28" s="135" customFormat="1" ht="9.75" thickTop="1">
      <c r="A42" s="423"/>
      <c r="B42" s="424"/>
      <c r="C42" s="131"/>
      <c r="D42" s="132" t="s">
        <v>291</v>
      </c>
      <c r="E42" s="425"/>
      <c r="F42" s="425"/>
      <c r="G42" s="425"/>
      <c r="H42" s="425"/>
      <c r="I42" s="425"/>
      <c r="J42" s="426"/>
      <c r="K42" s="425"/>
      <c r="L42" s="425"/>
      <c r="M42" s="425"/>
      <c r="N42" s="425"/>
      <c r="O42" s="425"/>
      <c r="P42" s="425"/>
      <c r="Q42" s="425"/>
      <c r="R42" s="427"/>
      <c r="S42" s="427"/>
      <c r="T42" s="427"/>
      <c r="U42" s="427"/>
      <c r="V42" s="427"/>
      <c r="W42" s="427"/>
      <c r="X42" s="427"/>
      <c r="Y42" s="427"/>
      <c r="Z42" s="423"/>
      <c r="AA42" s="428"/>
      <c r="AB42" s="136"/>
    </row>
    <row r="43" spans="1:28" s="5" customFormat="1" ht="16.5" customHeight="1" thickBot="1">
      <c r="A43" s="90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</row>
    <row r="44" spans="1:29" ht="16.5" customHeight="1" thickTop="1">
      <c r="A44" s="2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</row>
    <row r="45" spans="1:29" ht="16.5" customHeight="1">
      <c r="A45" s="2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</row>
    <row r="46" spans="1:29" ht="16.5" customHeight="1">
      <c r="A46" s="2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</row>
    <row r="47" spans="1:29" ht="16.5" customHeight="1">
      <c r="A47" s="2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</row>
    <row r="48" spans="4:29" ht="16.5" customHeight="1"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</row>
    <row r="49" spans="4:29" ht="16.5" customHeight="1"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</row>
    <row r="50" spans="4:29" ht="16.5" customHeight="1"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</row>
    <row r="51" spans="4:29" ht="16.5" customHeight="1"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</row>
    <row r="52" spans="4:29" ht="16.5" customHeight="1"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</row>
    <row r="53" spans="4:29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</row>
    <row r="54" spans="4:29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</row>
    <row r="55" spans="4:29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</row>
    <row r="56" spans="4:29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</row>
    <row r="57" spans="4:29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</row>
    <row r="58" spans="4:29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</row>
    <row r="59" spans="4:29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</row>
    <row r="60" spans="4:29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</row>
    <row r="61" spans="4:29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</row>
    <row r="62" spans="4:29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</row>
    <row r="63" spans="4:29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</row>
    <row r="64" spans="4:29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</row>
    <row r="65" spans="4:29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</row>
    <row r="66" spans="4:29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</row>
    <row r="67" spans="4:29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</row>
    <row r="68" spans="4:29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</row>
    <row r="69" spans="4:29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</row>
    <row r="70" spans="4:29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</row>
    <row r="71" spans="4:29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</row>
    <row r="72" spans="4:29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</row>
    <row r="73" spans="4:29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</row>
    <row r="74" spans="4:29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</row>
    <row r="75" spans="4:29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</row>
    <row r="76" spans="4:29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</row>
    <row r="77" spans="4:29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</row>
    <row r="78" spans="4:29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</row>
    <row r="79" spans="4:29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</row>
    <row r="80" spans="4:29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</row>
    <row r="81" spans="4:29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</row>
    <row r="82" spans="4:29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</row>
    <row r="83" spans="4:29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</row>
    <row r="84" spans="4:29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</row>
    <row r="85" spans="4:29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</row>
    <row r="86" spans="4:29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</row>
    <row r="87" spans="4:29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</row>
    <row r="88" spans="4:29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</row>
    <row r="89" spans="4:29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</row>
    <row r="90" spans="4:29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</row>
    <row r="91" spans="4:29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</row>
    <row r="92" spans="4:29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</row>
    <row r="93" spans="4:29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</row>
    <row r="94" spans="4:29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</row>
    <row r="95" spans="4:29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</row>
    <row r="96" spans="4:29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</row>
    <row r="97" spans="4:29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</row>
    <row r="98" spans="4:29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</row>
    <row r="99" spans="4:29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</row>
    <row r="100" spans="4:29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</row>
    <row r="101" spans="4:29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</row>
    <row r="102" spans="4:29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</row>
    <row r="103" spans="4:29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</row>
    <row r="104" spans="4:29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</row>
    <row r="105" spans="4:29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</row>
    <row r="106" spans="4:29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</row>
    <row r="107" spans="4:29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</row>
    <row r="108" spans="4:29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</row>
    <row r="109" spans="4:29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</row>
    <row r="110" spans="4:29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</row>
    <row r="111" spans="4:29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</row>
    <row r="112" spans="4:29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</row>
    <row r="113" spans="4:29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</row>
    <row r="114" spans="4:29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</row>
    <row r="115" spans="4:29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</row>
    <row r="116" spans="4:29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</row>
    <row r="117" spans="4:29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</row>
    <row r="118" spans="4:29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</row>
    <row r="119" spans="4:29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</row>
    <row r="120" spans="4:29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</row>
    <row r="121" spans="4:29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</row>
    <row r="122" spans="4:29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</row>
    <row r="123" spans="4:29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</row>
    <row r="124" spans="4:29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</row>
    <row r="125" spans="4:29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</row>
    <row r="126" spans="4:29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</row>
    <row r="127" spans="4:29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</row>
    <row r="128" spans="4:29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</row>
    <row r="129" spans="4:29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</row>
    <row r="130" spans="4:29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</row>
    <row r="131" spans="4:29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</row>
    <row r="132" spans="4:29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</row>
    <row r="133" spans="4:29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</row>
    <row r="134" spans="4:29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</row>
    <row r="135" spans="4:29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</row>
    <row r="136" spans="4:29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</row>
    <row r="137" spans="4:29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</row>
    <row r="138" spans="4:29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</row>
    <row r="139" spans="4:29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</row>
    <row r="140" spans="4:29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</row>
    <row r="141" spans="4:29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</row>
    <row r="142" spans="4:29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</row>
    <row r="143" spans="4:29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</row>
    <row r="144" spans="4:29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</row>
    <row r="145" spans="4:29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</row>
    <row r="146" spans="4:29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</row>
    <row r="147" spans="4:29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</row>
    <row r="148" spans="4:29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</row>
    <row r="149" spans="4:29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</row>
    <row r="150" spans="4:29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</row>
    <row r="151" spans="4:29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</row>
    <row r="152" ht="16.5" customHeight="1">
      <c r="AC152" s="191"/>
    </row>
    <row r="153" ht="16.5" customHeight="1">
      <c r="AC153" s="191"/>
    </row>
    <row r="154" ht="16.5" customHeight="1">
      <c r="AC154" s="191"/>
    </row>
    <row r="155" ht="16.5" customHeight="1">
      <c r="AC155" s="191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W156"/>
  <sheetViews>
    <sheetView zoomScale="75" zoomScaleNormal="75" workbookViewId="0" topLeftCell="A10">
      <selection activeCell="T22" sqref="T22:T38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56"/>
    </row>
    <row r="2" spans="1:21" s="18" customFormat="1" ht="26.25">
      <c r="A2" s="91"/>
      <c r="B2" s="19" t="str">
        <f>+'TOT-1007'!B2</f>
        <v>ANEXO V al Memorandum D.T.E.E. N° 1955 /2009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61</v>
      </c>
      <c r="L8" s="107"/>
      <c r="M8" s="107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5" t="s">
        <v>89</v>
      </c>
      <c r="E10" s="485"/>
      <c r="F10" s="107"/>
      <c r="G10" s="110"/>
      <c r="I10" s="110"/>
      <c r="J10" s="110"/>
      <c r="K10" s="110"/>
      <c r="L10" s="110"/>
      <c r="M10" s="110"/>
      <c r="N10" s="110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486"/>
      <c r="E11" s="486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5" customFormat="1" ht="19.5">
      <c r="B12" s="37" t="str">
        <f>'TOT-1007'!B14</f>
        <v>Desde el 01 al 31 de octubre de 2007</v>
      </c>
      <c r="C12" s="40"/>
      <c r="D12" s="40"/>
      <c r="E12" s="40"/>
      <c r="F12" s="40"/>
      <c r="G12" s="487"/>
      <c r="H12" s="487"/>
      <c r="I12" s="487"/>
      <c r="J12" s="487"/>
      <c r="K12" s="487"/>
      <c r="L12" s="487"/>
      <c r="M12" s="487"/>
      <c r="N12" s="487"/>
      <c r="O12" s="40"/>
      <c r="P12" s="40"/>
      <c r="Q12" s="40"/>
      <c r="R12" s="40"/>
      <c r="S12" s="40"/>
      <c r="T12" s="40"/>
      <c r="U12" s="488"/>
    </row>
    <row r="13" spans="2:21" s="5" customFormat="1" ht="14.25" thickBot="1">
      <c r="B13" s="489"/>
      <c r="C13" s="490"/>
      <c r="D13" s="490"/>
      <c r="E13" s="490"/>
      <c r="F13" s="490"/>
      <c r="G13" s="491"/>
      <c r="H13" s="491"/>
      <c r="I13" s="491"/>
      <c r="J13" s="491"/>
      <c r="K13" s="491"/>
      <c r="L13" s="491"/>
      <c r="M13" s="491"/>
      <c r="N13" s="491"/>
      <c r="O13" s="490"/>
      <c r="P13" s="490"/>
      <c r="Q13" s="490"/>
      <c r="R13" s="490"/>
      <c r="S13" s="490"/>
      <c r="T13" s="490"/>
      <c r="U13" s="492"/>
    </row>
    <row r="14" spans="2:21" s="5" customFormat="1" ht="15" thickBot="1" thickTop="1">
      <c r="B14" s="50"/>
      <c r="C14" s="4"/>
      <c r="D14" s="493"/>
      <c r="E14" s="493"/>
      <c r="F14" s="119" t="s">
        <v>85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494" t="s">
        <v>86</v>
      </c>
      <c r="E15" s="495">
        <v>17.848</v>
      </c>
      <c r="F15" s="496">
        <v>200</v>
      </c>
      <c r="T15" s="117"/>
      <c r="U15" s="6"/>
    </row>
    <row r="16" spans="2:21" s="5" customFormat="1" ht="16.5" customHeight="1" thickBot="1" thickTop="1">
      <c r="B16" s="50"/>
      <c r="C16" s="4"/>
      <c r="D16" s="497" t="s">
        <v>87</v>
      </c>
      <c r="E16" s="498">
        <v>16.064</v>
      </c>
      <c r="F16" s="496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99" t="s">
        <v>88</v>
      </c>
      <c r="E17" s="551">
        <v>14.279</v>
      </c>
      <c r="F17" s="496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500"/>
      <c r="D18" s="501"/>
      <c r="E18" s="501"/>
      <c r="F18" s="502"/>
      <c r="G18" s="503"/>
      <c r="H18" s="503"/>
      <c r="I18" s="503"/>
      <c r="J18" s="503"/>
      <c r="K18" s="503"/>
      <c r="L18" s="503"/>
      <c r="M18" s="503"/>
      <c r="N18" s="504"/>
      <c r="O18" s="505"/>
      <c r="P18" s="506"/>
      <c r="Q18" s="506"/>
      <c r="R18" s="506"/>
      <c r="S18" s="507"/>
      <c r="T18" s="508"/>
      <c r="U18" s="6"/>
    </row>
    <row r="19" spans="2:21" s="5" customFormat="1" ht="33.75" customHeight="1" thickBot="1" thickTop="1">
      <c r="B19" s="50"/>
      <c r="C19" s="84" t="s">
        <v>13</v>
      </c>
      <c r="D19" s="86" t="s">
        <v>29</v>
      </c>
      <c r="E19" s="509" t="s">
        <v>30</v>
      </c>
      <c r="F19" s="510" t="s">
        <v>14</v>
      </c>
      <c r="G19" s="137" t="s">
        <v>16</v>
      </c>
      <c r="H19" s="85" t="s">
        <v>17</v>
      </c>
      <c r="I19" s="509" t="s">
        <v>18</v>
      </c>
      <c r="J19" s="511" t="s">
        <v>38</v>
      </c>
      <c r="K19" s="511" t="s">
        <v>33</v>
      </c>
      <c r="L19" s="88" t="s">
        <v>19</v>
      </c>
      <c r="M19" s="195" t="s">
        <v>34</v>
      </c>
      <c r="N19" s="145" t="s">
        <v>39</v>
      </c>
      <c r="O19" s="512" t="s">
        <v>62</v>
      </c>
      <c r="P19" s="197" t="s">
        <v>37</v>
      </c>
      <c r="Q19" s="513"/>
      <c r="R19" s="144" t="s">
        <v>22</v>
      </c>
      <c r="S19" s="142" t="s">
        <v>74</v>
      </c>
      <c r="T19" s="123" t="s">
        <v>24</v>
      </c>
      <c r="U19" s="6"/>
    </row>
    <row r="20" spans="2:21" s="5" customFormat="1" ht="16.5" customHeight="1" thickTop="1">
      <c r="B20" s="50"/>
      <c r="C20" s="7"/>
      <c r="D20" s="514"/>
      <c r="E20" s="514"/>
      <c r="F20" s="514"/>
      <c r="G20" s="278"/>
      <c r="H20" s="514"/>
      <c r="I20" s="514"/>
      <c r="J20" s="514"/>
      <c r="K20" s="514"/>
      <c r="L20" s="514"/>
      <c r="M20" s="514"/>
      <c r="N20" s="515"/>
      <c r="O20" s="516"/>
      <c r="P20" s="517"/>
      <c r="Q20" s="518"/>
      <c r="R20" s="519"/>
      <c r="S20" s="514"/>
      <c r="T20" s="520"/>
      <c r="U20" s="6"/>
    </row>
    <row r="21" spans="2:21" s="5" customFormat="1" ht="16.5" customHeight="1">
      <c r="B21" s="50"/>
      <c r="C21" s="367"/>
      <c r="D21" s="521"/>
      <c r="E21" s="521"/>
      <c r="F21" s="521"/>
      <c r="G21" s="522"/>
      <c r="H21" s="521"/>
      <c r="I21" s="521"/>
      <c r="J21" s="521"/>
      <c r="K21" s="521"/>
      <c r="L21" s="521"/>
      <c r="M21" s="521"/>
      <c r="N21" s="523"/>
      <c r="O21" s="524"/>
      <c r="P21" s="209"/>
      <c r="Q21" s="525"/>
      <c r="R21" s="526"/>
      <c r="S21" s="521"/>
      <c r="T21" s="527"/>
      <c r="U21" s="6"/>
    </row>
    <row r="22" spans="2:21" s="5" customFormat="1" ht="16.5" customHeight="1">
      <c r="B22" s="50"/>
      <c r="C22" s="168">
        <v>94</v>
      </c>
      <c r="D22" s="528" t="s">
        <v>247</v>
      </c>
      <c r="E22" s="528" t="s">
        <v>256</v>
      </c>
      <c r="F22" s="529">
        <v>132</v>
      </c>
      <c r="G22" s="138">
        <f aca="true" t="shared" si="0" ref="G22:G39">IF(F22=500,$E$15,IF(F22=220,$E$16,$E$17))</f>
        <v>14.279</v>
      </c>
      <c r="H22" s="530">
        <v>39356.44583333333</v>
      </c>
      <c r="I22" s="164">
        <v>39356.5875</v>
      </c>
      <c r="J22" s="531">
        <f aca="true" t="shared" si="1" ref="J22:J39">IF(D22="","",(I22-H22)*24)</f>
        <v>3.4000000000814907</v>
      </c>
      <c r="K22" s="532">
        <f aca="true" t="shared" si="2" ref="K22:K39">IF(D22="","",ROUND((I22-H22)*24*60,0))</f>
        <v>204</v>
      </c>
      <c r="L22" s="281" t="s">
        <v>187</v>
      </c>
      <c r="M22" s="166" t="str">
        <f aca="true" t="shared" si="3" ref="M22:M39">IF(D22="","",IF(L22="P","--","NO"))</f>
        <v>--</v>
      </c>
      <c r="N22" s="533">
        <f aca="true" t="shared" si="4" ref="N22:N39">IF(F22=500,$F$15,IF(F22=220,$F$16,$F$17))</f>
        <v>40</v>
      </c>
      <c r="O22" s="534">
        <f aca="true" t="shared" si="5" ref="O22:O39">IF(L22="P",G22*N22*ROUND(K22/60,2)*0.1,"--")</f>
        <v>194.19439999999997</v>
      </c>
      <c r="P22" s="535" t="str">
        <f aca="true" t="shared" si="6" ref="P22:P39">IF(AND(L22="F",M22="NO"),G22*N22,"--")</f>
        <v>--</v>
      </c>
      <c r="Q22" s="536" t="str">
        <f aca="true" t="shared" si="7" ref="Q22:Q39">IF(L22="F",G22*N22*ROUND(K22/60,2),"--")</f>
        <v>--</v>
      </c>
      <c r="R22" s="174" t="str">
        <f aca="true" t="shared" si="8" ref="R22:R39">IF(L22="RF",G22*N22*ROUND(K22/60,2),"--")</f>
        <v>--</v>
      </c>
      <c r="S22" s="166" t="str">
        <f aca="true" t="shared" si="9" ref="S22:S39">IF(D22="","","SI")</f>
        <v>SI</v>
      </c>
      <c r="T22" s="537">
        <f aca="true" t="shared" si="10" ref="T22:T39">IF(D22="","",SUM(O22:R22)*IF(S22="SI",1,2))</f>
        <v>194.19439999999997</v>
      </c>
      <c r="U22" s="6"/>
    </row>
    <row r="23" spans="2:21" s="5" customFormat="1" ht="16.5" customHeight="1">
      <c r="B23" s="50"/>
      <c r="C23" s="367">
        <v>95</v>
      </c>
      <c r="D23" s="528" t="s">
        <v>247</v>
      </c>
      <c r="E23" s="528" t="s">
        <v>256</v>
      </c>
      <c r="F23" s="529">
        <v>132</v>
      </c>
      <c r="G23" s="138">
        <f t="shared" si="0"/>
        <v>14.279</v>
      </c>
      <c r="H23" s="530">
        <v>39358.34166666667</v>
      </c>
      <c r="I23" s="164">
        <v>39358.65277777778</v>
      </c>
      <c r="J23" s="531">
        <f t="shared" si="1"/>
        <v>7.466666666732635</v>
      </c>
      <c r="K23" s="532">
        <f t="shared" si="2"/>
        <v>448</v>
      </c>
      <c r="L23" s="281" t="s">
        <v>187</v>
      </c>
      <c r="M23" s="166" t="str">
        <f t="shared" si="3"/>
        <v>--</v>
      </c>
      <c r="N23" s="533">
        <f t="shared" si="4"/>
        <v>40</v>
      </c>
      <c r="O23" s="534">
        <f t="shared" si="5"/>
        <v>426.65652</v>
      </c>
      <c r="P23" s="535" t="str">
        <f t="shared" si="6"/>
        <v>--</v>
      </c>
      <c r="Q23" s="536" t="str">
        <f t="shared" si="7"/>
        <v>--</v>
      </c>
      <c r="R23" s="174" t="str">
        <f t="shared" si="8"/>
        <v>--</v>
      </c>
      <c r="S23" s="166" t="str">
        <f t="shared" si="9"/>
        <v>SI</v>
      </c>
      <c r="T23" s="537">
        <f t="shared" si="10"/>
        <v>426.65652</v>
      </c>
      <c r="U23" s="6"/>
    </row>
    <row r="24" spans="2:21" s="5" customFormat="1" ht="16.5" customHeight="1">
      <c r="B24" s="50"/>
      <c r="C24" s="168">
        <v>96</v>
      </c>
      <c r="D24" s="528" t="s">
        <v>247</v>
      </c>
      <c r="E24" s="528" t="s">
        <v>256</v>
      </c>
      <c r="F24" s="529">
        <v>132</v>
      </c>
      <c r="G24" s="138">
        <f t="shared" si="0"/>
        <v>14.279</v>
      </c>
      <c r="H24" s="530">
        <v>39359.34444444445</v>
      </c>
      <c r="I24" s="164">
        <v>39359.6375</v>
      </c>
      <c r="J24" s="531">
        <f t="shared" si="1"/>
        <v>7.033333333209157</v>
      </c>
      <c r="K24" s="532">
        <f t="shared" si="2"/>
        <v>422</v>
      </c>
      <c r="L24" s="281" t="s">
        <v>187</v>
      </c>
      <c r="M24" s="166" t="str">
        <f t="shared" si="3"/>
        <v>--</v>
      </c>
      <c r="N24" s="533">
        <f t="shared" si="4"/>
        <v>40</v>
      </c>
      <c r="O24" s="534">
        <f t="shared" si="5"/>
        <v>401.52548</v>
      </c>
      <c r="P24" s="535" t="str">
        <f t="shared" si="6"/>
        <v>--</v>
      </c>
      <c r="Q24" s="536" t="str">
        <f t="shared" si="7"/>
        <v>--</v>
      </c>
      <c r="R24" s="174" t="str">
        <f t="shared" si="8"/>
        <v>--</v>
      </c>
      <c r="S24" s="166" t="str">
        <f t="shared" si="9"/>
        <v>SI</v>
      </c>
      <c r="T24" s="537">
        <f t="shared" si="10"/>
        <v>401.52548</v>
      </c>
      <c r="U24" s="6"/>
    </row>
    <row r="25" spans="2:21" s="5" customFormat="1" ht="16.5" customHeight="1">
      <c r="B25" s="50"/>
      <c r="C25" s="367">
        <v>97</v>
      </c>
      <c r="D25" s="528" t="s">
        <v>247</v>
      </c>
      <c r="E25" s="528" t="s">
        <v>256</v>
      </c>
      <c r="F25" s="529">
        <v>132</v>
      </c>
      <c r="G25" s="138">
        <f t="shared" si="0"/>
        <v>14.279</v>
      </c>
      <c r="H25" s="530">
        <v>39360.34166666667</v>
      </c>
      <c r="I25" s="164">
        <v>39360.65902777778</v>
      </c>
      <c r="J25" s="531">
        <f t="shared" si="1"/>
        <v>7.616666666697711</v>
      </c>
      <c r="K25" s="532">
        <f t="shared" si="2"/>
        <v>457</v>
      </c>
      <c r="L25" s="281" t="s">
        <v>187</v>
      </c>
      <c r="M25" s="166" t="str">
        <f t="shared" si="3"/>
        <v>--</v>
      </c>
      <c r="N25" s="533">
        <f t="shared" si="4"/>
        <v>40</v>
      </c>
      <c r="O25" s="534">
        <f t="shared" si="5"/>
        <v>435.22392</v>
      </c>
      <c r="P25" s="535" t="str">
        <f t="shared" si="6"/>
        <v>--</v>
      </c>
      <c r="Q25" s="536" t="str">
        <f t="shared" si="7"/>
        <v>--</v>
      </c>
      <c r="R25" s="174" t="str">
        <f t="shared" si="8"/>
        <v>--</v>
      </c>
      <c r="S25" s="166" t="str">
        <f t="shared" si="9"/>
        <v>SI</v>
      </c>
      <c r="T25" s="537">
        <f t="shared" si="10"/>
        <v>435.22392</v>
      </c>
      <c r="U25" s="6"/>
    </row>
    <row r="26" spans="2:21" s="5" customFormat="1" ht="16.5" customHeight="1">
      <c r="B26" s="50"/>
      <c r="C26" s="168">
        <v>98</v>
      </c>
      <c r="D26" s="528" t="s">
        <v>257</v>
      </c>
      <c r="E26" s="528" t="s">
        <v>258</v>
      </c>
      <c r="F26" s="529">
        <v>132</v>
      </c>
      <c r="G26" s="138">
        <f t="shared" si="0"/>
        <v>14.279</v>
      </c>
      <c r="H26" s="530">
        <v>39361.339583333334</v>
      </c>
      <c r="I26" s="164">
        <v>39361.729166666664</v>
      </c>
      <c r="J26" s="531">
        <f t="shared" si="1"/>
        <v>9.34999999991851</v>
      </c>
      <c r="K26" s="532">
        <f t="shared" si="2"/>
        <v>561</v>
      </c>
      <c r="L26" s="281" t="s">
        <v>187</v>
      </c>
      <c r="M26" s="166" t="str">
        <f t="shared" si="3"/>
        <v>--</v>
      </c>
      <c r="N26" s="533">
        <f t="shared" si="4"/>
        <v>40</v>
      </c>
      <c r="O26" s="534">
        <f t="shared" si="5"/>
        <v>534.0346</v>
      </c>
      <c r="P26" s="535" t="str">
        <f t="shared" si="6"/>
        <v>--</v>
      </c>
      <c r="Q26" s="536" t="str">
        <f t="shared" si="7"/>
        <v>--</v>
      </c>
      <c r="R26" s="174" t="str">
        <f t="shared" si="8"/>
        <v>--</v>
      </c>
      <c r="S26" s="166" t="str">
        <f t="shared" si="9"/>
        <v>SI</v>
      </c>
      <c r="T26" s="537">
        <f t="shared" si="10"/>
        <v>534.0346</v>
      </c>
      <c r="U26" s="6"/>
    </row>
    <row r="27" spans="2:21" s="5" customFormat="1" ht="16.5" customHeight="1">
      <c r="B27" s="50"/>
      <c r="C27" s="367">
        <v>99</v>
      </c>
      <c r="D27" s="528" t="s">
        <v>257</v>
      </c>
      <c r="E27" s="528" t="s">
        <v>258</v>
      </c>
      <c r="F27" s="529">
        <v>132</v>
      </c>
      <c r="G27" s="138">
        <f t="shared" si="0"/>
        <v>14.279</v>
      </c>
      <c r="H27" s="530">
        <v>39362.31458333333</v>
      </c>
      <c r="I27" s="164">
        <v>39362.790972222225</v>
      </c>
      <c r="J27" s="531">
        <f t="shared" si="1"/>
        <v>11.433333333407063</v>
      </c>
      <c r="K27" s="532">
        <f t="shared" si="2"/>
        <v>686</v>
      </c>
      <c r="L27" s="281" t="s">
        <v>187</v>
      </c>
      <c r="M27" s="166" t="str">
        <f t="shared" si="3"/>
        <v>--</v>
      </c>
      <c r="N27" s="533">
        <f t="shared" si="4"/>
        <v>40</v>
      </c>
      <c r="O27" s="534">
        <f t="shared" si="5"/>
        <v>652.83588</v>
      </c>
      <c r="P27" s="535" t="str">
        <f t="shared" si="6"/>
        <v>--</v>
      </c>
      <c r="Q27" s="536" t="str">
        <f t="shared" si="7"/>
        <v>--</v>
      </c>
      <c r="R27" s="174" t="str">
        <f t="shared" si="8"/>
        <v>--</v>
      </c>
      <c r="S27" s="166" t="str">
        <f t="shared" si="9"/>
        <v>SI</v>
      </c>
      <c r="T27" s="537">
        <f t="shared" si="10"/>
        <v>652.83588</v>
      </c>
      <c r="U27" s="6"/>
    </row>
    <row r="28" spans="2:21" s="5" customFormat="1" ht="16.5" customHeight="1">
      <c r="B28" s="50"/>
      <c r="C28" s="168">
        <v>100</v>
      </c>
      <c r="D28" s="528" t="s">
        <v>257</v>
      </c>
      <c r="E28" s="528" t="s">
        <v>259</v>
      </c>
      <c r="F28" s="529">
        <v>132</v>
      </c>
      <c r="G28" s="138">
        <f t="shared" si="0"/>
        <v>14.279</v>
      </c>
      <c r="H28" s="530">
        <v>39363.43819444445</v>
      </c>
      <c r="I28" s="164">
        <v>39363.645833333336</v>
      </c>
      <c r="J28" s="531">
        <f t="shared" si="1"/>
        <v>4.983333333337214</v>
      </c>
      <c r="K28" s="532">
        <f t="shared" si="2"/>
        <v>299</v>
      </c>
      <c r="L28" s="281" t="s">
        <v>187</v>
      </c>
      <c r="M28" s="166" t="str">
        <f t="shared" si="3"/>
        <v>--</v>
      </c>
      <c r="N28" s="533">
        <f t="shared" si="4"/>
        <v>40</v>
      </c>
      <c r="O28" s="534">
        <f t="shared" si="5"/>
        <v>284.43768</v>
      </c>
      <c r="P28" s="535" t="str">
        <f t="shared" si="6"/>
        <v>--</v>
      </c>
      <c r="Q28" s="536" t="str">
        <f t="shared" si="7"/>
        <v>--</v>
      </c>
      <c r="R28" s="174" t="str">
        <f t="shared" si="8"/>
        <v>--</v>
      </c>
      <c r="S28" s="166" t="str">
        <f t="shared" si="9"/>
        <v>SI</v>
      </c>
      <c r="T28" s="537">
        <f t="shared" si="10"/>
        <v>284.43768</v>
      </c>
      <c r="U28" s="6"/>
    </row>
    <row r="29" spans="2:21" s="5" customFormat="1" ht="16.5" customHeight="1">
      <c r="B29" s="50"/>
      <c r="C29" s="367">
        <v>101</v>
      </c>
      <c r="D29" s="528" t="s">
        <v>257</v>
      </c>
      <c r="E29" s="528" t="s">
        <v>259</v>
      </c>
      <c r="F29" s="529">
        <v>132</v>
      </c>
      <c r="G29" s="138">
        <f t="shared" si="0"/>
        <v>14.279</v>
      </c>
      <c r="H29" s="530">
        <v>39365.39513888889</v>
      </c>
      <c r="I29" s="164">
        <v>39365.739583333336</v>
      </c>
      <c r="J29" s="531">
        <f t="shared" si="1"/>
        <v>8.266666666720994</v>
      </c>
      <c r="K29" s="532">
        <f t="shared" si="2"/>
        <v>496</v>
      </c>
      <c r="L29" s="281" t="s">
        <v>187</v>
      </c>
      <c r="M29" s="166" t="str">
        <f t="shared" si="3"/>
        <v>--</v>
      </c>
      <c r="N29" s="533">
        <f t="shared" si="4"/>
        <v>40</v>
      </c>
      <c r="O29" s="534">
        <f t="shared" si="5"/>
        <v>472.34932000000003</v>
      </c>
      <c r="P29" s="535" t="str">
        <f t="shared" si="6"/>
        <v>--</v>
      </c>
      <c r="Q29" s="536" t="str">
        <f t="shared" si="7"/>
        <v>--</v>
      </c>
      <c r="R29" s="174" t="str">
        <f t="shared" si="8"/>
        <v>--</v>
      </c>
      <c r="S29" s="166" t="str">
        <f t="shared" si="9"/>
        <v>SI</v>
      </c>
      <c r="T29" s="537">
        <f t="shared" si="10"/>
        <v>472.34932000000003</v>
      </c>
      <c r="U29" s="6"/>
    </row>
    <row r="30" spans="2:21" s="5" customFormat="1" ht="16.5" customHeight="1">
      <c r="B30" s="50"/>
      <c r="C30" s="168">
        <v>102</v>
      </c>
      <c r="D30" s="528" t="s">
        <v>257</v>
      </c>
      <c r="E30" s="528" t="s">
        <v>259</v>
      </c>
      <c r="F30" s="529">
        <v>132</v>
      </c>
      <c r="G30" s="138">
        <f t="shared" si="0"/>
        <v>14.279</v>
      </c>
      <c r="H30" s="530">
        <v>39366.361805555556</v>
      </c>
      <c r="I30" s="164">
        <v>39366.62708333333</v>
      </c>
      <c r="J30" s="531">
        <f t="shared" si="1"/>
        <v>6.366666666639503</v>
      </c>
      <c r="K30" s="532">
        <f t="shared" si="2"/>
        <v>382</v>
      </c>
      <c r="L30" s="281" t="s">
        <v>187</v>
      </c>
      <c r="M30" s="166" t="str">
        <f t="shared" si="3"/>
        <v>--</v>
      </c>
      <c r="N30" s="533">
        <f t="shared" si="4"/>
        <v>40</v>
      </c>
      <c r="O30" s="534">
        <f t="shared" si="5"/>
        <v>363.82892</v>
      </c>
      <c r="P30" s="535" t="str">
        <f t="shared" si="6"/>
        <v>--</v>
      </c>
      <c r="Q30" s="536" t="str">
        <f t="shared" si="7"/>
        <v>--</v>
      </c>
      <c r="R30" s="174" t="str">
        <f t="shared" si="8"/>
        <v>--</v>
      </c>
      <c r="S30" s="166" t="str">
        <f t="shared" si="9"/>
        <v>SI</v>
      </c>
      <c r="T30" s="537">
        <f t="shared" si="10"/>
        <v>363.82892</v>
      </c>
      <c r="U30" s="6"/>
    </row>
    <row r="31" spans="2:21" s="5" customFormat="1" ht="16.5" customHeight="1">
      <c r="B31" s="50"/>
      <c r="C31" s="367">
        <v>103</v>
      </c>
      <c r="D31" s="528" t="s">
        <v>247</v>
      </c>
      <c r="E31" s="528" t="s">
        <v>260</v>
      </c>
      <c r="F31" s="529">
        <v>132</v>
      </c>
      <c r="G31" s="138">
        <f t="shared" si="0"/>
        <v>14.279</v>
      </c>
      <c r="H31" s="530">
        <v>39371.38888888889</v>
      </c>
      <c r="I31" s="164">
        <v>39371.71944444445</v>
      </c>
      <c r="J31" s="531">
        <f t="shared" si="1"/>
        <v>7.933333333348855</v>
      </c>
      <c r="K31" s="532">
        <f t="shared" si="2"/>
        <v>476</v>
      </c>
      <c r="L31" s="281" t="s">
        <v>187</v>
      </c>
      <c r="M31" s="166" t="str">
        <f t="shared" si="3"/>
        <v>--</v>
      </c>
      <c r="N31" s="533">
        <f t="shared" si="4"/>
        <v>40</v>
      </c>
      <c r="O31" s="534">
        <f t="shared" si="5"/>
        <v>452.92987999999997</v>
      </c>
      <c r="P31" s="535" t="str">
        <f t="shared" si="6"/>
        <v>--</v>
      </c>
      <c r="Q31" s="536" t="str">
        <f t="shared" si="7"/>
        <v>--</v>
      </c>
      <c r="R31" s="174" t="str">
        <f t="shared" si="8"/>
        <v>--</v>
      </c>
      <c r="S31" s="166" t="str">
        <f t="shared" si="9"/>
        <v>SI</v>
      </c>
      <c r="T31" s="537">
        <f t="shared" si="10"/>
        <v>452.92987999999997</v>
      </c>
      <c r="U31" s="6"/>
    </row>
    <row r="32" spans="2:21" s="5" customFormat="1" ht="16.5" customHeight="1">
      <c r="B32" s="50"/>
      <c r="C32" s="168">
        <v>104</v>
      </c>
      <c r="D32" s="528" t="s">
        <v>247</v>
      </c>
      <c r="E32" s="528" t="s">
        <v>260</v>
      </c>
      <c r="F32" s="529">
        <v>132</v>
      </c>
      <c r="G32" s="138">
        <f t="shared" si="0"/>
        <v>14.279</v>
      </c>
      <c r="H32" s="530">
        <v>39372.36597222222</v>
      </c>
      <c r="I32" s="164">
        <v>39372.729166666664</v>
      </c>
      <c r="J32" s="531">
        <f t="shared" si="1"/>
        <v>8.71666666661622</v>
      </c>
      <c r="K32" s="532">
        <f t="shared" si="2"/>
        <v>523</v>
      </c>
      <c r="L32" s="281" t="s">
        <v>187</v>
      </c>
      <c r="M32" s="166" t="str">
        <f t="shared" si="3"/>
        <v>--</v>
      </c>
      <c r="N32" s="533">
        <f t="shared" si="4"/>
        <v>40</v>
      </c>
      <c r="O32" s="534">
        <f t="shared" si="5"/>
        <v>498.05152</v>
      </c>
      <c r="P32" s="535" t="str">
        <f t="shared" si="6"/>
        <v>--</v>
      </c>
      <c r="Q32" s="536" t="str">
        <f t="shared" si="7"/>
        <v>--</v>
      </c>
      <c r="R32" s="174" t="str">
        <f t="shared" si="8"/>
        <v>--</v>
      </c>
      <c r="S32" s="166" t="str">
        <f t="shared" si="9"/>
        <v>SI</v>
      </c>
      <c r="T32" s="537">
        <f t="shared" si="10"/>
        <v>498.05152</v>
      </c>
      <c r="U32" s="6"/>
    </row>
    <row r="33" spans="2:21" s="5" customFormat="1" ht="16.5" customHeight="1">
      <c r="B33" s="50"/>
      <c r="C33" s="367">
        <v>105</v>
      </c>
      <c r="D33" s="528" t="s">
        <v>247</v>
      </c>
      <c r="E33" s="528" t="s">
        <v>260</v>
      </c>
      <c r="F33" s="529">
        <v>132</v>
      </c>
      <c r="G33" s="138">
        <f t="shared" si="0"/>
        <v>14.279</v>
      </c>
      <c r="H33" s="530">
        <v>39373.385416666664</v>
      </c>
      <c r="I33" s="164">
        <v>39373.714583333334</v>
      </c>
      <c r="J33" s="531">
        <f t="shared" si="1"/>
        <v>7.900000000081491</v>
      </c>
      <c r="K33" s="532">
        <f t="shared" si="2"/>
        <v>474</v>
      </c>
      <c r="L33" s="281" t="s">
        <v>187</v>
      </c>
      <c r="M33" s="166" t="str">
        <f t="shared" si="3"/>
        <v>--</v>
      </c>
      <c r="N33" s="533">
        <f t="shared" si="4"/>
        <v>40</v>
      </c>
      <c r="O33" s="534">
        <f t="shared" si="5"/>
        <v>451.2164</v>
      </c>
      <c r="P33" s="535" t="str">
        <f t="shared" si="6"/>
        <v>--</v>
      </c>
      <c r="Q33" s="536" t="str">
        <f t="shared" si="7"/>
        <v>--</v>
      </c>
      <c r="R33" s="174" t="str">
        <f t="shared" si="8"/>
        <v>--</v>
      </c>
      <c r="S33" s="166" t="str">
        <f t="shared" si="9"/>
        <v>SI</v>
      </c>
      <c r="T33" s="537">
        <f t="shared" si="10"/>
        <v>451.2164</v>
      </c>
      <c r="U33" s="6"/>
    </row>
    <row r="34" spans="2:21" s="5" customFormat="1" ht="16.5" customHeight="1">
      <c r="B34" s="50"/>
      <c r="C34" s="168">
        <v>106</v>
      </c>
      <c r="D34" s="528" t="s">
        <v>247</v>
      </c>
      <c r="E34" s="528" t="s">
        <v>260</v>
      </c>
      <c r="F34" s="529">
        <v>132</v>
      </c>
      <c r="G34" s="138">
        <f t="shared" si="0"/>
        <v>14.279</v>
      </c>
      <c r="H34" s="530">
        <v>39374.37986111111</v>
      </c>
      <c r="I34" s="164">
        <v>39374.64791666667</v>
      </c>
      <c r="J34" s="531">
        <f t="shared" si="1"/>
        <v>6.433333333348855</v>
      </c>
      <c r="K34" s="532">
        <f t="shared" si="2"/>
        <v>386</v>
      </c>
      <c r="L34" s="281" t="s">
        <v>187</v>
      </c>
      <c r="M34" s="166" t="str">
        <f t="shared" si="3"/>
        <v>--</v>
      </c>
      <c r="N34" s="533">
        <f t="shared" si="4"/>
        <v>40</v>
      </c>
      <c r="O34" s="534">
        <f t="shared" si="5"/>
        <v>367.25588</v>
      </c>
      <c r="P34" s="535" t="str">
        <f t="shared" si="6"/>
        <v>--</v>
      </c>
      <c r="Q34" s="536" t="str">
        <f t="shared" si="7"/>
        <v>--</v>
      </c>
      <c r="R34" s="174" t="str">
        <f t="shared" si="8"/>
        <v>--</v>
      </c>
      <c r="S34" s="166" t="str">
        <f t="shared" si="9"/>
        <v>SI</v>
      </c>
      <c r="T34" s="537">
        <f t="shared" si="10"/>
        <v>367.25588</v>
      </c>
      <c r="U34" s="6"/>
    </row>
    <row r="35" spans="2:21" s="5" customFormat="1" ht="16.5" customHeight="1">
      <c r="B35" s="50"/>
      <c r="C35" s="367">
        <v>107</v>
      </c>
      <c r="D35" s="528" t="s">
        <v>247</v>
      </c>
      <c r="E35" s="528" t="s">
        <v>261</v>
      </c>
      <c r="F35" s="529">
        <v>500</v>
      </c>
      <c r="G35" s="138">
        <f t="shared" si="0"/>
        <v>17.848</v>
      </c>
      <c r="H35" s="530">
        <v>39379.24930555555</v>
      </c>
      <c r="I35" s="164">
        <v>39379.42569444444</v>
      </c>
      <c r="J35" s="531">
        <f t="shared" si="1"/>
        <v>4.233333333337214</v>
      </c>
      <c r="K35" s="532">
        <f t="shared" si="2"/>
        <v>254</v>
      </c>
      <c r="L35" s="281" t="s">
        <v>190</v>
      </c>
      <c r="M35" s="166" t="str">
        <f t="shared" si="3"/>
        <v>NO</v>
      </c>
      <c r="N35" s="533">
        <f t="shared" si="4"/>
        <v>200</v>
      </c>
      <c r="O35" s="534" t="str">
        <f t="shared" si="5"/>
        <v>--</v>
      </c>
      <c r="P35" s="535">
        <f t="shared" si="6"/>
        <v>3569.6</v>
      </c>
      <c r="Q35" s="536">
        <f t="shared" si="7"/>
        <v>15099.408000000001</v>
      </c>
      <c r="R35" s="174" t="str">
        <f t="shared" si="8"/>
        <v>--</v>
      </c>
      <c r="S35" s="166" t="str">
        <f t="shared" si="9"/>
        <v>SI</v>
      </c>
      <c r="T35" s="537">
        <f t="shared" si="10"/>
        <v>18669.008</v>
      </c>
      <c r="U35" s="6"/>
    </row>
    <row r="36" spans="2:21" s="5" customFormat="1" ht="16.5" customHeight="1">
      <c r="B36" s="50"/>
      <c r="C36" s="168">
        <v>108</v>
      </c>
      <c r="D36" s="528" t="s">
        <v>257</v>
      </c>
      <c r="E36" s="528" t="s">
        <v>258</v>
      </c>
      <c r="F36" s="529">
        <v>132</v>
      </c>
      <c r="G36" s="138">
        <f t="shared" si="0"/>
        <v>14.279</v>
      </c>
      <c r="H36" s="530">
        <v>39382.21805555555</v>
      </c>
      <c r="I36" s="164">
        <v>39382.354166666664</v>
      </c>
      <c r="J36" s="531">
        <f t="shared" si="1"/>
        <v>3.266666666662786</v>
      </c>
      <c r="K36" s="532">
        <f t="shared" si="2"/>
        <v>196</v>
      </c>
      <c r="L36" s="281" t="s">
        <v>187</v>
      </c>
      <c r="M36" s="166" t="str">
        <f t="shared" si="3"/>
        <v>--</v>
      </c>
      <c r="N36" s="533">
        <f t="shared" si="4"/>
        <v>40</v>
      </c>
      <c r="O36" s="534">
        <f t="shared" si="5"/>
        <v>186.76932</v>
      </c>
      <c r="P36" s="535" t="str">
        <f t="shared" si="6"/>
        <v>--</v>
      </c>
      <c r="Q36" s="536" t="str">
        <f t="shared" si="7"/>
        <v>--</v>
      </c>
      <c r="R36" s="174" t="str">
        <f t="shared" si="8"/>
        <v>--</v>
      </c>
      <c r="S36" s="166" t="str">
        <f t="shared" si="9"/>
        <v>SI</v>
      </c>
      <c r="T36" s="537">
        <f t="shared" si="10"/>
        <v>186.76932</v>
      </c>
      <c r="U36" s="6"/>
    </row>
    <row r="37" spans="2:21" s="5" customFormat="1" ht="16.5" customHeight="1">
      <c r="B37" s="50"/>
      <c r="C37" s="367">
        <v>109</v>
      </c>
      <c r="D37" s="528" t="s">
        <v>257</v>
      </c>
      <c r="E37" s="528" t="s">
        <v>262</v>
      </c>
      <c r="F37" s="529">
        <v>132</v>
      </c>
      <c r="G37" s="138">
        <f t="shared" si="0"/>
        <v>14.279</v>
      </c>
      <c r="H37" s="530">
        <v>39384.45763888889</v>
      </c>
      <c r="I37" s="164">
        <v>39384.782638888886</v>
      </c>
      <c r="J37" s="531">
        <f t="shared" si="1"/>
        <v>7.799999999930151</v>
      </c>
      <c r="K37" s="532">
        <f t="shared" si="2"/>
        <v>468</v>
      </c>
      <c r="L37" s="281" t="s">
        <v>187</v>
      </c>
      <c r="M37" s="166" t="str">
        <f t="shared" si="3"/>
        <v>--</v>
      </c>
      <c r="N37" s="533">
        <f t="shared" si="4"/>
        <v>40</v>
      </c>
      <c r="O37" s="534">
        <f t="shared" si="5"/>
        <v>445.5048</v>
      </c>
      <c r="P37" s="535" t="str">
        <f t="shared" si="6"/>
        <v>--</v>
      </c>
      <c r="Q37" s="536" t="str">
        <f t="shared" si="7"/>
        <v>--</v>
      </c>
      <c r="R37" s="174" t="str">
        <f t="shared" si="8"/>
        <v>--</v>
      </c>
      <c r="S37" s="166" t="str">
        <f t="shared" si="9"/>
        <v>SI</v>
      </c>
      <c r="T37" s="537">
        <f t="shared" si="10"/>
        <v>445.5048</v>
      </c>
      <c r="U37" s="6"/>
    </row>
    <row r="38" spans="2:21" s="5" customFormat="1" ht="16.5" customHeight="1">
      <c r="B38" s="50"/>
      <c r="C38" s="168">
        <v>110</v>
      </c>
      <c r="D38" s="528" t="s">
        <v>257</v>
      </c>
      <c r="E38" s="528" t="s">
        <v>262</v>
      </c>
      <c r="F38" s="529">
        <v>132</v>
      </c>
      <c r="G38" s="138">
        <f t="shared" si="0"/>
        <v>14.279</v>
      </c>
      <c r="H38" s="530">
        <v>39385.38263888889</v>
      </c>
      <c r="I38" s="164">
        <v>39385.76736111111</v>
      </c>
      <c r="J38" s="531">
        <f t="shared" si="1"/>
        <v>9.233333333220799</v>
      </c>
      <c r="K38" s="532">
        <f t="shared" si="2"/>
        <v>554</v>
      </c>
      <c r="L38" s="281" t="s">
        <v>187</v>
      </c>
      <c r="M38" s="166" t="str">
        <f t="shared" si="3"/>
        <v>--</v>
      </c>
      <c r="N38" s="533">
        <f t="shared" si="4"/>
        <v>40</v>
      </c>
      <c r="O38" s="534">
        <f t="shared" si="5"/>
        <v>527.18068</v>
      </c>
      <c r="P38" s="535" t="str">
        <f t="shared" si="6"/>
        <v>--</v>
      </c>
      <c r="Q38" s="536" t="str">
        <f t="shared" si="7"/>
        <v>--</v>
      </c>
      <c r="R38" s="174" t="str">
        <f t="shared" si="8"/>
        <v>--</v>
      </c>
      <c r="S38" s="166" t="str">
        <f t="shared" si="9"/>
        <v>SI</v>
      </c>
      <c r="T38" s="537">
        <f t="shared" si="10"/>
        <v>527.18068</v>
      </c>
      <c r="U38" s="6"/>
    </row>
    <row r="39" spans="2:21" s="5" customFormat="1" ht="16.5" customHeight="1">
      <c r="B39" s="50"/>
      <c r="C39" s="367"/>
      <c r="D39" s="528"/>
      <c r="E39" s="528"/>
      <c r="F39" s="529"/>
      <c r="G39" s="138">
        <f t="shared" si="0"/>
        <v>14.279</v>
      </c>
      <c r="H39" s="530"/>
      <c r="I39" s="164"/>
      <c r="J39" s="531">
        <f t="shared" si="1"/>
      </c>
      <c r="K39" s="532">
        <f t="shared" si="2"/>
      </c>
      <c r="L39" s="281"/>
      <c r="M39" s="166">
        <f t="shared" si="3"/>
      </c>
      <c r="N39" s="533">
        <f t="shared" si="4"/>
        <v>40</v>
      </c>
      <c r="O39" s="534" t="str">
        <f t="shared" si="5"/>
        <v>--</v>
      </c>
      <c r="P39" s="535" t="str">
        <f t="shared" si="6"/>
        <v>--</v>
      </c>
      <c r="Q39" s="536" t="str">
        <f t="shared" si="7"/>
        <v>--</v>
      </c>
      <c r="R39" s="174" t="str">
        <f t="shared" si="8"/>
        <v>--</v>
      </c>
      <c r="S39" s="166">
        <f t="shared" si="9"/>
      </c>
      <c r="T39" s="537">
        <f t="shared" si="10"/>
      </c>
      <c r="U39" s="6"/>
    </row>
    <row r="40" spans="2:21" s="5" customFormat="1" ht="16.5" customHeight="1" thickBot="1">
      <c r="B40" s="50"/>
      <c r="C40" s="168"/>
      <c r="D40" s="159"/>
      <c r="E40" s="159"/>
      <c r="F40" s="298"/>
      <c r="G40" s="139"/>
      <c r="H40" s="538"/>
      <c r="I40" s="538"/>
      <c r="J40" s="539"/>
      <c r="K40" s="539"/>
      <c r="L40" s="538"/>
      <c r="M40" s="165"/>
      <c r="N40" s="540"/>
      <c r="O40" s="541"/>
      <c r="P40" s="542"/>
      <c r="Q40" s="543"/>
      <c r="R40" s="176"/>
      <c r="S40" s="165"/>
      <c r="T40" s="544"/>
      <c r="U40" s="6"/>
    </row>
    <row r="41" spans="2:21" s="5" customFormat="1" ht="16.5" customHeight="1" thickBot="1" thickTop="1">
      <c r="B41" s="50"/>
      <c r="C41" s="129" t="s">
        <v>25</v>
      </c>
      <c r="D41" s="130" t="s">
        <v>292</v>
      </c>
      <c r="E41"/>
      <c r="F41" s="4"/>
      <c r="G41" s="4"/>
      <c r="H41" s="4"/>
      <c r="I41" s="4"/>
      <c r="J41" s="4"/>
      <c r="K41" s="4"/>
      <c r="L41" s="4"/>
      <c r="M41" s="4"/>
      <c r="N41" s="4"/>
      <c r="O41" s="545">
        <f>SUM(O20:O40)</f>
        <v>6693.9952</v>
      </c>
      <c r="P41" s="546">
        <f>SUM(P20:P40)</f>
        <v>3569.6</v>
      </c>
      <c r="Q41" s="547">
        <f>SUM(Q20:Q40)</f>
        <v>15099.408000000001</v>
      </c>
      <c r="R41" s="548">
        <f>SUM(R20:R40)</f>
        <v>0</v>
      </c>
      <c r="S41" s="549"/>
      <c r="T41" s="101">
        <f>ROUND(SUM(T20:T40),2)</f>
        <v>25363</v>
      </c>
      <c r="U41" s="6"/>
    </row>
    <row r="42" spans="2:21" s="135" customFormat="1" ht="13.5" thickTop="1">
      <c r="B42" s="134"/>
      <c r="C42" s="131"/>
      <c r="D42" s="132" t="s">
        <v>287</v>
      </c>
      <c r="E42"/>
      <c r="F42" s="133"/>
      <c r="G42" s="133"/>
      <c r="H42" s="133"/>
      <c r="I42" s="133"/>
      <c r="J42" s="133"/>
      <c r="K42" s="133"/>
      <c r="L42" s="133"/>
      <c r="M42" s="133"/>
      <c r="N42" s="133"/>
      <c r="O42" s="427"/>
      <c r="P42" s="427"/>
      <c r="Q42" s="427"/>
      <c r="R42" s="427"/>
      <c r="S42" s="427"/>
      <c r="T42" s="216"/>
      <c r="U42" s="550"/>
    </row>
    <row r="43" spans="2:21" s="5" customFormat="1" ht="16.5" customHeight="1" thickBot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</row>
    <row r="44" spans="21:23" ht="16.5" customHeight="1" thickTop="1">
      <c r="U44" s="191"/>
      <c r="V44" s="191"/>
      <c r="W44" s="191"/>
    </row>
    <row r="45" spans="21:23" ht="16.5" customHeight="1">
      <c r="U45" s="191"/>
      <c r="V45" s="191"/>
      <c r="W45" s="191"/>
    </row>
    <row r="46" spans="21:23" ht="16.5" customHeight="1">
      <c r="U46" s="191"/>
      <c r="V46" s="191"/>
      <c r="W46" s="191"/>
    </row>
    <row r="47" spans="21:23" ht="16.5" customHeight="1">
      <c r="U47" s="191"/>
      <c r="V47" s="191"/>
      <c r="W47" s="191"/>
    </row>
    <row r="48" spans="21:23" ht="16.5" customHeight="1">
      <c r="U48" s="191"/>
      <c r="V48" s="191"/>
      <c r="W48" s="191"/>
    </row>
    <row r="49" spans="4:23" ht="16.5" customHeight="1"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</row>
    <row r="50" spans="4:23" ht="16.5" customHeight="1"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</row>
    <row r="51" spans="4:23" ht="16.5" customHeight="1"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</row>
    <row r="52" spans="4:23" ht="16.5" customHeight="1"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</row>
    <row r="53" spans="4:23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</row>
    <row r="54" spans="4:23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</row>
    <row r="55" spans="4:23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</row>
    <row r="56" spans="4:23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</row>
    <row r="57" spans="4:23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</row>
    <row r="58" spans="4:23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</row>
    <row r="59" spans="4:23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</row>
    <row r="60" spans="4:23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</row>
    <row r="61" spans="4:23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</row>
    <row r="62" spans="4:23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</row>
    <row r="63" spans="4:23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</row>
    <row r="64" spans="4:23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</row>
    <row r="65" spans="4:23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</row>
    <row r="66" spans="4:23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</row>
    <row r="67" spans="4:23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</row>
    <row r="68" spans="4:23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</row>
    <row r="69" spans="4:23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</row>
    <row r="70" spans="4:23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</row>
    <row r="71" spans="4:23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</row>
    <row r="72" spans="4:23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</row>
    <row r="73" spans="4:23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</row>
    <row r="74" spans="4:23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</row>
    <row r="75" spans="4:23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</row>
    <row r="76" spans="4:23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</row>
    <row r="77" spans="4:23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</row>
    <row r="78" spans="4:23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</row>
    <row r="79" spans="4:23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</row>
    <row r="80" spans="4:23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</row>
    <row r="81" spans="4:23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</row>
    <row r="82" spans="4:23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</row>
    <row r="83" spans="4:23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</row>
    <row r="84" spans="4:23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</row>
    <row r="85" spans="4:23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</row>
    <row r="86" spans="4:23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</row>
    <row r="87" spans="4:23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</row>
    <row r="88" spans="4:23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</row>
    <row r="89" spans="4:23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</row>
    <row r="90" spans="4:23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</row>
    <row r="91" spans="4:23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</row>
    <row r="92" spans="4:23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</row>
    <row r="93" spans="4:23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</row>
    <row r="94" spans="4:23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</row>
    <row r="95" spans="4:23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</row>
    <row r="96" spans="4:23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</row>
    <row r="97" spans="4:23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</row>
    <row r="98" spans="4:23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</row>
    <row r="99" spans="4:23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</row>
    <row r="100" spans="4:23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</row>
    <row r="101" spans="4:23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</row>
    <row r="102" spans="4:23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</row>
    <row r="103" spans="4:23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</row>
    <row r="104" spans="4:23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</row>
    <row r="105" spans="4:23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</row>
    <row r="106" spans="4:23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</row>
    <row r="107" spans="4:23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</row>
    <row r="108" spans="4:23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</row>
    <row r="109" spans="4:23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</row>
    <row r="110" spans="4:23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</row>
    <row r="111" spans="4:23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</row>
    <row r="112" spans="4:23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</row>
    <row r="113" spans="4:23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</row>
    <row r="114" spans="4:23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</row>
    <row r="115" spans="4:23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</row>
    <row r="116" spans="4:23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</row>
    <row r="117" spans="4:23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</row>
    <row r="118" spans="4:23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</row>
    <row r="119" spans="4:23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</row>
    <row r="120" spans="4:23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</row>
    <row r="121" spans="4:23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</row>
    <row r="122" spans="4:23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</row>
    <row r="123" spans="4:23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</row>
    <row r="124" spans="4:23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</row>
    <row r="125" spans="4:23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</row>
    <row r="126" spans="4:23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</row>
    <row r="127" spans="4:23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</row>
    <row r="128" spans="4:23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</row>
    <row r="129" spans="4:23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</row>
    <row r="130" spans="4:23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</row>
    <row r="131" spans="4:23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</row>
    <row r="132" spans="4:23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</row>
    <row r="133" spans="4:23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</row>
    <row r="134" spans="4:23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</row>
    <row r="135" spans="4:23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</row>
    <row r="136" spans="4:23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</row>
    <row r="137" spans="4:23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</row>
    <row r="138" spans="4:23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</row>
    <row r="139" spans="4:23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</row>
    <row r="140" spans="4:23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</row>
    <row r="141" spans="4:23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</row>
    <row r="142" spans="4:23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</row>
    <row r="143" spans="4:23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</row>
    <row r="144" spans="4:23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</row>
    <row r="145" spans="4:23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</row>
    <row r="146" spans="4:23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</row>
    <row r="147" spans="4:23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</row>
    <row r="148" spans="4:23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</row>
    <row r="149" spans="4:23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</row>
    <row r="150" spans="4:23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</row>
    <row r="151" spans="4:23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</row>
    <row r="152" spans="4:23" ht="16.5" customHeight="1"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</row>
    <row r="153" spans="4:23" ht="16.5" customHeight="1"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</row>
    <row r="154" spans="4:23" ht="16.5" customHeight="1"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</row>
    <row r="155" spans="4:23" ht="16.5" customHeight="1"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</row>
    <row r="156" spans="4:23" ht="16.5" customHeight="1"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</row>
    <row r="159" ht="12.75"/>
    <row r="160" ht="12.75"/>
    <row r="161" ht="12.75"/>
    <row r="162" ht="12.75"/>
    <row r="163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W158"/>
  <sheetViews>
    <sheetView zoomScale="75" zoomScaleNormal="75" workbookViewId="0" topLeftCell="A1">
      <selection activeCell="T22" sqref="T22:T29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56"/>
    </row>
    <row r="2" spans="1:21" s="18" customFormat="1" ht="26.25">
      <c r="A2" s="91"/>
      <c r="B2" s="19" t="str">
        <f>+'TOT-1007'!B2</f>
        <v>ANEXO V al Memorandum D.T.E.E. N° 1955 /2009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61</v>
      </c>
      <c r="L8" s="107"/>
      <c r="M8" s="107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5" t="s">
        <v>90</v>
      </c>
      <c r="E10" s="485"/>
      <c r="F10" s="107"/>
      <c r="G10" s="110"/>
      <c r="I10" s="110"/>
      <c r="J10" s="110"/>
      <c r="K10" s="110"/>
      <c r="L10" s="110"/>
      <c r="M10" s="110"/>
      <c r="N10" s="110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486"/>
      <c r="E11" s="486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5" customFormat="1" ht="19.5">
      <c r="B12" s="37" t="str">
        <f>'TOT-1007'!B14</f>
        <v>Desde el 01 al 31 de octubre de 2007</v>
      </c>
      <c r="C12" s="40"/>
      <c r="D12" s="40"/>
      <c r="E12" s="40"/>
      <c r="F12" s="40"/>
      <c r="G12" s="487"/>
      <c r="H12" s="487"/>
      <c r="I12" s="487"/>
      <c r="J12" s="487"/>
      <c r="K12" s="487"/>
      <c r="L12" s="487"/>
      <c r="M12" s="487"/>
      <c r="N12" s="487"/>
      <c r="O12" s="40"/>
      <c r="P12" s="40"/>
      <c r="Q12" s="40"/>
      <c r="R12" s="40"/>
      <c r="S12" s="40"/>
      <c r="T12" s="40"/>
      <c r="U12" s="488"/>
    </row>
    <row r="13" spans="2:21" s="5" customFormat="1" ht="14.25" thickBot="1">
      <c r="B13" s="489"/>
      <c r="C13" s="490"/>
      <c r="D13" s="490"/>
      <c r="E13" s="490"/>
      <c r="F13" s="490"/>
      <c r="G13" s="491"/>
      <c r="H13" s="491"/>
      <c r="I13" s="491"/>
      <c r="J13" s="491"/>
      <c r="K13" s="491"/>
      <c r="L13" s="491"/>
      <c r="M13" s="491"/>
      <c r="N13" s="491"/>
      <c r="O13" s="490"/>
      <c r="P13" s="490"/>
      <c r="Q13" s="490"/>
      <c r="R13" s="490"/>
      <c r="S13" s="490"/>
      <c r="T13" s="490"/>
      <c r="U13" s="492"/>
    </row>
    <row r="14" spans="2:21" s="5" customFormat="1" ht="15" thickBot="1" thickTop="1">
      <c r="B14" s="50"/>
      <c r="C14" s="4"/>
      <c r="D14" s="493"/>
      <c r="E14" s="493"/>
      <c r="F14" s="119" t="s">
        <v>85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494" t="s">
        <v>86</v>
      </c>
      <c r="E15" s="495">
        <v>11.787</v>
      </c>
      <c r="F15" s="496">
        <v>200</v>
      </c>
      <c r="T15" s="117"/>
      <c r="U15" s="6"/>
    </row>
    <row r="16" spans="2:21" s="5" customFormat="1" ht="16.5" customHeight="1" thickBot="1" thickTop="1">
      <c r="B16" s="50"/>
      <c r="C16" s="4"/>
      <c r="D16" s="497" t="s">
        <v>87</v>
      </c>
      <c r="E16" s="498">
        <v>10.609</v>
      </c>
      <c r="F16" s="496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99" t="s">
        <v>88</v>
      </c>
      <c r="E17" s="498">
        <v>9.43</v>
      </c>
      <c r="F17" s="496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500"/>
      <c r="D18" s="501"/>
      <c r="E18" s="501"/>
      <c r="F18" s="502"/>
      <c r="G18" s="503"/>
      <c r="H18" s="503"/>
      <c r="I18" s="503"/>
      <c r="J18" s="503"/>
      <c r="K18" s="503"/>
      <c r="L18" s="503"/>
      <c r="M18" s="503"/>
      <c r="N18" s="504"/>
      <c r="O18" s="505"/>
      <c r="P18" s="506"/>
      <c r="Q18" s="506"/>
      <c r="R18" s="506"/>
      <c r="S18" s="507"/>
      <c r="T18" s="508"/>
      <c r="U18" s="6"/>
    </row>
    <row r="19" spans="2:21" s="5" customFormat="1" ht="33.75" customHeight="1" thickBot="1" thickTop="1">
      <c r="B19" s="50"/>
      <c r="C19" s="84" t="s">
        <v>13</v>
      </c>
      <c r="D19" s="86" t="s">
        <v>29</v>
      </c>
      <c r="E19" s="509" t="s">
        <v>30</v>
      </c>
      <c r="F19" s="510" t="s">
        <v>14</v>
      </c>
      <c r="G19" s="137" t="s">
        <v>16</v>
      </c>
      <c r="H19" s="85" t="s">
        <v>17</v>
      </c>
      <c r="I19" s="509" t="s">
        <v>18</v>
      </c>
      <c r="J19" s="511" t="s">
        <v>38</v>
      </c>
      <c r="K19" s="511" t="s">
        <v>33</v>
      </c>
      <c r="L19" s="88" t="s">
        <v>19</v>
      </c>
      <c r="M19" s="195" t="s">
        <v>34</v>
      </c>
      <c r="N19" s="145" t="s">
        <v>39</v>
      </c>
      <c r="O19" s="512" t="s">
        <v>62</v>
      </c>
      <c r="P19" s="197" t="s">
        <v>37</v>
      </c>
      <c r="Q19" s="513"/>
      <c r="R19" s="144" t="s">
        <v>22</v>
      </c>
      <c r="S19" s="142" t="s">
        <v>74</v>
      </c>
      <c r="T19" s="123" t="s">
        <v>24</v>
      </c>
      <c r="U19" s="6"/>
    </row>
    <row r="20" spans="2:21" s="5" customFormat="1" ht="16.5" customHeight="1" thickTop="1">
      <c r="B20" s="50"/>
      <c r="C20" s="7"/>
      <c r="D20" s="514"/>
      <c r="E20" s="514"/>
      <c r="F20" s="514"/>
      <c r="G20" s="278"/>
      <c r="H20" s="514"/>
      <c r="I20" s="514"/>
      <c r="J20" s="514"/>
      <c r="K20" s="514"/>
      <c r="L20" s="514"/>
      <c r="M20" s="514"/>
      <c r="N20" s="515"/>
      <c r="O20" s="516"/>
      <c r="P20" s="517"/>
      <c r="Q20" s="518"/>
      <c r="R20" s="519"/>
      <c r="S20" s="514"/>
      <c r="T20" s="520"/>
      <c r="U20" s="6"/>
    </row>
    <row r="21" spans="2:21" s="5" customFormat="1" ht="16.5" customHeight="1">
      <c r="B21" s="50"/>
      <c r="C21" s="367"/>
      <c r="D21" s="521"/>
      <c r="E21" s="521"/>
      <c r="F21" s="521"/>
      <c r="G21" s="522"/>
      <c r="H21" s="521"/>
      <c r="I21" s="521"/>
      <c r="J21" s="521"/>
      <c r="K21" s="521"/>
      <c r="L21" s="521"/>
      <c r="M21" s="521"/>
      <c r="N21" s="523"/>
      <c r="O21" s="524"/>
      <c r="P21" s="209"/>
      <c r="Q21" s="525"/>
      <c r="R21" s="526"/>
      <c r="S21" s="521"/>
      <c r="T21" s="527"/>
      <c r="U21" s="6"/>
    </row>
    <row r="22" spans="2:21" s="5" customFormat="1" ht="16.5" customHeight="1">
      <c r="B22" s="50"/>
      <c r="C22" s="168">
        <v>111</v>
      </c>
      <c r="D22" s="528" t="s">
        <v>263</v>
      </c>
      <c r="E22" s="528" t="s">
        <v>264</v>
      </c>
      <c r="F22" s="529">
        <v>132</v>
      </c>
      <c r="G22" s="138">
        <f aca="true" t="shared" si="0" ref="G22:G41">IF(F22=500,$E$15,IF(F22=220,$E$16,$E$17))</f>
        <v>9.43</v>
      </c>
      <c r="H22" s="530">
        <v>39380.30416666667</v>
      </c>
      <c r="I22" s="164">
        <v>39380.34930555556</v>
      </c>
      <c r="J22" s="531">
        <f aca="true" t="shared" si="1" ref="J22:J41">IF(D22="","",(I22-H22)*24)</f>
        <v>1.0833333333721384</v>
      </c>
      <c r="K22" s="532">
        <f aca="true" t="shared" si="2" ref="K22:K41">IF(D22="","",ROUND((I22-H22)*24*60,0))</f>
        <v>65</v>
      </c>
      <c r="L22" s="281" t="s">
        <v>187</v>
      </c>
      <c r="M22" s="166" t="str">
        <f aca="true" t="shared" si="3" ref="M22:M41">IF(D22="","",IF(L22="P","--","NO"))</f>
        <v>--</v>
      </c>
      <c r="N22" s="533">
        <f aca="true" t="shared" si="4" ref="N22:N41">IF(F22=500,$F$15,IF(F22=220,$F$16,$F$17))</f>
        <v>40</v>
      </c>
      <c r="O22" s="534">
        <f aca="true" t="shared" si="5" ref="O22:O41">IF(L22="P",G22*N22*ROUND(K22/60,2)*0.1,"--")</f>
        <v>40.73760000000001</v>
      </c>
      <c r="P22" s="535" t="str">
        <f aca="true" t="shared" si="6" ref="P22:P41">IF(AND(L22="F",M22="NO"),G22*N22,"--")</f>
        <v>--</v>
      </c>
      <c r="Q22" s="536" t="str">
        <f aca="true" t="shared" si="7" ref="Q22:Q41">IF(L22="F",G22*N22*ROUND(K22/60,2),"--")</f>
        <v>--</v>
      </c>
      <c r="R22" s="174" t="str">
        <f aca="true" t="shared" si="8" ref="R22:R41">IF(L22="RF",G22*N22*ROUND(K22/60,2),"--")</f>
        <v>--</v>
      </c>
      <c r="S22" s="166" t="str">
        <f aca="true" t="shared" si="9" ref="S22:S41">IF(D22="","","SI")</f>
        <v>SI</v>
      </c>
      <c r="T22" s="537">
        <f aca="true" t="shared" si="10" ref="T22:T41">IF(D22="","",SUM(O22:R22)*IF(S22="SI",1,2))</f>
        <v>40.73760000000001</v>
      </c>
      <c r="U22" s="6"/>
    </row>
    <row r="23" spans="2:21" s="5" customFormat="1" ht="16.5" customHeight="1">
      <c r="B23" s="50"/>
      <c r="C23" s="367">
        <v>112</v>
      </c>
      <c r="D23" s="528" t="s">
        <v>263</v>
      </c>
      <c r="E23" s="528" t="s">
        <v>265</v>
      </c>
      <c r="F23" s="529">
        <v>132</v>
      </c>
      <c r="G23" s="138">
        <f t="shared" si="0"/>
        <v>9.43</v>
      </c>
      <c r="H23" s="530">
        <v>39380.30416666667</v>
      </c>
      <c r="I23" s="164">
        <v>39380.34930555556</v>
      </c>
      <c r="J23" s="531">
        <f t="shared" si="1"/>
        <v>1.0833333333721384</v>
      </c>
      <c r="K23" s="532">
        <f t="shared" si="2"/>
        <v>65</v>
      </c>
      <c r="L23" s="281" t="s">
        <v>187</v>
      </c>
      <c r="M23" s="166" t="str">
        <f t="shared" si="3"/>
        <v>--</v>
      </c>
      <c r="N23" s="533">
        <f t="shared" si="4"/>
        <v>40</v>
      </c>
      <c r="O23" s="534">
        <f t="shared" si="5"/>
        <v>40.73760000000001</v>
      </c>
      <c r="P23" s="535" t="str">
        <f t="shared" si="6"/>
        <v>--</v>
      </c>
      <c r="Q23" s="536" t="str">
        <f t="shared" si="7"/>
        <v>--</v>
      </c>
      <c r="R23" s="174" t="str">
        <f t="shared" si="8"/>
        <v>--</v>
      </c>
      <c r="S23" s="166" t="str">
        <f t="shared" si="9"/>
        <v>SI</v>
      </c>
      <c r="T23" s="537">
        <f t="shared" si="10"/>
        <v>40.73760000000001</v>
      </c>
      <c r="U23" s="6"/>
    </row>
    <row r="24" spans="2:21" s="5" customFormat="1" ht="16.5" customHeight="1">
      <c r="B24" s="50"/>
      <c r="C24" s="168">
        <v>113</v>
      </c>
      <c r="D24" s="528" t="s">
        <v>263</v>
      </c>
      <c r="E24" s="528" t="s">
        <v>264</v>
      </c>
      <c r="F24" s="529">
        <v>132</v>
      </c>
      <c r="G24" s="138">
        <f t="shared" si="0"/>
        <v>9.43</v>
      </c>
      <c r="H24" s="530">
        <v>39380.62291666667</v>
      </c>
      <c r="I24" s="164">
        <v>39380.7</v>
      </c>
      <c r="J24" s="531">
        <f t="shared" si="1"/>
        <v>1.8499999999185093</v>
      </c>
      <c r="K24" s="532">
        <f t="shared" si="2"/>
        <v>111</v>
      </c>
      <c r="L24" s="281" t="s">
        <v>187</v>
      </c>
      <c r="M24" s="166" t="str">
        <f t="shared" si="3"/>
        <v>--</v>
      </c>
      <c r="N24" s="533">
        <f t="shared" si="4"/>
        <v>40</v>
      </c>
      <c r="O24" s="534">
        <f t="shared" si="5"/>
        <v>69.78200000000001</v>
      </c>
      <c r="P24" s="535" t="str">
        <f t="shared" si="6"/>
        <v>--</v>
      </c>
      <c r="Q24" s="536" t="str">
        <f t="shared" si="7"/>
        <v>--</v>
      </c>
      <c r="R24" s="174" t="str">
        <f t="shared" si="8"/>
        <v>--</v>
      </c>
      <c r="S24" s="166" t="str">
        <f t="shared" si="9"/>
        <v>SI</v>
      </c>
      <c r="T24" s="537">
        <f t="shared" si="10"/>
        <v>69.78200000000001</v>
      </c>
      <c r="U24" s="6"/>
    </row>
    <row r="25" spans="2:21" s="5" customFormat="1" ht="16.5" customHeight="1">
      <c r="B25" s="50"/>
      <c r="C25" s="367">
        <v>114</v>
      </c>
      <c r="D25" s="528" t="s">
        <v>263</v>
      </c>
      <c r="E25" s="528" t="s">
        <v>265</v>
      </c>
      <c r="F25" s="529">
        <v>132</v>
      </c>
      <c r="G25" s="138">
        <f t="shared" si="0"/>
        <v>9.43</v>
      </c>
      <c r="H25" s="530">
        <v>39380.62569444445</v>
      </c>
      <c r="I25" s="164">
        <v>39380.7</v>
      </c>
      <c r="J25" s="531">
        <f t="shared" si="1"/>
        <v>1.783333333209157</v>
      </c>
      <c r="K25" s="532">
        <f t="shared" si="2"/>
        <v>107</v>
      </c>
      <c r="L25" s="281" t="s">
        <v>187</v>
      </c>
      <c r="M25" s="166" t="str">
        <f t="shared" si="3"/>
        <v>--</v>
      </c>
      <c r="N25" s="533">
        <f t="shared" si="4"/>
        <v>40</v>
      </c>
      <c r="O25" s="534">
        <f t="shared" si="5"/>
        <v>67.1416</v>
      </c>
      <c r="P25" s="535" t="str">
        <f t="shared" si="6"/>
        <v>--</v>
      </c>
      <c r="Q25" s="536" t="str">
        <f t="shared" si="7"/>
        <v>--</v>
      </c>
      <c r="R25" s="174" t="str">
        <f t="shared" si="8"/>
        <v>--</v>
      </c>
      <c r="S25" s="166" t="str">
        <f t="shared" si="9"/>
        <v>SI</v>
      </c>
      <c r="T25" s="537">
        <f t="shared" si="10"/>
        <v>67.1416</v>
      </c>
      <c r="U25" s="6"/>
    </row>
    <row r="26" spans="2:21" s="5" customFormat="1" ht="16.5" customHeight="1">
      <c r="B26" s="50"/>
      <c r="C26" s="168">
        <v>115</v>
      </c>
      <c r="D26" s="528" t="s">
        <v>263</v>
      </c>
      <c r="E26" s="528" t="s">
        <v>264</v>
      </c>
      <c r="F26" s="529">
        <v>132</v>
      </c>
      <c r="G26" s="138">
        <f t="shared" si="0"/>
        <v>9.43</v>
      </c>
      <c r="H26" s="530">
        <v>39381.3125</v>
      </c>
      <c r="I26" s="164">
        <v>39381.364583333336</v>
      </c>
      <c r="J26" s="531">
        <f t="shared" si="1"/>
        <v>1.2500000000582077</v>
      </c>
      <c r="K26" s="532">
        <f t="shared" si="2"/>
        <v>75</v>
      </c>
      <c r="L26" s="281" t="s">
        <v>187</v>
      </c>
      <c r="M26" s="166" t="str">
        <f t="shared" si="3"/>
        <v>--</v>
      </c>
      <c r="N26" s="533">
        <f t="shared" si="4"/>
        <v>40</v>
      </c>
      <c r="O26" s="534">
        <f t="shared" si="5"/>
        <v>47.150000000000006</v>
      </c>
      <c r="P26" s="535" t="str">
        <f t="shared" si="6"/>
        <v>--</v>
      </c>
      <c r="Q26" s="536" t="str">
        <f t="shared" si="7"/>
        <v>--</v>
      </c>
      <c r="R26" s="174" t="str">
        <f t="shared" si="8"/>
        <v>--</v>
      </c>
      <c r="S26" s="166" t="str">
        <f t="shared" si="9"/>
        <v>SI</v>
      </c>
      <c r="T26" s="537">
        <f t="shared" si="10"/>
        <v>47.150000000000006</v>
      </c>
      <c r="U26" s="6"/>
    </row>
    <row r="27" spans="2:21" s="5" customFormat="1" ht="16.5" customHeight="1">
      <c r="B27" s="50"/>
      <c r="C27" s="367">
        <v>116</v>
      </c>
      <c r="D27" s="528" t="s">
        <v>263</v>
      </c>
      <c r="E27" s="528" t="s">
        <v>265</v>
      </c>
      <c r="F27" s="529">
        <v>132</v>
      </c>
      <c r="G27" s="138">
        <f t="shared" si="0"/>
        <v>9.43</v>
      </c>
      <c r="H27" s="530">
        <v>39381.31319444445</v>
      </c>
      <c r="I27" s="164">
        <v>39381.364583333336</v>
      </c>
      <c r="J27" s="531">
        <f t="shared" si="1"/>
        <v>1.2333333333372138</v>
      </c>
      <c r="K27" s="532">
        <f t="shared" si="2"/>
        <v>74</v>
      </c>
      <c r="L27" s="281" t="s">
        <v>187</v>
      </c>
      <c r="M27" s="166" t="str">
        <f t="shared" si="3"/>
        <v>--</v>
      </c>
      <c r="N27" s="533">
        <f t="shared" si="4"/>
        <v>40</v>
      </c>
      <c r="O27" s="534">
        <f t="shared" si="5"/>
        <v>46.3956</v>
      </c>
      <c r="P27" s="535" t="str">
        <f t="shared" si="6"/>
        <v>--</v>
      </c>
      <c r="Q27" s="536" t="str">
        <f t="shared" si="7"/>
        <v>--</v>
      </c>
      <c r="R27" s="174" t="str">
        <f t="shared" si="8"/>
        <v>--</v>
      </c>
      <c r="S27" s="166" t="str">
        <f t="shared" si="9"/>
        <v>SI</v>
      </c>
      <c r="T27" s="537">
        <f t="shared" si="10"/>
        <v>46.3956</v>
      </c>
      <c r="U27" s="6"/>
    </row>
    <row r="28" spans="2:21" s="5" customFormat="1" ht="16.5" customHeight="1">
      <c r="B28" s="50"/>
      <c r="C28" s="168">
        <v>117</v>
      </c>
      <c r="D28" s="528" t="s">
        <v>263</v>
      </c>
      <c r="E28" s="528" t="s">
        <v>264</v>
      </c>
      <c r="F28" s="529">
        <v>132</v>
      </c>
      <c r="G28" s="138">
        <f t="shared" si="0"/>
        <v>9.43</v>
      </c>
      <c r="H28" s="530">
        <v>39382.29305555556</v>
      </c>
      <c r="I28" s="164">
        <v>39382.34722222222</v>
      </c>
      <c r="J28" s="531">
        <f t="shared" si="1"/>
        <v>1.2999999998719431</v>
      </c>
      <c r="K28" s="532">
        <f t="shared" si="2"/>
        <v>78</v>
      </c>
      <c r="L28" s="281" t="s">
        <v>187</v>
      </c>
      <c r="M28" s="166" t="str">
        <f t="shared" si="3"/>
        <v>--</v>
      </c>
      <c r="N28" s="533">
        <f t="shared" si="4"/>
        <v>40</v>
      </c>
      <c r="O28" s="534">
        <f t="shared" si="5"/>
        <v>49.036</v>
      </c>
      <c r="P28" s="535" t="str">
        <f t="shared" si="6"/>
        <v>--</v>
      </c>
      <c r="Q28" s="536" t="str">
        <f t="shared" si="7"/>
        <v>--</v>
      </c>
      <c r="R28" s="174" t="str">
        <f t="shared" si="8"/>
        <v>--</v>
      </c>
      <c r="S28" s="166" t="str">
        <f t="shared" si="9"/>
        <v>SI</v>
      </c>
      <c r="T28" s="537">
        <f t="shared" si="10"/>
        <v>49.036</v>
      </c>
      <c r="U28" s="6"/>
    </row>
    <row r="29" spans="2:21" s="5" customFormat="1" ht="16.5" customHeight="1">
      <c r="B29" s="50"/>
      <c r="C29" s="367">
        <v>118</v>
      </c>
      <c r="D29" s="528" t="s">
        <v>263</v>
      </c>
      <c r="E29" s="528" t="s">
        <v>265</v>
      </c>
      <c r="F29" s="529">
        <v>132</v>
      </c>
      <c r="G29" s="138">
        <f t="shared" si="0"/>
        <v>9.43</v>
      </c>
      <c r="H29" s="530">
        <v>39382.29305555556</v>
      </c>
      <c r="I29" s="164">
        <v>39382.34722222222</v>
      </c>
      <c r="J29" s="531">
        <f t="shared" si="1"/>
        <v>1.2999999998719431</v>
      </c>
      <c r="K29" s="532">
        <f t="shared" si="2"/>
        <v>78</v>
      </c>
      <c r="L29" s="281" t="s">
        <v>187</v>
      </c>
      <c r="M29" s="166" t="str">
        <f t="shared" si="3"/>
        <v>--</v>
      </c>
      <c r="N29" s="533">
        <f t="shared" si="4"/>
        <v>40</v>
      </c>
      <c r="O29" s="534">
        <f t="shared" si="5"/>
        <v>49.036</v>
      </c>
      <c r="P29" s="535" t="str">
        <f t="shared" si="6"/>
        <v>--</v>
      </c>
      <c r="Q29" s="536" t="str">
        <f t="shared" si="7"/>
        <v>--</v>
      </c>
      <c r="R29" s="174" t="str">
        <f t="shared" si="8"/>
        <v>--</v>
      </c>
      <c r="S29" s="166" t="str">
        <f t="shared" si="9"/>
        <v>SI</v>
      </c>
      <c r="T29" s="537">
        <f t="shared" si="10"/>
        <v>49.036</v>
      </c>
      <c r="U29" s="6"/>
    </row>
    <row r="30" spans="2:21" s="5" customFormat="1" ht="16.5" customHeight="1">
      <c r="B30" s="50"/>
      <c r="C30" s="168"/>
      <c r="D30" s="528"/>
      <c r="E30" s="528"/>
      <c r="F30" s="529"/>
      <c r="G30" s="138">
        <f t="shared" si="0"/>
        <v>9.43</v>
      </c>
      <c r="H30" s="530"/>
      <c r="I30" s="164"/>
      <c r="J30" s="531">
        <f t="shared" si="1"/>
      </c>
      <c r="K30" s="532">
        <f t="shared" si="2"/>
      </c>
      <c r="L30" s="281"/>
      <c r="M30" s="166">
        <f t="shared" si="3"/>
      </c>
      <c r="N30" s="533">
        <f t="shared" si="4"/>
        <v>40</v>
      </c>
      <c r="O30" s="534" t="str">
        <f t="shared" si="5"/>
        <v>--</v>
      </c>
      <c r="P30" s="535" t="str">
        <f t="shared" si="6"/>
        <v>--</v>
      </c>
      <c r="Q30" s="536" t="str">
        <f t="shared" si="7"/>
        <v>--</v>
      </c>
      <c r="R30" s="174" t="str">
        <f t="shared" si="8"/>
        <v>--</v>
      </c>
      <c r="S30" s="166">
        <f t="shared" si="9"/>
      </c>
      <c r="T30" s="537">
        <f t="shared" si="10"/>
      </c>
      <c r="U30" s="6"/>
    </row>
    <row r="31" spans="2:21" s="5" customFormat="1" ht="16.5" customHeight="1">
      <c r="B31" s="50"/>
      <c r="C31" s="367"/>
      <c r="D31" s="528"/>
      <c r="E31" s="528"/>
      <c r="F31" s="529"/>
      <c r="G31" s="138">
        <f t="shared" si="0"/>
        <v>9.43</v>
      </c>
      <c r="H31" s="530"/>
      <c r="I31" s="164"/>
      <c r="J31" s="531">
        <f t="shared" si="1"/>
      </c>
      <c r="K31" s="532">
        <f t="shared" si="2"/>
      </c>
      <c r="L31" s="281"/>
      <c r="M31" s="166">
        <f t="shared" si="3"/>
      </c>
      <c r="N31" s="533">
        <f t="shared" si="4"/>
        <v>40</v>
      </c>
      <c r="O31" s="534" t="str">
        <f t="shared" si="5"/>
        <v>--</v>
      </c>
      <c r="P31" s="535" t="str">
        <f t="shared" si="6"/>
        <v>--</v>
      </c>
      <c r="Q31" s="536" t="str">
        <f t="shared" si="7"/>
        <v>--</v>
      </c>
      <c r="R31" s="174" t="str">
        <f t="shared" si="8"/>
        <v>--</v>
      </c>
      <c r="S31" s="166">
        <f t="shared" si="9"/>
      </c>
      <c r="T31" s="537">
        <f t="shared" si="10"/>
      </c>
      <c r="U31" s="6"/>
    </row>
    <row r="32" spans="2:21" s="5" customFormat="1" ht="16.5" customHeight="1">
      <c r="B32" s="50"/>
      <c r="C32" s="168"/>
      <c r="D32" s="528"/>
      <c r="E32" s="528"/>
      <c r="F32" s="529"/>
      <c r="G32" s="138">
        <f t="shared" si="0"/>
        <v>9.43</v>
      </c>
      <c r="H32" s="530"/>
      <c r="I32" s="164"/>
      <c r="J32" s="531">
        <f t="shared" si="1"/>
      </c>
      <c r="K32" s="532">
        <f t="shared" si="2"/>
      </c>
      <c r="L32" s="281"/>
      <c r="M32" s="166">
        <f t="shared" si="3"/>
      </c>
      <c r="N32" s="533">
        <f t="shared" si="4"/>
        <v>40</v>
      </c>
      <c r="O32" s="534" t="str">
        <f t="shared" si="5"/>
        <v>--</v>
      </c>
      <c r="P32" s="535" t="str">
        <f t="shared" si="6"/>
        <v>--</v>
      </c>
      <c r="Q32" s="536" t="str">
        <f t="shared" si="7"/>
        <v>--</v>
      </c>
      <c r="R32" s="174" t="str">
        <f t="shared" si="8"/>
        <v>--</v>
      </c>
      <c r="S32" s="166">
        <f t="shared" si="9"/>
      </c>
      <c r="T32" s="537">
        <f t="shared" si="10"/>
      </c>
      <c r="U32" s="6"/>
    </row>
    <row r="33" spans="2:21" s="5" customFormat="1" ht="16.5" customHeight="1">
      <c r="B33" s="50"/>
      <c r="C33" s="367"/>
      <c r="D33" s="528"/>
      <c r="E33" s="528"/>
      <c r="F33" s="529"/>
      <c r="G33" s="138">
        <f t="shared" si="0"/>
        <v>9.43</v>
      </c>
      <c r="H33" s="530"/>
      <c r="I33" s="164"/>
      <c r="J33" s="531">
        <f t="shared" si="1"/>
      </c>
      <c r="K33" s="532">
        <f t="shared" si="2"/>
      </c>
      <c r="L33" s="281"/>
      <c r="M33" s="166">
        <f t="shared" si="3"/>
      </c>
      <c r="N33" s="533">
        <f t="shared" si="4"/>
        <v>40</v>
      </c>
      <c r="O33" s="534" t="str">
        <f t="shared" si="5"/>
        <v>--</v>
      </c>
      <c r="P33" s="535" t="str">
        <f t="shared" si="6"/>
        <v>--</v>
      </c>
      <c r="Q33" s="536" t="str">
        <f t="shared" si="7"/>
        <v>--</v>
      </c>
      <c r="R33" s="174" t="str">
        <f t="shared" si="8"/>
        <v>--</v>
      </c>
      <c r="S33" s="166">
        <f t="shared" si="9"/>
      </c>
      <c r="T33" s="537">
        <f t="shared" si="10"/>
      </c>
      <c r="U33" s="6"/>
    </row>
    <row r="34" spans="2:21" s="5" customFormat="1" ht="16.5" customHeight="1">
      <c r="B34" s="50"/>
      <c r="C34" s="168"/>
      <c r="D34" s="528"/>
      <c r="E34" s="528"/>
      <c r="F34" s="529"/>
      <c r="G34" s="138">
        <f t="shared" si="0"/>
        <v>9.43</v>
      </c>
      <c r="H34" s="530"/>
      <c r="I34" s="164"/>
      <c r="J34" s="531">
        <f t="shared" si="1"/>
      </c>
      <c r="K34" s="532">
        <f t="shared" si="2"/>
      </c>
      <c r="L34" s="281"/>
      <c r="M34" s="166">
        <f t="shared" si="3"/>
      </c>
      <c r="N34" s="533">
        <f t="shared" si="4"/>
        <v>40</v>
      </c>
      <c r="O34" s="534" t="str">
        <f t="shared" si="5"/>
        <v>--</v>
      </c>
      <c r="P34" s="535" t="str">
        <f t="shared" si="6"/>
        <v>--</v>
      </c>
      <c r="Q34" s="536" t="str">
        <f t="shared" si="7"/>
        <v>--</v>
      </c>
      <c r="R34" s="174" t="str">
        <f t="shared" si="8"/>
        <v>--</v>
      </c>
      <c r="S34" s="166">
        <f t="shared" si="9"/>
      </c>
      <c r="T34" s="537">
        <f t="shared" si="10"/>
      </c>
      <c r="U34" s="6"/>
    </row>
    <row r="35" spans="2:21" s="5" customFormat="1" ht="16.5" customHeight="1">
      <c r="B35" s="50"/>
      <c r="C35" s="367"/>
      <c r="D35" s="528"/>
      <c r="E35" s="528"/>
      <c r="F35" s="529"/>
      <c r="G35" s="138">
        <f t="shared" si="0"/>
        <v>9.43</v>
      </c>
      <c r="H35" s="530"/>
      <c r="I35" s="164"/>
      <c r="J35" s="531">
        <f t="shared" si="1"/>
      </c>
      <c r="K35" s="532">
        <f t="shared" si="2"/>
      </c>
      <c r="L35" s="281"/>
      <c r="M35" s="166">
        <f t="shared" si="3"/>
      </c>
      <c r="N35" s="533">
        <f t="shared" si="4"/>
        <v>40</v>
      </c>
      <c r="O35" s="534" t="str">
        <f t="shared" si="5"/>
        <v>--</v>
      </c>
      <c r="P35" s="535" t="str">
        <f t="shared" si="6"/>
        <v>--</v>
      </c>
      <c r="Q35" s="536" t="str">
        <f t="shared" si="7"/>
        <v>--</v>
      </c>
      <c r="R35" s="174" t="str">
        <f t="shared" si="8"/>
        <v>--</v>
      </c>
      <c r="S35" s="166">
        <f t="shared" si="9"/>
      </c>
      <c r="T35" s="537">
        <f t="shared" si="10"/>
      </c>
      <c r="U35" s="6"/>
    </row>
    <row r="36" spans="2:21" s="5" customFormat="1" ht="16.5" customHeight="1">
      <c r="B36" s="50"/>
      <c r="C36" s="168"/>
      <c r="D36" s="528"/>
      <c r="E36" s="528"/>
      <c r="F36" s="529"/>
      <c r="G36" s="138">
        <f t="shared" si="0"/>
        <v>9.43</v>
      </c>
      <c r="H36" s="530"/>
      <c r="I36" s="164"/>
      <c r="J36" s="531">
        <f t="shared" si="1"/>
      </c>
      <c r="K36" s="532">
        <f t="shared" si="2"/>
      </c>
      <c r="L36" s="281"/>
      <c r="M36" s="166">
        <f t="shared" si="3"/>
      </c>
      <c r="N36" s="533">
        <f t="shared" si="4"/>
        <v>40</v>
      </c>
      <c r="O36" s="534" t="str">
        <f t="shared" si="5"/>
        <v>--</v>
      </c>
      <c r="P36" s="535" t="str">
        <f t="shared" si="6"/>
        <v>--</v>
      </c>
      <c r="Q36" s="536" t="str">
        <f t="shared" si="7"/>
        <v>--</v>
      </c>
      <c r="R36" s="174" t="str">
        <f t="shared" si="8"/>
        <v>--</v>
      </c>
      <c r="S36" s="166">
        <f t="shared" si="9"/>
      </c>
      <c r="T36" s="537">
        <f t="shared" si="10"/>
      </c>
      <c r="U36" s="6"/>
    </row>
    <row r="37" spans="2:21" s="5" customFormat="1" ht="16.5" customHeight="1">
      <c r="B37" s="50"/>
      <c r="C37" s="367"/>
      <c r="D37" s="528"/>
      <c r="E37" s="528"/>
      <c r="F37" s="529"/>
      <c r="G37" s="138">
        <f t="shared" si="0"/>
        <v>9.43</v>
      </c>
      <c r="H37" s="530"/>
      <c r="I37" s="164"/>
      <c r="J37" s="531">
        <f t="shared" si="1"/>
      </c>
      <c r="K37" s="532">
        <f t="shared" si="2"/>
      </c>
      <c r="L37" s="281"/>
      <c r="M37" s="166">
        <f t="shared" si="3"/>
      </c>
      <c r="N37" s="533">
        <f t="shared" si="4"/>
        <v>40</v>
      </c>
      <c r="O37" s="534" t="str">
        <f t="shared" si="5"/>
        <v>--</v>
      </c>
      <c r="P37" s="535" t="str">
        <f t="shared" si="6"/>
        <v>--</v>
      </c>
      <c r="Q37" s="536" t="str">
        <f t="shared" si="7"/>
        <v>--</v>
      </c>
      <c r="R37" s="174" t="str">
        <f t="shared" si="8"/>
        <v>--</v>
      </c>
      <c r="S37" s="166">
        <f t="shared" si="9"/>
      </c>
      <c r="T37" s="537">
        <f t="shared" si="10"/>
      </c>
      <c r="U37" s="6"/>
    </row>
    <row r="38" spans="2:21" s="5" customFormat="1" ht="16.5" customHeight="1">
      <c r="B38" s="50"/>
      <c r="C38" s="168"/>
      <c r="D38" s="528"/>
      <c r="E38" s="528"/>
      <c r="F38" s="529"/>
      <c r="G38" s="138">
        <f t="shared" si="0"/>
        <v>9.43</v>
      </c>
      <c r="H38" s="530"/>
      <c r="I38" s="164"/>
      <c r="J38" s="531">
        <f t="shared" si="1"/>
      </c>
      <c r="K38" s="532">
        <f t="shared" si="2"/>
      </c>
      <c r="L38" s="281"/>
      <c r="M38" s="166">
        <f t="shared" si="3"/>
      </c>
      <c r="N38" s="533">
        <f t="shared" si="4"/>
        <v>40</v>
      </c>
      <c r="O38" s="534" t="str">
        <f t="shared" si="5"/>
        <v>--</v>
      </c>
      <c r="P38" s="535" t="str">
        <f t="shared" si="6"/>
        <v>--</v>
      </c>
      <c r="Q38" s="536" t="str">
        <f t="shared" si="7"/>
        <v>--</v>
      </c>
      <c r="R38" s="174" t="str">
        <f t="shared" si="8"/>
        <v>--</v>
      </c>
      <c r="S38" s="166">
        <f t="shared" si="9"/>
      </c>
      <c r="T38" s="537">
        <f t="shared" si="10"/>
      </c>
      <c r="U38" s="6"/>
    </row>
    <row r="39" spans="2:21" s="5" customFormat="1" ht="16.5" customHeight="1">
      <c r="B39" s="50"/>
      <c r="C39" s="367"/>
      <c r="D39" s="528"/>
      <c r="E39" s="528"/>
      <c r="F39" s="529"/>
      <c r="G39" s="138">
        <f t="shared" si="0"/>
        <v>9.43</v>
      </c>
      <c r="H39" s="530"/>
      <c r="I39" s="164"/>
      <c r="J39" s="531">
        <f t="shared" si="1"/>
      </c>
      <c r="K39" s="532">
        <f t="shared" si="2"/>
      </c>
      <c r="L39" s="281"/>
      <c r="M39" s="166">
        <f t="shared" si="3"/>
      </c>
      <c r="N39" s="533">
        <f t="shared" si="4"/>
        <v>40</v>
      </c>
      <c r="O39" s="534" t="str">
        <f t="shared" si="5"/>
        <v>--</v>
      </c>
      <c r="P39" s="535" t="str">
        <f t="shared" si="6"/>
        <v>--</v>
      </c>
      <c r="Q39" s="536" t="str">
        <f t="shared" si="7"/>
        <v>--</v>
      </c>
      <c r="R39" s="174" t="str">
        <f t="shared" si="8"/>
        <v>--</v>
      </c>
      <c r="S39" s="166">
        <f t="shared" si="9"/>
      </c>
      <c r="T39" s="537">
        <f t="shared" si="10"/>
      </c>
      <c r="U39" s="6"/>
    </row>
    <row r="40" spans="2:21" s="5" customFormat="1" ht="16.5" customHeight="1">
      <c r="B40" s="50"/>
      <c r="C40" s="168"/>
      <c r="D40" s="528"/>
      <c r="E40" s="528"/>
      <c r="F40" s="529"/>
      <c r="G40" s="138">
        <f t="shared" si="0"/>
        <v>9.43</v>
      </c>
      <c r="H40" s="530"/>
      <c r="I40" s="164"/>
      <c r="J40" s="531">
        <f t="shared" si="1"/>
      </c>
      <c r="K40" s="532">
        <f t="shared" si="2"/>
      </c>
      <c r="L40" s="281"/>
      <c r="M40" s="166">
        <f t="shared" si="3"/>
      </c>
      <c r="N40" s="533">
        <f t="shared" si="4"/>
        <v>40</v>
      </c>
      <c r="O40" s="534" t="str">
        <f t="shared" si="5"/>
        <v>--</v>
      </c>
      <c r="P40" s="535" t="str">
        <f t="shared" si="6"/>
        <v>--</v>
      </c>
      <c r="Q40" s="536" t="str">
        <f t="shared" si="7"/>
        <v>--</v>
      </c>
      <c r="R40" s="174" t="str">
        <f t="shared" si="8"/>
        <v>--</v>
      </c>
      <c r="S40" s="166">
        <f t="shared" si="9"/>
      </c>
      <c r="T40" s="537">
        <f t="shared" si="10"/>
      </c>
      <c r="U40" s="6"/>
    </row>
    <row r="41" spans="2:21" s="5" customFormat="1" ht="16.5" customHeight="1">
      <c r="B41" s="50"/>
      <c r="C41" s="367"/>
      <c r="D41" s="528"/>
      <c r="E41" s="528"/>
      <c r="F41" s="529"/>
      <c r="G41" s="138">
        <f t="shared" si="0"/>
        <v>9.43</v>
      </c>
      <c r="H41" s="530"/>
      <c r="I41" s="164"/>
      <c r="J41" s="531">
        <f t="shared" si="1"/>
      </c>
      <c r="K41" s="532">
        <f t="shared" si="2"/>
      </c>
      <c r="L41" s="281"/>
      <c r="M41" s="166">
        <f t="shared" si="3"/>
      </c>
      <c r="N41" s="533">
        <f t="shared" si="4"/>
        <v>40</v>
      </c>
      <c r="O41" s="534" t="str">
        <f t="shared" si="5"/>
        <v>--</v>
      </c>
      <c r="P41" s="535" t="str">
        <f t="shared" si="6"/>
        <v>--</v>
      </c>
      <c r="Q41" s="536" t="str">
        <f t="shared" si="7"/>
        <v>--</v>
      </c>
      <c r="R41" s="174" t="str">
        <f t="shared" si="8"/>
        <v>--</v>
      </c>
      <c r="S41" s="166">
        <f t="shared" si="9"/>
      </c>
      <c r="T41" s="537">
        <f t="shared" si="10"/>
      </c>
      <c r="U41" s="6"/>
    </row>
    <row r="42" spans="2:21" s="5" customFormat="1" ht="16.5" customHeight="1" thickBot="1">
      <c r="B42" s="50"/>
      <c r="C42" s="168"/>
      <c r="D42" s="159"/>
      <c r="E42" s="159"/>
      <c r="F42" s="298"/>
      <c r="G42" s="139"/>
      <c r="H42" s="538"/>
      <c r="I42" s="538"/>
      <c r="J42" s="539"/>
      <c r="K42" s="539"/>
      <c r="L42" s="538"/>
      <c r="M42" s="165"/>
      <c r="N42" s="540"/>
      <c r="O42" s="541"/>
      <c r="P42" s="542"/>
      <c r="Q42" s="543"/>
      <c r="R42" s="176"/>
      <c r="S42" s="165"/>
      <c r="T42" s="544"/>
      <c r="U42" s="6"/>
    </row>
    <row r="43" spans="2:21" s="5" customFormat="1" ht="16.5" customHeight="1" thickBot="1" thickTop="1">
      <c r="B43" s="50"/>
      <c r="C43" s="129" t="s">
        <v>25</v>
      </c>
      <c r="D43" s="130" t="s">
        <v>293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545">
        <f>SUM(O20:O42)</f>
        <v>410.01640000000003</v>
      </c>
      <c r="P43" s="546">
        <f>SUM(P20:P42)</f>
        <v>0</v>
      </c>
      <c r="Q43" s="547">
        <f>SUM(Q20:Q42)</f>
        <v>0</v>
      </c>
      <c r="R43" s="548">
        <f>SUM(R20:R42)</f>
        <v>0</v>
      </c>
      <c r="S43" s="549"/>
      <c r="T43" s="101">
        <f>ROUND(SUM(T20:T42),2)</f>
        <v>410.02</v>
      </c>
      <c r="U43" s="6"/>
    </row>
    <row r="44" spans="2:21" s="135" customFormat="1" ht="13.5" thickTop="1">
      <c r="B44" s="134"/>
      <c r="C44" s="131"/>
      <c r="D44" s="132"/>
      <c r="E44"/>
      <c r="F44" s="133"/>
      <c r="G44" s="133"/>
      <c r="H44" s="133"/>
      <c r="I44" s="133"/>
      <c r="J44" s="133"/>
      <c r="K44" s="133"/>
      <c r="L44" s="133"/>
      <c r="M44" s="133"/>
      <c r="N44" s="133"/>
      <c r="O44" s="427"/>
      <c r="P44" s="427"/>
      <c r="Q44" s="427"/>
      <c r="R44" s="427"/>
      <c r="S44" s="427"/>
      <c r="T44" s="216"/>
      <c r="U44" s="550"/>
    </row>
    <row r="45" spans="2:21" s="5" customFormat="1" ht="16.5" customHeight="1" thickBot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</row>
    <row r="46" spans="21:23" ht="16.5" customHeight="1" thickTop="1">
      <c r="U46" s="191"/>
      <c r="V46" s="191"/>
      <c r="W46" s="191"/>
    </row>
    <row r="47" spans="21:23" ht="16.5" customHeight="1">
      <c r="U47" s="191"/>
      <c r="V47" s="191"/>
      <c r="W47" s="191"/>
    </row>
    <row r="48" spans="21:23" ht="16.5" customHeight="1">
      <c r="U48" s="191"/>
      <c r="V48" s="191"/>
      <c r="W48" s="191"/>
    </row>
    <row r="49" spans="21:23" ht="16.5" customHeight="1">
      <c r="U49" s="191"/>
      <c r="V49" s="191"/>
      <c r="W49" s="191"/>
    </row>
    <row r="50" spans="21:23" ht="16.5" customHeight="1">
      <c r="U50" s="191"/>
      <c r="V50" s="191"/>
      <c r="W50" s="191"/>
    </row>
    <row r="51" spans="4:23" ht="16.5" customHeight="1"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</row>
    <row r="52" spans="4:23" ht="16.5" customHeight="1"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</row>
    <row r="53" spans="4:23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</row>
    <row r="54" spans="4:23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</row>
    <row r="55" spans="4:23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</row>
    <row r="56" spans="4:23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</row>
    <row r="57" spans="4:23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</row>
    <row r="58" spans="4:23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</row>
    <row r="59" spans="4:23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</row>
    <row r="60" spans="4:23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</row>
    <row r="61" spans="4:23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</row>
    <row r="62" spans="4:23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</row>
    <row r="63" spans="4:23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</row>
    <row r="64" spans="4:23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</row>
    <row r="65" spans="4:23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</row>
    <row r="66" spans="4:23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</row>
    <row r="67" spans="4:23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</row>
    <row r="68" spans="4:23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</row>
    <row r="69" spans="4:23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</row>
    <row r="70" spans="4:23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</row>
    <row r="71" spans="4:23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</row>
    <row r="72" spans="4:23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</row>
    <row r="73" spans="4:23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</row>
    <row r="74" spans="4:23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</row>
    <row r="75" spans="4:23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</row>
    <row r="76" spans="4:23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</row>
    <row r="77" spans="4:23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</row>
    <row r="78" spans="4:23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</row>
    <row r="79" spans="4:23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</row>
    <row r="80" spans="4:23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</row>
    <row r="81" spans="4:23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</row>
    <row r="82" spans="4:23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</row>
    <row r="83" spans="4:23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</row>
    <row r="84" spans="4:23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</row>
    <row r="85" spans="4:23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</row>
    <row r="86" spans="4:23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</row>
    <row r="87" spans="4:23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</row>
    <row r="88" spans="4:23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</row>
    <row r="89" spans="4:23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</row>
    <row r="90" spans="4:23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</row>
    <row r="91" spans="4:23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</row>
    <row r="92" spans="4:23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</row>
    <row r="93" spans="4:23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</row>
    <row r="94" spans="4:23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</row>
    <row r="95" spans="4:23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</row>
    <row r="96" spans="4:23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</row>
    <row r="97" spans="4:23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</row>
    <row r="98" spans="4:23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</row>
    <row r="99" spans="4:23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</row>
    <row r="100" spans="4:23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</row>
    <row r="101" spans="4:23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</row>
    <row r="102" spans="4:23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</row>
    <row r="103" spans="4:23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</row>
    <row r="104" spans="4:23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</row>
    <row r="105" spans="4:23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</row>
    <row r="106" spans="4:23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</row>
    <row r="107" spans="4:23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</row>
    <row r="108" spans="4:23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</row>
    <row r="109" spans="4:23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</row>
    <row r="110" spans="4:23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</row>
    <row r="111" spans="4:23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</row>
    <row r="112" spans="4:23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</row>
    <row r="113" spans="4:23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</row>
    <row r="114" spans="4:23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</row>
    <row r="115" spans="4:23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</row>
    <row r="116" spans="4:23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</row>
    <row r="117" spans="4:23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</row>
    <row r="118" spans="4:23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</row>
    <row r="119" spans="4:23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</row>
    <row r="120" spans="4:23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</row>
    <row r="121" spans="4:23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</row>
    <row r="122" spans="4:23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</row>
    <row r="123" spans="4:23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</row>
    <row r="124" spans="4:23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</row>
    <row r="125" spans="4:23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</row>
    <row r="126" spans="4:23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</row>
    <row r="127" spans="4:23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</row>
    <row r="128" spans="4:23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</row>
    <row r="129" spans="4:23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</row>
    <row r="130" spans="4:23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</row>
    <row r="131" spans="4:23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</row>
    <row r="132" spans="4:23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</row>
    <row r="133" spans="4:23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</row>
    <row r="134" spans="4:23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</row>
    <row r="135" spans="4:23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</row>
    <row r="136" spans="4:23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</row>
    <row r="137" spans="4:23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</row>
    <row r="138" spans="4:23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</row>
    <row r="139" spans="4:23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</row>
    <row r="140" spans="4:23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</row>
    <row r="141" spans="4:23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</row>
    <row r="142" spans="4:23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</row>
    <row r="143" spans="4:23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</row>
    <row r="144" spans="4:23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</row>
    <row r="145" spans="4:23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</row>
    <row r="146" spans="4:23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</row>
    <row r="147" spans="4:23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</row>
    <row r="148" spans="4:23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</row>
    <row r="149" spans="4:23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</row>
    <row r="150" spans="4:23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</row>
    <row r="151" spans="4:23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</row>
    <row r="152" spans="4:23" ht="16.5" customHeight="1"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</row>
    <row r="153" spans="4:23" ht="16.5" customHeight="1"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</row>
    <row r="154" spans="4:23" ht="16.5" customHeight="1"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</row>
    <row r="155" spans="4:23" ht="16.5" customHeight="1"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</row>
    <row r="156" spans="4:23" ht="16.5" customHeight="1"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</row>
    <row r="157" spans="4:23" ht="16.5" customHeight="1"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</row>
    <row r="158" spans="4:23" ht="16.5" customHeight="1"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69"/>
  <sheetViews>
    <sheetView zoomScale="70" zoomScaleNormal="70" workbookViewId="0" topLeftCell="A19">
      <selection activeCell="AC62" sqref="AC62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hidden="1" customWidth="1"/>
    <col min="8" max="8" width="6.8515625" style="0" hidden="1" customWidth="1"/>
    <col min="9" max="9" width="8.8515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140625" style="0" hidden="1" customWidth="1"/>
    <col min="20" max="20" width="10.140625" style="0" hidden="1" customWidth="1"/>
    <col min="21" max="21" width="10.57421875" style="0" hidden="1" customWidth="1"/>
    <col min="22" max="27" width="5.71093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5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32" customFormat="1" ht="30.75">
      <c r="A3" s="629"/>
      <c r="B3" s="630" t="str">
        <f>+'TOT-1007'!B2</f>
        <v>ANEXO V al Memorandum D.T.E.E. N° 1955 /2009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AB3" s="631"/>
      <c r="AC3" s="631"/>
      <c r="AD3" s="631"/>
    </row>
    <row r="4" spans="1:2" s="25" customFormat="1" ht="11.25">
      <c r="A4" s="861" t="s">
        <v>2</v>
      </c>
      <c r="B4" s="862"/>
    </row>
    <row r="5" spans="1:2" s="25" customFormat="1" ht="12" thickBot="1">
      <c r="A5" s="861" t="s">
        <v>3</v>
      </c>
      <c r="B5" s="861"/>
    </row>
    <row r="6" spans="1:30" ht="16.5" customHeight="1" thickTop="1">
      <c r="A6" s="5"/>
      <c r="B6" s="69"/>
      <c r="C6" s="70"/>
      <c r="D6" s="70"/>
      <c r="E6" s="21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92"/>
      <c r="X6" s="192"/>
      <c r="Y6" s="192"/>
      <c r="Z6" s="192"/>
      <c r="AA6" s="192"/>
      <c r="AB6" s="192"/>
      <c r="AC6" s="192"/>
      <c r="AD6" s="94"/>
    </row>
    <row r="7" spans="1:30" ht="20.25">
      <c r="A7" s="5"/>
      <c r="B7" s="50"/>
      <c r="C7" s="4"/>
      <c r="D7" s="190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90" t="s">
        <v>98</v>
      </c>
      <c r="E9" s="43"/>
      <c r="F9" s="43"/>
      <c r="G9" s="43"/>
      <c r="H9" s="43"/>
      <c r="N9" s="43"/>
      <c r="O9" s="43"/>
      <c r="P9" s="220"/>
      <c r="Q9" s="220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21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90" t="s">
        <v>115</v>
      </c>
      <c r="E11" s="43"/>
      <c r="F11" s="43"/>
      <c r="G11" s="43"/>
      <c r="H11" s="43"/>
      <c r="N11" s="43"/>
      <c r="O11" s="43"/>
      <c r="P11" s="220"/>
      <c r="Q11" s="220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21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'TOT-1007'!B14</f>
        <v>Desde el 01 al 31 de octubre de 2007</v>
      </c>
      <c r="C13" s="38"/>
      <c r="D13" s="40"/>
      <c r="E13" s="40"/>
      <c r="F13" s="40"/>
      <c r="G13" s="40"/>
      <c r="H13" s="40"/>
      <c r="I13" s="41"/>
      <c r="J13" s="188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8"/>
      <c r="V13" s="128"/>
      <c r="W13"/>
      <c r="X13" s="633"/>
      <c r="Y13" s="633"/>
      <c r="Z13" s="633"/>
      <c r="AA13" s="633"/>
      <c r="AB13" s="128"/>
      <c r="AC13" s="188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634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5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5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78" t="s">
        <v>99</v>
      </c>
      <c r="D17" s="54" t="s">
        <v>100</v>
      </c>
      <c r="E17" s="66"/>
      <c r="F17" s="66"/>
      <c r="G17" s="4"/>
      <c r="H17" s="4"/>
      <c r="I17" s="4"/>
      <c r="J17" s="634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635"/>
      <c r="C18" s="33"/>
      <c r="D18" s="636"/>
      <c r="E18" s="637"/>
      <c r="F18" s="638"/>
      <c r="G18" s="33"/>
      <c r="H18" s="33"/>
      <c r="I18" s="33"/>
      <c r="J18" s="639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640"/>
    </row>
    <row r="19" spans="2:30" s="32" customFormat="1" ht="16.5" customHeight="1">
      <c r="B19" s="635"/>
      <c r="C19" s="33"/>
      <c r="D19" s="641" t="s">
        <v>101</v>
      </c>
      <c r="F19" s="642">
        <v>89.969</v>
      </c>
      <c r="G19" s="641" t="s">
        <v>102</v>
      </c>
      <c r="H19" s="33"/>
      <c r="I19" s="33"/>
      <c r="J19" s="643"/>
      <c r="K19" s="644" t="s">
        <v>42</v>
      </c>
      <c r="L19" s="645">
        <v>0.04</v>
      </c>
      <c r="R19" s="33"/>
      <c r="S19" s="33"/>
      <c r="T19" s="33"/>
      <c r="U19" s="33"/>
      <c r="V19" s="33"/>
      <c r="W19"/>
      <c r="AD19" s="640"/>
    </row>
    <row r="20" spans="2:30" s="32" customFormat="1" ht="16.5" customHeight="1">
      <c r="B20" s="635"/>
      <c r="C20" s="33"/>
      <c r="D20" s="641" t="s">
        <v>116</v>
      </c>
      <c r="F20" s="642">
        <v>0.245</v>
      </c>
      <c r="G20" s="641" t="s">
        <v>117</v>
      </c>
      <c r="H20" s="33"/>
      <c r="I20" s="33"/>
      <c r="J20" s="33"/>
      <c r="K20" s="636" t="s">
        <v>40</v>
      </c>
      <c r="L20" s="33">
        <v>744</v>
      </c>
      <c r="M20" s="33" t="s">
        <v>41</v>
      </c>
      <c r="N20" s="33"/>
      <c r="O20" s="33"/>
      <c r="P20" s="863"/>
      <c r="Q20" s="33"/>
      <c r="R20" s="33"/>
      <c r="S20" s="33"/>
      <c r="T20" s="33"/>
      <c r="U20" s="33"/>
      <c r="V20" s="33"/>
      <c r="W20"/>
      <c r="AD20" s="640"/>
    </row>
    <row r="21" spans="2:30" s="32" customFormat="1" ht="16.5" customHeight="1">
      <c r="B21" s="635"/>
      <c r="C21" s="33"/>
      <c r="D21" s="641" t="s">
        <v>118</v>
      </c>
      <c r="F21" s="642">
        <v>39.254</v>
      </c>
      <c r="G21" s="641" t="s">
        <v>119</v>
      </c>
      <c r="H21" s="33"/>
      <c r="I21" s="33"/>
      <c r="J21" s="33"/>
      <c r="K21" s="232"/>
      <c r="L21" s="233"/>
      <c r="M21" s="33"/>
      <c r="N21" s="33"/>
      <c r="O21" s="33"/>
      <c r="P21" s="863"/>
      <c r="Q21" s="33"/>
      <c r="R21" s="33"/>
      <c r="S21" s="33"/>
      <c r="T21" s="33"/>
      <c r="U21" s="33"/>
      <c r="V21" s="33"/>
      <c r="W21"/>
      <c r="AD21" s="640"/>
    </row>
    <row r="22" spans="2:30" s="32" customFormat="1" ht="16.5" customHeight="1">
      <c r="B22" s="635"/>
      <c r="C22" s="33"/>
      <c r="D22" s="641" t="s">
        <v>120</v>
      </c>
      <c r="F22" s="642">
        <v>49.065</v>
      </c>
      <c r="G22" s="641" t="s">
        <v>119</v>
      </c>
      <c r="H22" s="33"/>
      <c r="I22" s="33"/>
      <c r="J22" s="33"/>
      <c r="K22" s="232"/>
      <c r="L22" s="233"/>
      <c r="M22" s="33"/>
      <c r="N22" s="33"/>
      <c r="O22" s="33"/>
      <c r="P22" s="863"/>
      <c r="Q22" s="33"/>
      <c r="R22" s="33"/>
      <c r="S22" s="33"/>
      <c r="T22" s="33"/>
      <c r="U22" s="33"/>
      <c r="V22" s="33"/>
      <c r="W22"/>
      <c r="AD22" s="640"/>
    </row>
    <row r="23" spans="2:30" s="32" customFormat="1" ht="8.25" customHeight="1">
      <c r="B23" s="635"/>
      <c r="C23" s="33"/>
      <c r="D23" s="33"/>
      <c r="E23" s="64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640"/>
    </row>
    <row r="24" spans="1:30" ht="16.5" customHeight="1">
      <c r="A24" s="5"/>
      <c r="B24" s="50"/>
      <c r="C24" s="178" t="s">
        <v>103</v>
      </c>
      <c r="D24" s="3" t="s">
        <v>152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635"/>
      <c r="C26" s="638"/>
      <c r="D26"/>
      <c r="E26"/>
      <c r="F26"/>
      <c r="G26"/>
      <c r="H26"/>
      <c r="I26"/>
      <c r="J26" s="648" t="s">
        <v>47</v>
      </c>
      <c r="K26" s="649">
        <f>L19*AC61</f>
        <v>62299.3831904</v>
      </c>
      <c r="L26"/>
      <c r="S26"/>
      <c r="T26"/>
      <c r="U26"/>
      <c r="W26"/>
      <c r="AD26" s="640"/>
    </row>
    <row r="27" spans="2:30" s="32" customFormat="1" ht="11.25" customHeight="1" thickTop="1">
      <c r="B27" s="635"/>
      <c r="C27" s="638"/>
      <c r="D27" s="33"/>
      <c r="E27" s="647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640"/>
    </row>
    <row r="28" spans="1:30" ht="16.5" customHeight="1">
      <c r="A28" s="5"/>
      <c r="B28" s="50"/>
      <c r="C28" s="178" t="s">
        <v>104</v>
      </c>
      <c r="D28" s="3" t="s">
        <v>153</v>
      </c>
      <c r="E28" s="23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3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38" t="s">
        <v>0</v>
      </c>
      <c r="E30" s="194" t="s">
        <v>14</v>
      </c>
      <c r="F30" s="87" t="s">
        <v>15</v>
      </c>
      <c r="G30" s="239" t="s">
        <v>70</v>
      </c>
      <c r="H30" s="240" t="s">
        <v>39</v>
      </c>
      <c r="I30" s="145" t="s">
        <v>16</v>
      </c>
      <c r="J30" s="85" t="s">
        <v>17</v>
      </c>
      <c r="K30" s="195" t="s">
        <v>18</v>
      </c>
      <c r="L30" s="88" t="s">
        <v>38</v>
      </c>
      <c r="M30" s="86" t="s">
        <v>33</v>
      </c>
      <c r="N30" s="88" t="s">
        <v>105</v>
      </c>
      <c r="O30" s="88" t="s">
        <v>48</v>
      </c>
      <c r="P30" s="195" t="s">
        <v>49</v>
      </c>
      <c r="Q30" s="85" t="s">
        <v>34</v>
      </c>
      <c r="R30" s="147" t="s">
        <v>20</v>
      </c>
      <c r="S30" s="650" t="s">
        <v>21</v>
      </c>
      <c r="T30" s="651" t="s">
        <v>71</v>
      </c>
      <c r="U30" s="652"/>
      <c r="V30" s="653"/>
      <c r="W30" s="654" t="s">
        <v>106</v>
      </c>
      <c r="X30" s="655"/>
      <c r="Y30" s="656"/>
      <c r="Z30" s="657" t="s">
        <v>22</v>
      </c>
      <c r="AA30" s="658" t="s">
        <v>23</v>
      </c>
      <c r="AB30" s="89" t="s">
        <v>74</v>
      </c>
      <c r="AC30" s="123" t="s">
        <v>24</v>
      </c>
      <c r="AD30" s="252"/>
      <c r="AE30"/>
    </row>
    <row r="31" spans="1:30" ht="16.5" customHeight="1" thickTop="1">
      <c r="A31" s="5"/>
      <c r="B31" s="50"/>
      <c r="C31" s="7"/>
      <c r="D31" s="659"/>
      <c r="E31" s="660"/>
      <c r="F31" s="661"/>
      <c r="G31" s="662"/>
      <c r="H31" s="663"/>
      <c r="I31" s="664"/>
      <c r="J31" s="665"/>
      <c r="K31" s="666"/>
      <c r="L31" s="7"/>
      <c r="M31" s="7"/>
      <c r="N31" s="202"/>
      <c r="O31" s="202"/>
      <c r="P31" s="7"/>
      <c r="Q31" s="199"/>
      <c r="R31" s="667"/>
      <c r="S31" s="668"/>
      <c r="T31" s="669"/>
      <c r="U31" s="670"/>
      <c r="V31" s="671"/>
      <c r="W31" s="672"/>
      <c r="X31" s="673"/>
      <c r="Y31" s="674"/>
      <c r="Z31" s="675"/>
      <c r="AA31" s="676"/>
      <c r="AB31" s="677"/>
      <c r="AC31" s="678"/>
      <c r="AD31" s="17"/>
    </row>
    <row r="32" spans="1:30" ht="16.5" customHeight="1">
      <c r="A32" s="5"/>
      <c r="B32" s="50"/>
      <c r="C32" s="991" t="s">
        <v>166</v>
      </c>
      <c r="D32" s="7" t="s">
        <v>251</v>
      </c>
      <c r="E32" s="627">
        <v>500</v>
      </c>
      <c r="F32" s="679">
        <v>506</v>
      </c>
      <c r="G32" s="680" t="s">
        <v>186</v>
      </c>
      <c r="H32" s="681">
        <f>IF(G32="A",200,IF(G32="B",60,20))</f>
        <v>20</v>
      </c>
      <c r="I32" s="682">
        <f>IF(F32&gt;100,F32,100)*$F$19/100</f>
        <v>455.24314</v>
      </c>
      <c r="J32" s="683">
        <v>39367.05347222222</v>
      </c>
      <c r="K32" s="628">
        <v>39367.07847222222</v>
      </c>
      <c r="L32" s="684">
        <f>IF(D32="","",(K32-J32)*24)</f>
        <v>0.6000000000349246</v>
      </c>
      <c r="M32" s="532">
        <f>IF(D32="","",ROUND((K32-J32)*24*60,0))</f>
        <v>36</v>
      </c>
      <c r="N32" s="685" t="s">
        <v>190</v>
      </c>
      <c r="O32" s="686" t="str">
        <f>IF(D32="","","--")</f>
        <v>--</v>
      </c>
      <c r="P32" s="283" t="str">
        <f>IF(D32="","","NO")</f>
        <v>NO</v>
      </c>
      <c r="Q32" s="283" t="str">
        <f>IF(D32="","",IF(OR(N32="P",N32="RP"),"--","NO"))</f>
        <v>NO</v>
      </c>
      <c r="R32" s="687" t="str">
        <f>IF(N32="P",+I32*H32*ROUND(M32/60,2)/100,"--")</f>
        <v>--</v>
      </c>
      <c r="S32" s="688" t="str">
        <f>IF(N32="RP",I32*H32*ROUND(M32/60,2)*0.01*O32/100,"--")</f>
        <v>--</v>
      </c>
      <c r="T32" s="689">
        <f>IF(AND(N32="F",Q32="NO"),IF(P32="SI",1.2,1)*I32*H32,"--")</f>
        <v>9104.862799999999</v>
      </c>
      <c r="U32" s="690">
        <f>IF(AND(M32&gt;10,N32="F"),IF(M32&lt;=300,ROUND(M32/60,2),5)*I32*H32*IF(P32="SI",1.2,1),"--")</f>
        <v>5462.91768</v>
      </c>
      <c r="V32" s="691" t="str">
        <f>IF(AND(N32="F",M32&gt;300),IF(P32="SI",1.2,1)*(ROUND(M32/60,2)-5)*I32*H32*0.1,"--")</f>
        <v>--</v>
      </c>
      <c r="W32" s="692" t="str">
        <f>IF(AND(N32="R",Q32="NO"),IF(P32="SI",1.2,1)*I32*H32*O32/100,"--")</f>
        <v>--</v>
      </c>
      <c r="X32" s="693" t="str">
        <f>IF(AND(M32&gt;10,N32="R"),IF(M32&lt;=300,ROUND(M32/60,2),5)*I32*H32*O32/100*IF(P32="SI",1.2,1),"--")</f>
        <v>--</v>
      </c>
      <c r="Y32" s="694" t="str">
        <f>IF(AND(N32="R",M32&gt;300),IF(P32="SI",1.2,1)*(ROUND(M32/60,2)-5)*I32*H32*O32/100*0.1,"--")</f>
        <v>--</v>
      </c>
      <c r="Z32" s="695" t="str">
        <f>IF(N32="RF",IF(P32="SI",1.2,1)*ROUND(M32/60,2)*I32*H32*0.1,"--")</f>
        <v>--</v>
      </c>
      <c r="AA32" s="696" t="str">
        <f>IF(N32="RR",IF(P32="SI",1.2,1)*ROUND(M32/60,2)*I32*H32*O32/100*0.1,"--")</f>
        <v>--</v>
      </c>
      <c r="AB32" s="697" t="s">
        <v>188</v>
      </c>
      <c r="AC32" s="16">
        <f>IF(D32="","",SUM(R32:AA32)*IF(AB32="SI",1,2))</f>
        <v>14567.780479999998</v>
      </c>
      <c r="AD32" s="17"/>
    </row>
    <row r="33" spans="1:30" ht="16.5" customHeight="1">
      <c r="A33" s="5"/>
      <c r="B33" s="50"/>
      <c r="C33" s="991" t="s">
        <v>167</v>
      </c>
      <c r="D33" s="7" t="s">
        <v>252</v>
      </c>
      <c r="E33" s="627">
        <v>500</v>
      </c>
      <c r="F33" s="679">
        <v>85</v>
      </c>
      <c r="G33" s="680" t="s">
        <v>186</v>
      </c>
      <c r="H33" s="681">
        <f>IF(G33="A",200,IF(G33="B",60,20))</f>
        <v>20</v>
      </c>
      <c r="I33" s="682">
        <f>IF(F33&gt;100,F33,100)*$F$19/100</f>
        <v>89.969</v>
      </c>
      <c r="J33" s="683">
        <v>39368.45416666667</v>
      </c>
      <c r="K33" s="628">
        <v>39368.59652777778</v>
      </c>
      <c r="L33" s="684">
        <f>IF(D33="","",(K33-J33)*24)</f>
        <v>3.4166666666278616</v>
      </c>
      <c r="M33" s="532">
        <f>IF(D33="","",ROUND((K33-J33)*24*60,0))</f>
        <v>205</v>
      </c>
      <c r="N33" s="685" t="s">
        <v>190</v>
      </c>
      <c r="O33" s="686" t="str">
        <f>IF(D33="","","--")</f>
        <v>--</v>
      </c>
      <c r="P33" s="283" t="str">
        <f>IF(D33="","","NO")</f>
        <v>NO</v>
      </c>
      <c r="Q33" s="283" t="s">
        <v>188</v>
      </c>
      <c r="R33" s="687" t="str">
        <f>IF(N33="P",+I33*H33*ROUND(M33/60,2)/100,"--")</f>
        <v>--</v>
      </c>
      <c r="S33" s="688" t="str">
        <f>IF(N33="RP",I33*H33*ROUND(M33/60,2)*0.01*O33/100,"--")</f>
        <v>--</v>
      </c>
      <c r="T33" s="689" t="str">
        <f>IF(AND(N33="F",Q33="NO"),IF(P33="SI",1.2,1)*I33*H33,"--")</f>
        <v>--</v>
      </c>
      <c r="U33" s="690">
        <f>IF(AND(M33&gt;10,N33="F"),IF(M33&lt;=300,ROUND(M33/60,2),5)*I33*H33*IF(P33="SI",1.2,1),"--")</f>
        <v>6153.879599999999</v>
      </c>
      <c r="V33" s="691" t="str">
        <f>IF(AND(N33="F",M33&gt;300),IF(P33="SI",1.2,1)*(ROUND(M33/60,2)-5)*I33*H33*0.1,"--")</f>
        <v>--</v>
      </c>
      <c r="W33" s="692" t="str">
        <f>IF(AND(N33="R",Q33="NO"),IF(P33="SI",1.2,1)*I33*H33*O33/100,"--")</f>
        <v>--</v>
      </c>
      <c r="X33" s="693" t="str">
        <f>IF(AND(M33&gt;10,N33="R"),IF(M33&lt;=300,ROUND(M33/60,2),5)*I33*H33*O33/100*IF(P33="SI",1.2,1),"--")</f>
        <v>--</v>
      </c>
      <c r="Y33" s="694" t="str">
        <f>IF(AND(N33="R",M33&gt;300),IF(P33="SI",1.2,1)*(ROUND(M33/60,2)-5)*I33*H33*O33/100*0.1,"--")</f>
        <v>--</v>
      </c>
      <c r="Z33" s="695" t="str">
        <f>IF(N33="RF",IF(P33="SI",1.2,1)*ROUND(M33/60,2)*I33*H33*0.1,"--")</f>
        <v>--</v>
      </c>
      <c r="AA33" s="696" t="str">
        <f>IF(N33="RR",IF(P33="SI",1.2,1)*ROUND(M33/60,2)*I33*H33*O33/100*0.1,"--")</f>
        <v>--</v>
      </c>
      <c r="AB33" s="697" t="s">
        <v>188</v>
      </c>
      <c r="AC33" s="16">
        <f>IF(D33="","",SUM(R33:AA33)*IF(AB33="SI",1,2))</f>
        <v>6153.879599999999</v>
      </c>
      <c r="AD33" s="17"/>
    </row>
    <row r="34" spans="1:30" ht="16.5" customHeight="1">
      <c r="A34" s="5"/>
      <c r="B34" s="50"/>
      <c r="C34" s="991" t="s">
        <v>168</v>
      </c>
      <c r="D34" s="7" t="s">
        <v>252</v>
      </c>
      <c r="E34" s="627">
        <v>500</v>
      </c>
      <c r="F34" s="679">
        <v>85</v>
      </c>
      <c r="G34" s="680" t="s">
        <v>186</v>
      </c>
      <c r="H34" s="681">
        <f>IF(G34="A",200,IF(G34="B",60,20))</f>
        <v>20</v>
      </c>
      <c r="I34" s="682">
        <f>IF(F34&gt;100,F34,100)*$F$19/100</f>
        <v>89.969</v>
      </c>
      <c r="J34" s="683">
        <v>39376.470138888886</v>
      </c>
      <c r="K34" s="628">
        <v>39376.61041666667</v>
      </c>
      <c r="L34" s="684">
        <f>IF(D34="","",(K34-J34)*24)</f>
        <v>3.366666666814126</v>
      </c>
      <c r="M34" s="532">
        <f>IF(D34="","",ROUND((K34-J34)*24*60,0))</f>
        <v>202</v>
      </c>
      <c r="N34" s="685" t="s">
        <v>187</v>
      </c>
      <c r="O34" s="686" t="str">
        <f>IF(D34="","","--")</f>
        <v>--</v>
      </c>
      <c r="P34" s="283" t="str">
        <f>IF(D34="","","NO")</f>
        <v>NO</v>
      </c>
      <c r="Q34" s="283" t="str">
        <f>IF(D34="","",IF(OR(N34="P",N34="RP"),"--","NO"))</f>
        <v>--</v>
      </c>
      <c r="R34" s="687">
        <f>IF(N34="P",+I34*H34*ROUND(M34/60,2)/100,"--")</f>
        <v>60.639106</v>
      </c>
      <c r="S34" s="688" t="str">
        <f>IF(N34="RP",I34*H34*ROUND(M34/60,2)*0.01*O34/100,"--")</f>
        <v>--</v>
      </c>
      <c r="T34" s="689" t="str">
        <f>IF(AND(N34="F",Q34="NO"),IF(P34="SI",1.2,1)*I34*H34,"--")</f>
        <v>--</v>
      </c>
      <c r="U34" s="690" t="str">
        <f>IF(AND(M34&gt;10,N34="F"),IF(M34&lt;=300,ROUND(M34/60,2),5)*I34*H34*IF(P34="SI",1.2,1),"--")</f>
        <v>--</v>
      </c>
      <c r="V34" s="691" t="str">
        <f>IF(AND(N34="F",M34&gt;300),IF(P34="SI",1.2,1)*(ROUND(M34/60,2)-5)*I34*H34*0.1,"--")</f>
        <v>--</v>
      </c>
      <c r="W34" s="692" t="str">
        <f>IF(AND(N34="R",Q34="NO"),IF(P34="SI",1.2,1)*I34*H34*O34/100,"--")</f>
        <v>--</v>
      </c>
      <c r="X34" s="693" t="str">
        <f>IF(AND(M34&gt;10,N34="R"),IF(M34&lt;=300,ROUND(M34/60,2),5)*I34*H34*O34/100*IF(P34="SI",1.2,1),"--")</f>
        <v>--</v>
      </c>
      <c r="Y34" s="694" t="str">
        <f>IF(AND(N34="R",M34&gt;300),IF(P34="SI",1.2,1)*(ROUND(M34/60,2)-5)*I34*H34*O34/100*0.1,"--")</f>
        <v>--</v>
      </c>
      <c r="Z34" s="695" t="str">
        <f>IF(N34="RF",IF(P34="SI",1.2,1)*ROUND(M34/60,2)*I34*H34*0.1,"--")</f>
        <v>--</v>
      </c>
      <c r="AA34" s="696" t="str">
        <f>IF(N34="RR",IF(P34="SI",1.2,1)*ROUND(M34/60,2)*I34*H34*O34/100*0.1,"--")</f>
        <v>--</v>
      </c>
      <c r="AB34" s="697" t="s">
        <v>188</v>
      </c>
      <c r="AC34" s="16">
        <f>IF(D34="","",SUM(R34:AA34)*IF(AB34="SI",1,2))</f>
        <v>60.639106</v>
      </c>
      <c r="AD34" s="17"/>
    </row>
    <row r="35" spans="1:30" ht="16.5" customHeight="1">
      <c r="A35" s="5"/>
      <c r="B35" s="50"/>
      <c r="C35" s="991"/>
      <c r="D35" s="7"/>
      <c r="E35" s="627"/>
      <c r="F35" s="679"/>
      <c r="G35" s="680"/>
      <c r="H35" s="681">
        <f>IF(G35="A",200,IF(G35="B",60,20))</f>
        <v>20</v>
      </c>
      <c r="I35" s="682">
        <f>IF(F35&gt;100,F35,100)*$F$19/100</f>
        <v>89.969</v>
      </c>
      <c r="J35" s="683"/>
      <c r="K35" s="628"/>
      <c r="L35" s="684">
        <f>IF(D35="","",(K35-J35)*24)</f>
      </c>
      <c r="M35" s="532">
        <f>IF(D35="","",ROUND((K35-J35)*24*60,0))</f>
      </c>
      <c r="N35" s="685"/>
      <c r="O35" s="686">
        <f>IF(D35="","","--")</f>
      </c>
      <c r="P35" s="283">
        <f>IF(D35="","","NO")</f>
      </c>
      <c r="Q35" s="283">
        <f>IF(D35="","",IF(OR(N35="P",N35="RP"),"--","NO"))</f>
      </c>
      <c r="R35" s="687" t="str">
        <f>IF(N35="P",+I35*H35*ROUND(M35/60,2)/100,"--")</f>
        <v>--</v>
      </c>
      <c r="S35" s="688" t="str">
        <f>IF(N35="RP",I35*H35*ROUND(M35/60,2)*0.01*O35/100,"--")</f>
        <v>--</v>
      </c>
      <c r="T35" s="689" t="str">
        <f>IF(AND(N35="F",Q35="NO"),IF(P35="SI",1.2,1)*I35*H35,"--")</f>
        <v>--</v>
      </c>
      <c r="U35" s="690" t="str">
        <f>IF(AND(M35&gt;10,N35="F"),IF(M35&lt;=300,ROUND(M35/60,2),5)*I35*H35*IF(P35="SI",1.2,1),"--")</f>
        <v>--</v>
      </c>
      <c r="V35" s="691" t="str">
        <f>IF(AND(N35="F",M35&gt;300),IF(P35="SI",1.2,1)*(ROUND(M35/60,2)-5)*I35*H35*0.1,"--")</f>
        <v>--</v>
      </c>
      <c r="W35" s="692" t="str">
        <f>IF(AND(N35="R",Q35="NO"),IF(P35="SI",1.2,1)*I35*H35*O35/100,"--")</f>
        <v>--</v>
      </c>
      <c r="X35" s="693" t="str">
        <f>IF(AND(M35&gt;10,N35="R"),IF(M35&lt;=300,ROUND(M35/60,2),5)*I35*H35*O35/100*IF(P35="SI",1.2,1),"--")</f>
        <v>--</v>
      </c>
      <c r="Y35" s="694" t="str">
        <f>IF(AND(N35="R",M35&gt;300),IF(P35="SI",1.2,1)*(ROUND(M35/60,2)-5)*I35*H35*O35/100*0.1,"--")</f>
        <v>--</v>
      </c>
      <c r="Z35" s="695" t="str">
        <f>IF(N35="RF",IF(P35="SI",1.2,1)*ROUND(M35/60,2)*I35*H35*0.1,"--")</f>
        <v>--</v>
      </c>
      <c r="AA35" s="696" t="str">
        <f>IF(N35="RR",IF(P35="SI",1.2,1)*ROUND(M35/60,2)*I35*H35*O35/100*0.1,"--")</f>
        <v>--</v>
      </c>
      <c r="AB35" s="697">
        <f>IF(D35="","","SI")</f>
      </c>
      <c r="AC35" s="16">
        <f>IF(D35="","",SUM(R35:AA35)*IF(AB35="SI",1,2))</f>
      </c>
      <c r="AD35" s="17"/>
    </row>
    <row r="36" spans="1:30" ht="16.5" customHeight="1">
      <c r="A36" s="5"/>
      <c r="B36" s="50"/>
      <c r="C36" s="991"/>
      <c r="D36" s="7"/>
      <c r="E36" s="627"/>
      <c r="F36" s="679"/>
      <c r="G36" s="680"/>
      <c r="H36" s="681">
        <f>IF(G36="A",200,IF(G36="B",60,20))</f>
        <v>20</v>
      </c>
      <c r="I36" s="682">
        <f>IF(F36&gt;100,F36,100)*$F$19/100</f>
        <v>89.969</v>
      </c>
      <c r="J36" s="683"/>
      <c r="K36" s="628"/>
      <c r="L36" s="684">
        <f>IF(D36="","",(K36-J36)*24)</f>
      </c>
      <c r="M36" s="532">
        <f>IF(D36="","",ROUND((K36-J36)*24*60,0))</f>
      </c>
      <c r="N36" s="685"/>
      <c r="O36" s="686">
        <f>IF(D36="","","--")</f>
      </c>
      <c r="P36" s="283">
        <f>IF(D36="","","NO")</f>
      </c>
      <c r="Q36" s="283">
        <f>IF(D36="","",IF(OR(N36="P",N36="RP"),"--","NO"))</f>
      </c>
      <c r="R36" s="687" t="str">
        <f>IF(N36="P",+I36*H36*ROUND(M36/60,2)/100,"--")</f>
        <v>--</v>
      </c>
      <c r="S36" s="688" t="str">
        <f>IF(N36="RP",I36*H36*ROUND(M36/60,2)*0.01*O36/100,"--")</f>
        <v>--</v>
      </c>
      <c r="T36" s="689" t="str">
        <f>IF(AND(N36="F",Q36="NO"),IF(P36="SI",1.2,1)*I36*H36,"--")</f>
        <v>--</v>
      </c>
      <c r="U36" s="690" t="str">
        <f>IF(AND(M36&gt;10,N36="F"),IF(M36&lt;=300,ROUND(M36/60,2),5)*I36*H36*IF(P36="SI",1.2,1),"--")</f>
        <v>--</v>
      </c>
      <c r="V36" s="691" t="str">
        <f>IF(AND(N36="F",M36&gt;300),IF(P36="SI",1.2,1)*(ROUND(M36/60,2)-5)*I36*H36*0.1,"--")</f>
        <v>--</v>
      </c>
      <c r="W36" s="692" t="str">
        <f>IF(AND(N36="R",Q36="NO"),IF(P36="SI",1.2,1)*I36*H36*O36/100,"--")</f>
        <v>--</v>
      </c>
      <c r="X36" s="693" t="str">
        <f>IF(AND(M36&gt;10,N36="R"),IF(M36&lt;=300,ROUND(M36/60,2),5)*I36*H36*O36/100*IF(P36="SI",1.2,1),"--")</f>
        <v>--</v>
      </c>
      <c r="Y36" s="694" t="str">
        <f>IF(AND(N36="R",M36&gt;300),IF(P36="SI",1.2,1)*(ROUND(M36/60,2)-5)*I36*H36*O36/100*0.1,"--")</f>
        <v>--</v>
      </c>
      <c r="Z36" s="695" t="str">
        <f>IF(N36="RF",IF(P36="SI",1.2,1)*ROUND(M36/60,2)*I36*H36*0.1,"--")</f>
        <v>--</v>
      </c>
      <c r="AA36" s="696" t="str">
        <f>IF(N36="RR",IF(P36="SI",1.2,1)*ROUND(M36/60,2)*I36*H36*O36/100*0.1,"--")</f>
        <v>--</v>
      </c>
      <c r="AB36" s="697">
        <f>IF(D36="","","SI")</f>
      </c>
      <c r="AC36" s="16">
        <f>IF(D36="","",SUM(R36:AA36)*IF(AB36="SI",1,2))</f>
      </c>
      <c r="AD36" s="17"/>
    </row>
    <row r="37" spans="1:30" ht="16.5" customHeight="1" thickBot="1">
      <c r="A37" s="32"/>
      <c r="B37" s="50"/>
      <c r="C37" s="774"/>
      <c r="D37" s="698"/>
      <c r="E37" s="699"/>
      <c r="F37" s="700"/>
      <c r="G37" s="701"/>
      <c r="H37" s="702"/>
      <c r="I37" s="703"/>
      <c r="J37" s="704"/>
      <c r="K37" s="704"/>
      <c r="L37" s="9"/>
      <c r="M37" s="9"/>
      <c r="N37" s="9"/>
      <c r="O37" s="705"/>
      <c r="P37" s="9"/>
      <c r="Q37" s="9"/>
      <c r="R37" s="706"/>
      <c r="S37" s="707"/>
      <c r="T37" s="708"/>
      <c r="U37" s="709"/>
      <c r="V37" s="710"/>
      <c r="W37" s="711"/>
      <c r="X37" s="712"/>
      <c r="Y37" s="713"/>
      <c r="Z37" s="714"/>
      <c r="AA37" s="715"/>
      <c r="AB37" s="716"/>
      <c r="AC37" s="717"/>
      <c r="AD37" s="296"/>
    </row>
    <row r="38" spans="1:30" ht="16.5" customHeight="1" thickBot="1" thickTop="1">
      <c r="A38" s="32"/>
      <c r="B38" s="50"/>
      <c r="C38" s="638"/>
      <c r="D38" s="638"/>
      <c r="E38" s="718"/>
      <c r="F38" s="647"/>
      <c r="G38" s="719"/>
      <c r="H38" s="719"/>
      <c r="I38" s="720"/>
      <c r="J38" s="720"/>
      <c r="K38" s="720"/>
      <c r="L38" s="720"/>
      <c r="M38" s="720"/>
      <c r="N38" s="720"/>
      <c r="O38" s="721"/>
      <c r="P38" s="720"/>
      <c r="Q38" s="720"/>
      <c r="R38" s="722">
        <f aca="true" t="shared" si="0" ref="R38:AA38">SUM(R31:R37)</f>
        <v>60.639106</v>
      </c>
      <c r="S38" s="723">
        <f t="shared" si="0"/>
        <v>0</v>
      </c>
      <c r="T38" s="724">
        <f t="shared" si="0"/>
        <v>9104.862799999999</v>
      </c>
      <c r="U38" s="724">
        <f t="shared" si="0"/>
        <v>11616.797279999999</v>
      </c>
      <c r="V38" s="724">
        <f t="shared" si="0"/>
        <v>0</v>
      </c>
      <c r="W38" s="725">
        <f t="shared" si="0"/>
        <v>0</v>
      </c>
      <c r="X38" s="725">
        <f t="shared" si="0"/>
        <v>0</v>
      </c>
      <c r="Y38" s="725">
        <f t="shared" si="0"/>
        <v>0</v>
      </c>
      <c r="Z38" s="726">
        <f t="shared" si="0"/>
        <v>0</v>
      </c>
      <c r="AA38" s="727">
        <f t="shared" si="0"/>
        <v>0</v>
      </c>
      <c r="AB38" s="728"/>
      <c r="AC38" s="729">
        <f>SUM(AC31:AC37)</f>
        <v>20782.299185999997</v>
      </c>
      <c r="AD38" s="296"/>
    </row>
    <row r="39" spans="1:30" ht="13.5" customHeight="1" thickBot="1" thickTop="1">
      <c r="A39" s="32"/>
      <c r="B39" s="50"/>
      <c r="C39" s="638"/>
      <c r="D39" s="638"/>
      <c r="E39" s="718"/>
      <c r="F39" s="647"/>
      <c r="G39" s="719"/>
      <c r="H39" s="719"/>
      <c r="I39" s="720"/>
      <c r="J39" s="720"/>
      <c r="K39" s="720"/>
      <c r="L39" s="720"/>
      <c r="M39" s="720"/>
      <c r="N39" s="720"/>
      <c r="O39" s="721"/>
      <c r="P39" s="720"/>
      <c r="Q39" s="720"/>
      <c r="R39" s="730"/>
      <c r="S39" s="731"/>
      <c r="T39" s="732"/>
      <c r="U39" s="732"/>
      <c r="V39" s="732"/>
      <c r="W39" s="730"/>
      <c r="X39" s="730"/>
      <c r="Y39" s="730"/>
      <c r="Z39" s="730"/>
      <c r="AA39" s="730"/>
      <c r="AB39" s="733"/>
      <c r="AC39" s="734"/>
      <c r="AD39" s="296"/>
    </row>
    <row r="40" spans="1:33" s="5" customFormat="1" ht="33.75" customHeight="1" thickBot="1" thickTop="1">
      <c r="A40" s="90"/>
      <c r="B40" s="95"/>
      <c r="C40" s="125" t="s">
        <v>13</v>
      </c>
      <c r="D40" s="121" t="s">
        <v>29</v>
      </c>
      <c r="E40" s="120" t="s">
        <v>30</v>
      </c>
      <c r="F40" s="122" t="s">
        <v>31</v>
      </c>
      <c r="G40" s="123" t="s">
        <v>14</v>
      </c>
      <c r="H40" s="137" t="s">
        <v>16</v>
      </c>
      <c r="I40" s="735"/>
      <c r="J40" s="120" t="s">
        <v>17</v>
      </c>
      <c r="K40" s="120" t="s">
        <v>18</v>
      </c>
      <c r="L40" s="121" t="s">
        <v>32</v>
      </c>
      <c r="M40" s="121" t="s">
        <v>33</v>
      </c>
      <c r="N40" s="88" t="s">
        <v>107</v>
      </c>
      <c r="O40" s="120" t="s">
        <v>34</v>
      </c>
      <c r="P40" s="736" t="s">
        <v>35</v>
      </c>
      <c r="Q40" s="737"/>
      <c r="R40" s="137" t="s">
        <v>36</v>
      </c>
      <c r="S40" s="738" t="s">
        <v>20</v>
      </c>
      <c r="T40" s="739" t="s">
        <v>108</v>
      </c>
      <c r="U40" s="740"/>
      <c r="V40" s="741" t="s">
        <v>22</v>
      </c>
      <c r="W40" s="742"/>
      <c r="X40" s="743"/>
      <c r="Y40" s="743"/>
      <c r="Z40" s="743"/>
      <c r="AA40" s="744"/>
      <c r="AB40" s="142" t="s">
        <v>74</v>
      </c>
      <c r="AC40" s="123" t="s">
        <v>24</v>
      </c>
      <c r="AD40" s="17"/>
      <c r="AF40"/>
      <c r="AG40"/>
    </row>
    <row r="41" spans="1:30" ht="16.5" customHeight="1" thickTop="1">
      <c r="A41" s="5"/>
      <c r="B41" s="50"/>
      <c r="C41" s="7"/>
      <c r="D41" s="10"/>
      <c r="E41" s="10"/>
      <c r="F41" s="10"/>
      <c r="G41" s="745"/>
      <c r="H41" s="746"/>
      <c r="I41" s="747"/>
      <c r="J41" s="10"/>
      <c r="K41" s="10"/>
      <c r="L41" s="10"/>
      <c r="M41" s="10"/>
      <c r="N41" s="10"/>
      <c r="O41" s="748"/>
      <c r="P41" s="749"/>
      <c r="Q41" s="750"/>
      <c r="R41" s="143"/>
      <c r="S41" s="751"/>
      <c r="T41" s="752"/>
      <c r="U41" s="753"/>
      <c r="V41" s="754"/>
      <c r="W41" s="755"/>
      <c r="X41" s="756"/>
      <c r="Y41" s="756"/>
      <c r="Z41" s="756"/>
      <c r="AA41" s="757"/>
      <c r="AB41" s="748"/>
      <c r="AC41" s="758"/>
      <c r="AD41" s="17"/>
    </row>
    <row r="42" spans="1:30" ht="16.5" customHeight="1">
      <c r="A42" s="5"/>
      <c r="B42" s="50"/>
      <c r="C42" s="168">
        <v>88</v>
      </c>
      <c r="D42" s="162" t="s">
        <v>269</v>
      </c>
      <c r="E42" s="381" t="s">
        <v>270</v>
      </c>
      <c r="F42" s="382">
        <v>300</v>
      </c>
      <c r="G42" s="996" t="s">
        <v>255</v>
      </c>
      <c r="H42" s="449">
        <f>IF(D42="RINCÓN",F42*$F$20,F42*$F$20)</f>
        <v>73.5</v>
      </c>
      <c r="J42" s="172">
        <v>39368.55</v>
      </c>
      <c r="K42" s="172">
        <v>39368.569444444445</v>
      </c>
      <c r="L42" s="450">
        <f>IF(E42="","",(K42-J42)*24)</f>
        <v>0.46666666661622</v>
      </c>
      <c r="M42" s="451">
        <f>IF(E42="","",ROUND((K42-J42)*24*60,0))</f>
        <v>28</v>
      </c>
      <c r="N42" s="452" t="s">
        <v>190</v>
      </c>
      <c r="O42" s="1075" t="s">
        <v>302</v>
      </c>
      <c r="P42" s="765" t="str">
        <f>IF(D42="","","NO")</f>
        <v>NO</v>
      </c>
      <c r="Q42" s="766"/>
      <c r="R42" s="767">
        <f>200*IF(P42="SI",1,0.1)*IF(N42="P",0.1,1)</f>
        <v>20</v>
      </c>
      <c r="S42" s="768" t="str">
        <f>IF(N42="P",H42*R42*ROUND(M42/60,2),"--")</f>
        <v>--</v>
      </c>
      <c r="T42" s="769" t="str">
        <f>IF(AND(N42="F",O42="NO"),H42*R42,"--")</f>
        <v>--</v>
      </c>
      <c r="U42" s="770">
        <f>IF(N42="F",H42*R42*ROUND(M42/60,2),"--")</f>
        <v>690.9</v>
      </c>
      <c r="V42" s="526" t="str">
        <f>IF(N42="RF",H42*R42*ROUND(M42/60,2),"--")</f>
        <v>--</v>
      </c>
      <c r="W42" s="771"/>
      <c r="X42" s="772"/>
      <c r="Y42" s="772"/>
      <c r="Z42" s="772"/>
      <c r="AA42" s="773"/>
      <c r="AB42" s="395" t="str">
        <f>IF(D42="","","SI")</f>
        <v>SI</v>
      </c>
      <c r="AC42" s="396">
        <f>IF(D42="","",SUM(S42:V42)*IF(AB42="SI",1,2))</f>
        <v>690.9</v>
      </c>
      <c r="AD42" s="17"/>
    </row>
    <row r="43" spans="1:30" ht="16.5" customHeight="1">
      <c r="A43" s="5"/>
      <c r="B43" s="50"/>
      <c r="C43" s="367">
        <v>89</v>
      </c>
      <c r="D43" s="162" t="s">
        <v>269</v>
      </c>
      <c r="E43" s="381" t="s">
        <v>270</v>
      </c>
      <c r="F43" s="382">
        <v>300</v>
      </c>
      <c r="G43" s="996" t="s">
        <v>255</v>
      </c>
      <c r="H43" s="449">
        <f>IF(D43="RINCÓN",F43*$F$20,F43*$F$20)</f>
        <v>73.5</v>
      </c>
      <c r="J43" s="172">
        <v>39376.475</v>
      </c>
      <c r="K43" s="169">
        <v>39376.59722222222</v>
      </c>
      <c r="L43" s="450">
        <f>IF(E43="","",(K43-J43)*24)</f>
        <v>2.9333333332906477</v>
      </c>
      <c r="M43" s="451">
        <f>IF(E43="","",ROUND((K43-J43)*24*60,0))</f>
        <v>176</v>
      </c>
      <c r="N43" s="170" t="s">
        <v>187</v>
      </c>
      <c r="O43" s="282" t="str">
        <f>IF(E43="","","--")</f>
        <v>--</v>
      </c>
      <c r="P43" s="765" t="str">
        <f>IF(D43="","","NO")</f>
        <v>NO</v>
      </c>
      <c r="Q43" s="766"/>
      <c r="R43" s="767">
        <f>200*IF(P43="SI",1,0.1)*IF(N43="P",0.1,1)</f>
        <v>2</v>
      </c>
      <c r="S43" s="768">
        <f>IF(N43="P",H43*R43*ROUND(M43/60,2),"--")</f>
        <v>430.71000000000004</v>
      </c>
      <c r="T43" s="769" t="str">
        <f>IF(AND(N43="F",O43="NO"),H43*R43,"--")</f>
        <v>--</v>
      </c>
      <c r="U43" s="770" t="str">
        <f>IF(N43="F",H43*R43*ROUND(M43/60,2),"--")</f>
        <v>--</v>
      </c>
      <c r="V43" s="526" t="str">
        <f>IF(N43="RF",H43*R43*ROUND(M43/60,2),"--")</f>
        <v>--</v>
      </c>
      <c r="W43" s="771"/>
      <c r="X43" s="772"/>
      <c r="Y43" s="772"/>
      <c r="Z43" s="772"/>
      <c r="AA43" s="773"/>
      <c r="AB43" s="395" t="str">
        <f>IF(D43="","","SI")</f>
        <v>SI</v>
      </c>
      <c r="AC43" s="396">
        <f>IF(D43="","",SUM(S43:V43)*IF(AB43="SI",1,2))</f>
        <v>430.71000000000004</v>
      </c>
      <c r="AD43" s="17"/>
    </row>
    <row r="44" spans="1:30" ht="16.5" customHeight="1" thickBot="1">
      <c r="A44" s="32"/>
      <c r="B44" s="50"/>
      <c r="C44" s="774"/>
      <c r="D44" s="775"/>
      <c r="E44" s="776"/>
      <c r="F44" s="777"/>
      <c r="G44" s="778"/>
      <c r="H44" s="779"/>
      <c r="I44" s="780"/>
      <c r="J44" s="781"/>
      <c r="K44" s="782"/>
      <c r="L44" s="783"/>
      <c r="M44" s="784"/>
      <c r="N44" s="785"/>
      <c r="O44" s="9"/>
      <c r="P44" s="786"/>
      <c r="Q44" s="787"/>
      <c r="R44" s="788"/>
      <c r="S44" s="789"/>
      <c r="T44" s="790"/>
      <c r="U44" s="791"/>
      <c r="V44" s="792"/>
      <c r="W44" s="793"/>
      <c r="X44" s="794"/>
      <c r="Y44" s="794"/>
      <c r="Z44" s="794"/>
      <c r="AA44" s="795"/>
      <c r="AB44" s="796"/>
      <c r="AC44" s="797"/>
      <c r="AD44" s="296"/>
    </row>
    <row r="45" spans="1:30" ht="16.5" customHeight="1" thickBot="1" thickTop="1">
      <c r="A45" s="32"/>
      <c r="B45" s="50"/>
      <c r="C45" s="98"/>
      <c r="D45" s="236"/>
      <c r="E45" s="236"/>
      <c r="F45" s="564"/>
      <c r="G45" s="798"/>
      <c r="H45" s="799"/>
      <c r="I45" s="800"/>
      <c r="J45" s="801"/>
      <c r="K45" s="802"/>
      <c r="L45" s="803"/>
      <c r="M45" s="799"/>
      <c r="N45" s="804"/>
      <c r="O45" s="211"/>
      <c r="P45" s="805"/>
      <c r="Q45" s="806"/>
      <c r="R45" s="807"/>
      <c r="S45" s="807"/>
      <c r="T45" s="807"/>
      <c r="U45" s="213"/>
      <c r="V45" s="213"/>
      <c r="W45" s="213"/>
      <c r="X45" s="213"/>
      <c r="Y45" s="213"/>
      <c r="Z45" s="213"/>
      <c r="AA45" s="213"/>
      <c r="AB45" s="213"/>
      <c r="AC45" s="808">
        <f>SUM(AC41:AC44)</f>
        <v>1121.6100000000001</v>
      </c>
      <c r="AD45" s="296"/>
    </row>
    <row r="46" spans="1:30" ht="16.5" customHeight="1" thickBot="1" thickTop="1">
      <c r="A46" s="32"/>
      <c r="B46" s="50"/>
      <c r="C46" s="98"/>
      <c r="D46" s="236"/>
      <c r="E46" s="236"/>
      <c r="F46" s="564"/>
      <c r="G46" s="798"/>
      <c r="H46" s="799"/>
      <c r="I46" s="800"/>
      <c r="J46" s="648" t="s">
        <v>44</v>
      </c>
      <c r="K46" s="649">
        <f>+AC45+AC38</f>
        <v>21903.909185999997</v>
      </c>
      <c r="L46" s="803"/>
      <c r="M46" s="799"/>
      <c r="N46" s="809"/>
      <c r="O46" s="810"/>
      <c r="P46" s="805"/>
      <c r="Q46" s="806"/>
      <c r="R46" s="807"/>
      <c r="S46" s="807"/>
      <c r="T46" s="807"/>
      <c r="U46" s="213"/>
      <c r="V46" s="213"/>
      <c r="W46" s="213"/>
      <c r="X46" s="213"/>
      <c r="Y46" s="213"/>
      <c r="Z46" s="213"/>
      <c r="AA46" s="213"/>
      <c r="AB46" s="213"/>
      <c r="AC46" s="811"/>
      <c r="AD46" s="296"/>
    </row>
    <row r="47" spans="1:30" ht="13.5" customHeight="1" thickTop="1">
      <c r="A47" s="32"/>
      <c r="B47" s="635"/>
      <c r="C47" s="638"/>
      <c r="D47" s="812"/>
      <c r="E47" s="813"/>
      <c r="F47" s="814"/>
      <c r="G47" s="815"/>
      <c r="H47" s="815"/>
      <c r="I47" s="813"/>
      <c r="J47" s="624"/>
      <c r="K47" s="624"/>
      <c r="L47" s="813"/>
      <c r="M47" s="813"/>
      <c r="N47" s="813"/>
      <c r="O47" s="816"/>
      <c r="P47" s="813"/>
      <c r="Q47" s="813"/>
      <c r="R47" s="817"/>
      <c r="S47" s="818"/>
      <c r="T47" s="818"/>
      <c r="U47" s="819"/>
      <c r="AC47" s="819"/>
      <c r="AD47" s="820"/>
    </row>
    <row r="48" spans="1:30" ht="16.5" customHeight="1">
      <c r="A48" s="32"/>
      <c r="B48" s="635"/>
      <c r="C48" s="821" t="s">
        <v>109</v>
      </c>
      <c r="D48" s="822" t="s">
        <v>154</v>
      </c>
      <c r="E48" s="813"/>
      <c r="F48" s="814"/>
      <c r="G48" s="815"/>
      <c r="H48" s="815"/>
      <c r="I48" s="813"/>
      <c r="J48" s="624"/>
      <c r="K48" s="624"/>
      <c r="L48" s="813"/>
      <c r="M48" s="813"/>
      <c r="N48" s="813"/>
      <c r="O48" s="816"/>
      <c r="P48" s="813"/>
      <c r="Q48" s="813"/>
      <c r="R48" s="817"/>
      <c r="S48" s="818"/>
      <c r="T48" s="818"/>
      <c r="U48" s="819"/>
      <c r="AC48" s="819"/>
      <c r="AD48" s="820"/>
    </row>
    <row r="49" spans="1:30" ht="16.5" customHeight="1">
      <c r="A49" s="32"/>
      <c r="B49" s="635"/>
      <c r="C49" s="821"/>
      <c r="D49" s="812"/>
      <c r="E49" s="813"/>
      <c r="F49" s="814"/>
      <c r="G49" s="815"/>
      <c r="H49" s="815"/>
      <c r="I49" s="813"/>
      <c r="J49" s="624"/>
      <c r="K49" s="624"/>
      <c r="L49" s="813"/>
      <c r="M49" s="813"/>
      <c r="N49" s="813"/>
      <c r="O49" s="816"/>
      <c r="P49" s="813"/>
      <c r="Q49" s="813"/>
      <c r="R49" s="813"/>
      <c r="S49" s="817"/>
      <c r="T49" s="818"/>
      <c r="AD49" s="820"/>
    </row>
    <row r="50" spans="2:30" s="32" customFormat="1" ht="16.5" customHeight="1">
      <c r="B50" s="635"/>
      <c r="C50" s="638"/>
      <c r="D50" s="823" t="s">
        <v>0</v>
      </c>
      <c r="E50" s="720" t="s">
        <v>110</v>
      </c>
      <c r="F50" s="720" t="s">
        <v>45</v>
      </c>
      <c r="G50" s="824" t="s">
        <v>155</v>
      </c>
      <c r="H50" s="721"/>
      <c r="I50" s="720"/>
      <c r="J50"/>
      <c r="K50"/>
      <c r="L50" s="825" t="s">
        <v>156</v>
      </c>
      <c r="M50"/>
      <c r="N50"/>
      <c r="O50"/>
      <c r="P50"/>
      <c r="Q50" s="828"/>
      <c r="R50" s="828"/>
      <c r="S50" s="33"/>
      <c r="T50"/>
      <c r="U50"/>
      <c r="V50"/>
      <c r="W50"/>
      <c r="X50" s="33"/>
      <c r="Y50" s="33"/>
      <c r="Z50" s="33"/>
      <c r="AA50" s="33"/>
      <c r="AB50" s="33"/>
      <c r="AC50" s="829" t="s">
        <v>158</v>
      </c>
      <c r="AD50" s="820"/>
    </row>
    <row r="51" spans="2:30" s="32" customFormat="1" ht="16.5" customHeight="1">
      <c r="B51" s="635"/>
      <c r="C51" s="638"/>
      <c r="D51" s="720" t="s">
        <v>121</v>
      </c>
      <c r="E51" s="830">
        <v>506</v>
      </c>
      <c r="F51" s="830">
        <v>500</v>
      </c>
      <c r="G51" s="831">
        <f>E51*$F$19*$L$20/100</f>
        <v>338700.89615999995</v>
      </c>
      <c r="H51" s="831"/>
      <c r="I51" s="831"/>
      <c r="J51" s="188"/>
      <c r="K51"/>
      <c r="L51" s="832">
        <v>822644</v>
      </c>
      <c r="M51" s="188"/>
      <c r="N51" s="833" t="e">
        <f>"(DTE "&amp;#REF!&amp;#REF!&amp;")"</f>
        <v>#REF!</v>
      </c>
      <c r="O51"/>
      <c r="P51"/>
      <c r="Q51" s="828"/>
      <c r="R51" s="828"/>
      <c r="S51" s="33"/>
      <c r="T51"/>
      <c r="U51"/>
      <c r="V51"/>
      <c r="W51"/>
      <c r="X51" s="33"/>
      <c r="Y51" s="33"/>
      <c r="Z51" s="33"/>
      <c r="AA51" s="33"/>
      <c r="AB51" s="834"/>
      <c r="AC51" s="646">
        <f>L51+G51</f>
        <v>1161344.89616</v>
      </c>
      <c r="AD51" s="820"/>
    </row>
    <row r="52" spans="2:30" s="32" customFormat="1" ht="16.5" customHeight="1">
      <c r="B52" s="635"/>
      <c r="C52" s="638"/>
      <c r="D52" s="835" t="s">
        <v>122</v>
      </c>
      <c r="E52" s="830">
        <v>85</v>
      </c>
      <c r="F52" s="830">
        <v>500</v>
      </c>
      <c r="G52" s="831">
        <f>E52*$F$19*$L$20/100</f>
        <v>56896.395599999996</v>
      </c>
      <c r="H52" s="835"/>
      <c r="I52" s="836"/>
      <c r="J52" s="188"/>
      <c r="K52"/>
      <c r="L52" s="831">
        <v>81298</v>
      </c>
      <c r="M52" s="188"/>
      <c r="N52" s="833" t="e">
        <f>"(DTE "&amp;#REF!&amp;#REF!&amp;")"</f>
        <v>#REF!</v>
      </c>
      <c r="O52" s="837"/>
      <c r="P52"/>
      <c r="Q52" s="828"/>
      <c r="R52" s="828"/>
      <c r="S52" s="33"/>
      <c r="T52"/>
      <c r="U52"/>
      <c r="V52"/>
      <c r="W52"/>
      <c r="X52" s="33"/>
      <c r="Y52" s="33"/>
      <c r="Z52" s="33"/>
      <c r="AA52" s="33"/>
      <c r="AB52" s="33"/>
      <c r="AC52" s="646">
        <f>L52+G52</f>
        <v>138194.3956</v>
      </c>
      <c r="AD52" s="820"/>
    </row>
    <row r="53" spans="2:30" s="32" customFormat="1" ht="16.5" customHeight="1">
      <c r="B53" s="635"/>
      <c r="C53" s="638"/>
      <c r="E53" s="643"/>
      <c r="F53" s="720"/>
      <c r="G53" s="721"/>
      <c r="H53"/>
      <c r="I53" s="720"/>
      <c r="J53" s="720"/>
      <c r="K53"/>
      <c r="L53" s="646"/>
      <c r="M53" s="827"/>
      <c r="N53" s="827"/>
      <c r="O53" s="828"/>
      <c r="P53" s="828"/>
      <c r="Q53" s="828"/>
      <c r="R53" s="828"/>
      <c r="S53" s="33"/>
      <c r="T53"/>
      <c r="U53"/>
      <c r="V53"/>
      <c r="W53"/>
      <c r="X53" s="33"/>
      <c r="Y53" s="33"/>
      <c r="Z53" s="33"/>
      <c r="AA53" s="33"/>
      <c r="AB53" s="33"/>
      <c r="AC53" s="646"/>
      <c r="AD53" s="820"/>
    </row>
    <row r="54" spans="1:30" ht="16.5" customHeight="1">
      <c r="A54" s="32"/>
      <c r="B54" s="635"/>
      <c r="C54" s="638"/>
      <c r="D54" s="823" t="s">
        <v>123</v>
      </c>
      <c r="E54" s="720" t="s">
        <v>124</v>
      </c>
      <c r="F54" s="720" t="s">
        <v>45</v>
      </c>
      <c r="G54" s="824" t="s">
        <v>159</v>
      </c>
      <c r="I54" s="826"/>
      <c r="J54" s="720"/>
      <c r="L54" s="825" t="s">
        <v>157</v>
      </c>
      <c r="M54" s="826"/>
      <c r="N54" s="827"/>
      <c r="O54" s="828"/>
      <c r="P54" s="828"/>
      <c r="Q54" s="828"/>
      <c r="R54" s="828"/>
      <c r="S54" s="828"/>
      <c r="AC54" s="646">
        <f>+L55</f>
        <v>51800</v>
      </c>
      <c r="AD54" s="820"/>
    </row>
    <row r="55" spans="1:30" ht="16.5" customHeight="1">
      <c r="A55" s="32"/>
      <c r="B55" s="635"/>
      <c r="C55" s="638"/>
      <c r="D55" s="720" t="s">
        <v>125</v>
      </c>
      <c r="E55" s="830">
        <v>300</v>
      </c>
      <c r="F55" s="830" t="s">
        <v>126</v>
      </c>
      <c r="G55" s="831">
        <f>E55*F20*L20</f>
        <v>54684</v>
      </c>
      <c r="H55" s="188"/>
      <c r="I55" s="188"/>
      <c r="J55" s="832"/>
      <c r="L55" s="832">
        <v>51800</v>
      </c>
      <c r="M55" s="188"/>
      <c r="N55" s="833" t="e">
        <f>"(DTE "&amp;#REF!&amp;#REF!&amp;")"</f>
        <v>#REF!</v>
      </c>
      <c r="O55" s="864"/>
      <c r="P55" s="864"/>
      <c r="Q55" s="864"/>
      <c r="R55" s="864"/>
      <c r="S55" s="864"/>
      <c r="AC55" s="865">
        <f>G55</f>
        <v>54684</v>
      </c>
      <c r="AD55" s="820"/>
    </row>
    <row r="56" spans="1:30" ht="16.5" customHeight="1">
      <c r="A56" s="32"/>
      <c r="B56" s="635"/>
      <c r="C56" s="638"/>
      <c r="D56" s="720" t="s">
        <v>127</v>
      </c>
      <c r="E56" s="830">
        <v>150</v>
      </c>
      <c r="F56" s="830" t="s">
        <v>128</v>
      </c>
      <c r="G56" s="831">
        <f>E56*F20*L20</f>
        <v>27342</v>
      </c>
      <c r="H56" s="188"/>
      <c r="I56" s="188"/>
      <c r="J56" s="832"/>
      <c r="L56" s="832"/>
      <c r="M56" s="188"/>
      <c r="N56" s="833"/>
      <c r="O56" s="864"/>
      <c r="P56" s="864"/>
      <c r="Q56" s="864"/>
      <c r="R56" s="864"/>
      <c r="S56" s="864"/>
      <c r="AC56" s="865">
        <f>G56</f>
        <v>27342</v>
      </c>
      <c r="AD56" s="820"/>
    </row>
    <row r="57" spans="1:30" ht="16.5" customHeight="1">
      <c r="A57" s="32"/>
      <c r="B57" s="635"/>
      <c r="C57" s="638"/>
      <c r="D57" s="720"/>
      <c r="E57" s="830"/>
      <c r="F57" s="830"/>
      <c r="G57" s="831"/>
      <c r="H57" s="188"/>
      <c r="I57" s="188"/>
      <c r="J57" s="832"/>
      <c r="L57" s="832"/>
      <c r="M57" s="188"/>
      <c r="N57" s="833"/>
      <c r="O57" s="864"/>
      <c r="P57" s="864"/>
      <c r="Q57" s="864"/>
      <c r="R57" s="864"/>
      <c r="S57" s="864"/>
      <c r="AC57" s="865"/>
      <c r="AD57" s="820"/>
    </row>
    <row r="58" spans="1:30" ht="16.5" customHeight="1">
      <c r="A58" s="32"/>
      <c r="B58" s="635"/>
      <c r="C58" s="638"/>
      <c r="D58" s="823" t="s">
        <v>51</v>
      </c>
      <c r="E58" s="836" t="s">
        <v>1</v>
      </c>
      <c r="F58" s="836"/>
      <c r="G58" s="720" t="s">
        <v>45</v>
      </c>
      <c r="I58" s="826"/>
      <c r="J58" s="824" t="s">
        <v>160</v>
      </c>
      <c r="L58" s="825"/>
      <c r="M58" s="826"/>
      <c r="N58" s="827"/>
      <c r="O58" s="828"/>
      <c r="P58" s="828"/>
      <c r="Q58" s="828"/>
      <c r="R58" s="828"/>
      <c r="S58" s="828"/>
      <c r="AC58" s="646"/>
      <c r="AD58" s="820"/>
    </row>
    <row r="59" spans="1:30" ht="16.5" customHeight="1">
      <c r="A59" s="32"/>
      <c r="B59" s="635"/>
      <c r="C59" s="638"/>
      <c r="D59" s="720" t="s">
        <v>129</v>
      </c>
      <c r="E59" s="866" t="s">
        <v>130</v>
      </c>
      <c r="F59" s="867"/>
      <c r="G59" s="830">
        <v>132</v>
      </c>
      <c r="H59" s="188"/>
      <c r="I59" s="188"/>
      <c r="J59" s="831">
        <f>3*F21*L20</f>
        <v>87614.928</v>
      </c>
      <c r="L59" s="832"/>
      <c r="M59" s="188"/>
      <c r="N59" s="833"/>
      <c r="O59" s="864"/>
      <c r="P59" s="864"/>
      <c r="Q59" s="864"/>
      <c r="R59" s="864"/>
      <c r="S59" s="864"/>
      <c r="AC59" s="865">
        <f>J59</f>
        <v>87614.928</v>
      </c>
      <c r="AD59" s="820"/>
    </row>
    <row r="60" spans="1:30" ht="16.5" customHeight="1">
      <c r="A60" s="32"/>
      <c r="B60" s="635"/>
      <c r="C60" s="638"/>
      <c r="D60" s="720" t="s">
        <v>131</v>
      </c>
      <c r="E60" s="866" t="s">
        <v>132</v>
      </c>
      <c r="F60" s="867"/>
      <c r="G60" s="830">
        <v>500</v>
      </c>
      <c r="H60" s="188"/>
      <c r="I60" s="188"/>
      <c r="J60" s="831">
        <f>F22*L20</f>
        <v>36504.36</v>
      </c>
      <c r="L60" s="832"/>
      <c r="M60" s="188"/>
      <c r="N60" s="833"/>
      <c r="O60" s="864"/>
      <c r="P60" s="864"/>
      <c r="Q60" s="864"/>
      <c r="R60" s="864"/>
      <c r="S60" s="864"/>
      <c r="AC60" s="868">
        <f>J60</f>
        <v>36504.36</v>
      </c>
      <c r="AD60" s="820"/>
    </row>
    <row r="61" spans="1:30" ht="16.5" customHeight="1">
      <c r="A61" s="32"/>
      <c r="B61" s="635"/>
      <c r="C61" s="638"/>
      <c r="D61" s="624"/>
      <c r="E61" s="643"/>
      <c r="F61" s="720"/>
      <c r="G61" s="720"/>
      <c r="H61" s="721"/>
      <c r="J61" s="720"/>
      <c r="L61" s="838"/>
      <c r="M61" s="827"/>
      <c r="N61" s="827"/>
      <c r="O61" s="828"/>
      <c r="P61" s="828"/>
      <c r="Q61" s="828"/>
      <c r="R61" s="828"/>
      <c r="S61" s="828"/>
      <c r="AC61" s="637">
        <f>SUM(AC51:AC60)</f>
        <v>1557484.57976</v>
      </c>
      <c r="AD61" s="820"/>
    </row>
    <row r="62" spans="2:30" ht="16.5" customHeight="1">
      <c r="B62" s="635"/>
      <c r="C62" s="821" t="s">
        <v>111</v>
      </c>
      <c r="D62" s="839" t="s">
        <v>112</v>
      </c>
      <c r="E62" s="720"/>
      <c r="F62" s="840"/>
      <c r="G62" s="719"/>
      <c r="H62" s="624"/>
      <c r="I62" s="624"/>
      <c r="J62" s="624"/>
      <c r="K62" s="720"/>
      <c r="L62" s="720"/>
      <c r="M62" s="624"/>
      <c r="N62" s="720"/>
      <c r="O62" s="624"/>
      <c r="P62" s="624"/>
      <c r="Q62" s="624"/>
      <c r="R62" s="624"/>
      <c r="S62" s="624"/>
      <c r="T62" s="624"/>
      <c r="U62" s="624"/>
      <c r="AC62" s="624"/>
      <c r="AD62" s="820"/>
    </row>
    <row r="63" spans="2:30" s="32" customFormat="1" ht="16.5" customHeight="1">
      <c r="B63" s="635"/>
      <c r="C63" s="638"/>
      <c r="D63" s="823" t="s">
        <v>113</v>
      </c>
      <c r="E63" s="841">
        <f>10*K46*K26/AC61</f>
        <v>8761.5636744</v>
      </c>
      <c r="G63" s="719"/>
      <c r="L63" s="720"/>
      <c r="N63" s="720"/>
      <c r="O63" s="721"/>
      <c r="V63"/>
      <c r="W63"/>
      <c r="AD63" s="820"/>
    </row>
    <row r="64" spans="2:30" s="32" customFormat="1" ht="16.5" customHeight="1">
      <c r="B64" s="635"/>
      <c r="C64" s="638"/>
      <c r="E64" s="842"/>
      <c r="F64" s="647"/>
      <c r="G64" s="719"/>
      <c r="J64" s="719"/>
      <c r="K64" s="734"/>
      <c r="L64" s="720"/>
      <c r="M64" s="720"/>
      <c r="N64" s="720"/>
      <c r="O64" s="721"/>
      <c r="P64" s="720"/>
      <c r="Q64" s="720"/>
      <c r="R64" s="733"/>
      <c r="S64" s="733"/>
      <c r="T64" s="733"/>
      <c r="U64" s="843"/>
      <c r="V64"/>
      <c r="W64"/>
      <c r="AC64" s="843"/>
      <c r="AD64" s="820"/>
    </row>
    <row r="65" spans="2:30" ht="16.5" customHeight="1">
      <c r="B65" s="635"/>
      <c r="C65" s="638"/>
      <c r="D65" s="844" t="s">
        <v>133</v>
      </c>
      <c r="E65" s="845"/>
      <c r="F65" s="647"/>
      <c r="G65" s="719"/>
      <c r="H65" s="624"/>
      <c r="I65" s="624"/>
      <c r="N65" s="720"/>
      <c r="O65" s="721"/>
      <c r="P65" s="720"/>
      <c r="Q65" s="720"/>
      <c r="R65" s="826"/>
      <c r="S65" s="826"/>
      <c r="T65" s="826"/>
      <c r="U65" s="827"/>
      <c r="AC65" s="827"/>
      <c r="AD65" s="820"/>
    </row>
    <row r="66" spans="2:30" ht="16.5" customHeight="1" thickBot="1">
      <c r="B66" s="635"/>
      <c r="C66" s="638"/>
      <c r="D66" s="844"/>
      <c r="E66" s="845"/>
      <c r="F66" s="647"/>
      <c r="G66" s="719"/>
      <c r="H66" s="624"/>
      <c r="I66" s="624"/>
      <c r="N66" s="720"/>
      <c r="O66" s="721"/>
      <c r="P66" s="720"/>
      <c r="Q66" s="720"/>
      <c r="R66" s="826"/>
      <c r="S66" s="826"/>
      <c r="T66" s="826"/>
      <c r="U66" s="827"/>
      <c r="AC66" s="827"/>
      <c r="AD66" s="820"/>
    </row>
    <row r="67" spans="2:30" s="846" customFormat="1" ht="21" thickBot="1" thickTop="1">
      <c r="B67" s="847"/>
      <c r="C67" s="848"/>
      <c r="D67" s="849"/>
      <c r="E67" s="850"/>
      <c r="F67" s="851"/>
      <c r="G67" s="852"/>
      <c r="I67"/>
      <c r="J67" s="853" t="s">
        <v>114</v>
      </c>
      <c r="K67" s="854">
        <f>IF(E63&gt;3*K26,K26*3,E63)</f>
        <v>8761.5636744</v>
      </c>
      <c r="M67" s="855"/>
      <c r="N67" s="855"/>
      <c r="O67" s="856"/>
      <c r="P67" s="855"/>
      <c r="Q67" s="855"/>
      <c r="R67" s="857"/>
      <c r="S67" s="857"/>
      <c r="T67" s="857"/>
      <c r="U67" s="858"/>
      <c r="V67"/>
      <c r="W67"/>
      <c r="AC67" s="858"/>
      <c r="AD67" s="859"/>
    </row>
    <row r="68" spans="2:30" ht="16.5" customHeight="1" thickBot="1" thickTop="1">
      <c r="B68" s="5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217"/>
      <c r="W68" s="217"/>
      <c r="X68" s="217"/>
      <c r="Y68" s="217"/>
      <c r="Z68" s="217"/>
      <c r="AA68" s="217"/>
      <c r="AB68" s="217"/>
      <c r="AC68" s="59"/>
      <c r="AD68" s="860"/>
    </row>
    <row r="69" spans="2:23" ht="16.5" customHeight="1" thickTop="1">
      <c r="B69" s="1"/>
      <c r="C69" s="73"/>
      <c r="W69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1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85"/>
  <sheetViews>
    <sheetView zoomScale="75" zoomScaleNormal="75" workbookViewId="0" topLeftCell="D40">
      <selection activeCell="M83" sqref="M83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7.57421875" style="0" hidden="1" customWidth="1"/>
    <col min="9" max="11" width="18.7109375" style="0" customWidth="1"/>
    <col min="12" max="12" width="10.7109375" style="0" customWidth="1"/>
    <col min="13" max="13" width="15.140625" style="0" customWidth="1"/>
    <col min="14" max="14" width="9.7109375" style="0" customWidth="1"/>
    <col min="15" max="15" width="7.851562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6"/>
      <c r="AD1" s="86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32" customFormat="1" ht="30.75">
      <c r="A3" s="629"/>
      <c r="B3" s="630" t="str">
        <f>+'TOT-1007'!B2</f>
        <v>ANEXO V al Memorandum D.T.E.E. N° 1955 /2009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AB3" s="631"/>
      <c r="AC3" s="631"/>
      <c r="AD3" s="631"/>
    </row>
    <row r="4" spans="1:2" s="25" customFormat="1" ht="11.25">
      <c r="A4" s="861" t="s">
        <v>2</v>
      </c>
      <c r="B4" s="862"/>
    </row>
    <row r="5" spans="1:2" s="25" customFormat="1" ht="12" thickBot="1">
      <c r="A5" s="861" t="s">
        <v>3</v>
      </c>
      <c r="B5" s="861"/>
    </row>
    <row r="6" spans="1:23" ht="16.5" customHeight="1" thickTop="1">
      <c r="A6" s="5"/>
      <c r="B6" s="69"/>
      <c r="C6" s="70"/>
      <c r="D6" s="70"/>
      <c r="E6" s="21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90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90" t="s">
        <v>98</v>
      </c>
      <c r="E9" s="43"/>
      <c r="F9" s="43"/>
      <c r="G9" s="43"/>
      <c r="H9" s="43"/>
      <c r="N9" s="43"/>
      <c r="O9" s="43"/>
      <c r="P9" s="220"/>
      <c r="Q9" s="220"/>
      <c r="R9" s="43"/>
      <c r="S9" s="43"/>
      <c r="T9" s="43"/>
      <c r="U9" s="43"/>
      <c r="V9" s="43"/>
      <c r="W9" s="221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90" t="s">
        <v>134</v>
      </c>
      <c r="E11" s="43"/>
      <c r="F11" s="43"/>
      <c r="G11" s="43"/>
      <c r="H11" s="43"/>
      <c r="N11" s="43"/>
      <c r="O11" s="43"/>
      <c r="P11" s="220"/>
      <c r="Q11" s="220"/>
      <c r="R11" s="43"/>
      <c r="S11" s="43"/>
      <c r="T11" s="43"/>
      <c r="U11" s="43"/>
      <c r="V11" s="43"/>
      <c r="W11" s="221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'TOT-1007'!B14</f>
        <v>Desde el 01 al 31 de octubre de 2007</v>
      </c>
      <c r="C13" s="38"/>
      <c r="D13" s="40"/>
      <c r="E13" s="40"/>
      <c r="F13" s="40"/>
      <c r="G13" s="40"/>
      <c r="H13" s="40"/>
      <c r="I13" s="41"/>
      <c r="J13" s="188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8"/>
      <c r="V13" s="128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634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5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5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78" t="s">
        <v>99</v>
      </c>
      <c r="D17" s="54" t="s">
        <v>100</v>
      </c>
      <c r="E17" s="66"/>
      <c r="F17" s="66"/>
      <c r="G17" s="4"/>
      <c r="H17" s="4"/>
      <c r="I17" s="4"/>
      <c r="J17" s="634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635"/>
      <c r="C18" s="33"/>
      <c r="D18" s="636"/>
      <c r="E18" s="637"/>
      <c r="F18" s="638"/>
      <c r="G18" s="33"/>
      <c r="H18" s="33"/>
      <c r="I18" s="33"/>
      <c r="J18" s="639"/>
      <c r="K18" s="33"/>
      <c r="L18" s="33"/>
      <c r="M18" s="33"/>
      <c r="N18" s="870" t="s">
        <v>39</v>
      </c>
      <c r="P18" s="33"/>
      <c r="Q18" s="33"/>
      <c r="R18" s="33"/>
      <c r="S18" s="33"/>
      <c r="T18" s="33"/>
      <c r="U18" s="33"/>
      <c r="V18" s="33"/>
      <c r="W18" s="640"/>
    </row>
    <row r="19" spans="2:23" s="32" customFormat="1" ht="16.5" customHeight="1">
      <c r="B19" s="635"/>
      <c r="C19" s="33"/>
      <c r="E19" s="644" t="s">
        <v>42</v>
      </c>
      <c r="F19" s="645">
        <v>0.025</v>
      </c>
      <c r="G19" s="642"/>
      <c r="H19" s="33"/>
      <c r="I19" s="232"/>
      <c r="J19" s="233"/>
      <c r="K19" s="871" t="s">
        <v>135</v>
      </c>
      <c r="L19" s="872"/>
      <c r="M19" s="873">
        <v>49.065</v>
      </c>
      <c r="N19" s="874">
        <v>200</v>
      </c>
      <c r="R19" s="33"/>
      <c r="S19" s="33"/>
      <c r="T19" s="33"/>
      <c r="U19" s="33"/>
      <c r="V19" s="33"/>
      <c r="W19" s="640"/>
    </row>
    <row r="20" spans="2:23" s="32" customFormat="1" ht="16.5" customHeight="1">
      <c r="B20" s="635"/>
      <c r="C20" s="33"/>
      <c r="E20" s="636" t="s">
        <v>40</v>
      </c>
      <c r="F20" s="33">
        <v>744</v>
      </c>
      <c r="G20" s="33" t="s">
        <v>41</v>
      </c>
      <c r="H20" s="33"/>
      <c r="I20" s="33"/>
      <c r="J20" s="33"/>
      <c r="K20" s="875" t="s">
        <v>87</v>
      </c>
      <c r="L20" s="876"/>
      <c r="M20" s="877">
        <v>44.156</v>
      </c>
      <c r="N20" s="878">
        <v>100</v>
      </c>
      <c r="O20" s="33"/>
      <c r="P20" s="863"/>
      <c r="Q20" s="33"/>
      <c r="R20" s="33"/>
      <c r="S20" s="33"/>
      <c r="T20" s="33"/>
      <c r="U20" s="33"/>
      <c r="V20" s="33"/>
      <c r="W20" s="640"/>
    </row>
    <row r="21" spans="2:23" s="32" customFormat="1" ht="16.5" customHeight="1" thickBot="1">
      <c r="B21" s="635"/>
      <c r="C21" s="33"/>
      <c r="E21" s="636" t="s">
        <v>43</v>
      </c>
      <c r="F21" s="33">
        <v>0.245</v>
      </c>
      <c r="G21" s="32" t="s">
        <v>117</v>
      </c>
      <c r="H21" s="33"/>
      <c r="I21" s="33"/>
      <c r="J21" s="33"/>
      <c r="K21" s="879" t="s">
        <v>136</v>
      </c>
      <c r="L21" s="880"/>
      <c r="M21" s="881">
        <v>39.254</v>
      </c>
      <c r="N21" s="882">
        <v>40</v>
      </c>
      <c r="O21" s="33"/>
      <c r="P21" s="863"/>
      <c r="Q21" s="33"/>
      <c r="R21" s="33"/>
      <c r="S21" s="33"/>
      <c r="T21" s="33"/>
      <c r="U21" s="33"/>
      <c r="V21" s="33"/>
      <c r="W21" s="640"/>
    </row>
    <row r="22" spans="2:23" s="32" customFormat="1" ht="16.5" customHeight="1">
      <c r="B22" s="635"/>
      <c r="C22" s="33"/>
      <c r="D22" s="33"/>
      <c r="E22" s="64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40"/>
    </row>
    <row r="23" spans="1:23" ht="16.5" customHeight="1">
      <c r="A23" s="5"/>
      <c r="B23" s="50"/>
      <c r="C23" s="178" t="s">
        <v>103</v>
      </c>
      <c r="D23" s="3" t="s">
        <v>152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635"/>
      <c r="C25" s="638"/>
      <c r="D25"/>
      <c r="E25"/>
      <c r="F25"/>
      <c r="G25"/>
      <c r="H25"/>
      <c r="I25" s="648" t="s">
        <v>47</v>
      </c>
      <c r="J25" s="883">
        <f>+M25*F19</f>
        <v>10967.155250000002</v>
      </c>
      <c r="L25" s="648" t="s">
        <v>300</v>
      </c>
      <c r="M25" s="883">
        <v>438686.21</v>
      </c>
      <c r="S25"/>
      <c r="T25"/>
      <c r="U25"/>
      <c r="W25" s="640"/>
    </row>
    <row r="26" spans="2:23" s="32" customFormat="1" ht="11.25" customHeight="1" thickTop="1">
      <c r="B26" s="635"/>
      <c r="C26" s="638"/>
      <c r="D26" s="33"/>
      <c r="E26" s="64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640"/>
    </row>
    <row r="27" spans="1:23" ht="16.5" customHeight="1">
      <c r="A27" s="5"/>
      <c r="B27" s="50"/>
      <c r="C27" s="178" t="s">
        <v>104</v>
      </c>
      <c r="D27" s="3" t="s">
        <v>153</v>
      </c>
      <c r="E27" s="23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638"/>
      <c r="D28" s="638"/>
      <c r="E28" s="718"/>
      <c r="F28" s="647"/>
      <c r="G28" s="719"/>
      <c r="H28" s="719"/>
      <c r="I28" s="720"/>
      <c r="J28" s="720"/>
      <c r="K28" s="720"/>
      <c r="L28" s="720"/>
      <c r="M28" s="720"/>
      <c r="N28" s="720"/>
      <c r="O28" s="721"/>
      <c r="P28" s="720"/>
      <c r="Q28" s="720"/>
      <c r="R28" s="884"/>
      <c r="S28" s="885"/>
      <c r="T28" s="886"/>
      <c r="U28" s="886"/>
      <c r="V28" s="886"/>
      <c r="W28" s="296"/>
    </row>
    <row r="29" spans="1:26" s="5" customFormat="1" ht="33.75" customHeight="1" thickBot="1" thickTop="1">
      <c r="A29" s="90"/>
      <c r="B29" s="95"/>
      <c r="C29" s="125" t="s">
        <v>13</v>
      </c>
      <c r="D29" s="121" t="s">
        <v>29</v>
      </c>
      <c r="E29" s="120" t="s">
        <v>30</v>
      </c>
      <c r="F29" s="122" t="s">
        <v>31</v>
      </c>
      <c r="G29" s="123" t="s">
        <v>14</v>
      </c>
      <c r="H29" s="137" t="s">
        <v>16</v>
      </c>
      <c r="I29" s="120" t="s">
        <v>17</v>
      </c>
      <c r="J29" s="120" t="s">
        <v>18</v>
      </c>
      <c r="K29" s="121" t="s">
        <v>32</v>
      </c>
      <c r="L29" s="121" t="s">
        <v>33</v>
      </c>
      <c r="M29" s="88" t="s">
        <v>107</v>
      </c>
      <c r="N29" s="120" t="s">
        <v>34</v>
      </c>
      <c r="O29" s="736" t="s">
        <v>35</v>
      </c>
      <c r="P29" s="137" t="s">
        <v>36</v>
      </c>
      <c r="Q29" s="738" t="s">
        <v>20</v>
      </c>
      <c r="R29" s="739" t="s">
        <v>108</v>
      </c>
      <c r="S29" s="740"/>
      <c r="T29" s="741" t="s">
        <v>22</v>
      </c>
      <c r="U29" s="142" t="s">
        <v>74</v>
      </c>
      <c r="V29" s="123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745"/>
      <c r="H30" s="746"/>
      <c r="I30" s="10"/>
      <c r="J30" s="10"/>
      <c r="K30" s="10"/>
      <c r="L30" s="10"/>
      <c r="M30" s="10"/>
      <c r="N30" s="748"/>
      <c r="O30" s="887"/>
      <c r="P30" s="143"/>
      <c r="Q30" s="751"/>
      <c r="R30" s="752"/>
      <c r="S30" s="753"/>
      <c r="T30" s="754"/>
      <c r="U30" s="748"/>
      <c r="V30" s="758"/>
      <c r="W30" s="17"/>
    </row>
    <row r="31" spans="1:23" ht="16.5" customHeight="1">
      <c r="A31" s="5"/>
      <c r="B31" s="50"/>
      <c r="C31" s="991" t="s">
        <v>166</v>
      </c>
      <c r="D31" s="759" t="s">
        <v>253</v>
      </c>
      <c r="E31" s="760" t="s">
        <v>254</v>
      </c>
      <c r="F31" s="761">
        <v>300</v>
      </c>
      <c r="G31" s="762" t="s">
        <v>255</v>
      </c>
      <c r="H31" s="763">
        <f aca="true" t="shared" si="0" ref="H31:H36">F31*$F$21</f>
        <v>73.5</v>
      </c>
      <c r="I31" s="764">
        <v>39379.24930555555</v>
      </c>
      <c r="J31" s="764">
        <v>39379.36319444444</v>
      </c>
      <c r="K31" s="385">
        <f aca="true" t="shared" si="1" ref="K31:K36">IF(D31="","",(J31-I31)*24)</f>
        <v>2.733333333337214</v>
      </c>
      <c r="L31" s="14">
        <f aca="true" t="shared" si="2" ref="L31:L36">IF(D31="","",(J31-I31)*24*60)</f>
        <v>164.00000000023283</v>
      </c>
      <c r="M31" s="13" t="s">
        <v>190</v>
      </c>
      <c r="N31" s="8" t="str">
        <f aca="true" t="shared" si="3" ref="N31:N36">IF(D31="","",IF(OR(M31="P",M31="RP"),"--","NO"))</f>
        <v>NO</v>
      </c>
      <c r="O31" s="888" t="str">
        <f aca="true" t="shared" si="4" ref="O31:O36">IF(D31="","","NO")</f>
        <v>NO</v>
      </c>
      <c r="P31" s="767">
        <f aca="true" t="shared" si="5" ref="P31:P36">200*IF(O31="SI",1,0.1)*IF(M31="P",0.1,1)</f>
        <v>20</v>
      </c>
      <c r="Q31" s="768" t="str">
        <f aca="true" t="shared" si="6" ref="Q31:Q36">IF(M31="P",H31*P31*ROUND(L31/60,2),"--")</f>
        <v>--</v>
      </c>
      <c r="R31" s="769">
        <f aca="true" t="shared" si="7" ref="R31:R36">IF(AND(M31="F",N31="NO"),H31*P31,"--")</f>
        <v>1470</v>
      </c>
      <c r="S31" s="770">
        <f aca="true" t="shared" si="8" ref="S31:S36">IF(M31="F",H31*P31*ROUND(L31/60,2),"--")</f>
        <v>4013.1</v>
      </c>
      <c r="T31" s="526" t="str">
        <f aca="true" t="shared" si="9" ref="T31:T36">IF(M31="RF",H31*P31*ROUND(L31/60,2),"--")</f>
        <v>--</v>
      </c>
      <c r="U31" s="395" t="str">
        <f aca="true" t="shared" si="10" ref="U31:U36">IF(D31="","","SI")</f>
        <v>SI</v>
      </c>
      <c r="V31" s="396">
        <f aca="true" t="shared" si="11" ref="V31:V36">IF(D31="","",SUM(Q31:T31)*IF(U31="SI",1,2))</f>
        <v>5483.1</v>
      </c>
      <c r="W31" s="296"/>
    </row>
    <row r="32" spans="1:23" ht="16.5" customHeight="1">
      <c r="A32" s="5"/>
      <c r="B32" s="50"/>
      <c r="C32" s="991" t="s">
        <v>167</v>
      </c>
      <c r="D32" s="759" t="s">
        <v>253</v>
      </c>
      <c r="E32" s="760" t="s">
        <v>254</v>
      </c>
      <c r="F32" s="761">
        <v>300</v>
      </c>
      <c r="G32" s="762" t="s">
        <v>255</v>
      </c>
      <c r="H32" s="763">
        <f t="shared" si="0"/>
        <v>73.5</v>
      </c>
      <c r="I32" s="764">
        <v>39380.33194444444</v>
      </c>
      <c r="J32" s="764">
        <v>39380.72222222222</v>
      </c>
      <c r="K32" s="385">
        <f t="shared" si="1"/>
        <v>9.366666666639503</v>
      </c>
      <c r="L32" s="14">
        <f t="shared" si="2"/>
        <v>561.9999999983702</v>
      </c>
      <c r="M32" s="13" t="s">
        <v>187</v>
      </c>
      <c r="N32" s="8" t="str">
        <f t="shared" si="3"/>
        <v>--</v>
      </c>
      <c r="O32" s="888" t="str">
        <f t="shared" si="4"/>
        <v>NO</v>
      </c>
      <c r="P32" s="767">
        <f t="shared" si="5"/>
        <v>2</v>
      </c>
      <c r="Q32" s="768">
        <f t="shared" si="6"/>
        <v>1377.3899999999999</v>
      </c>
      <c r="R32" s="769" t="str">
        <f t="shared" si="7"/>
        <v>--</v>
      </c>
      <c r="S32" s="770" t="str">
        <f t="shared" si="8"/>
        <v>--</v>
      </c>
      <c r="T32" s="526" t="str">
        <f t="shared" si="9"/>
        <v>--</v>
      </c>
      <c r="U32" s="395" t="str">
        <f t="shared" si="10"/>
        <v>SI</v>
      </c>
      <c r="V32" s="396">
        <f t="shared" si="11"/>
        <v>1377.3899999999999</v>
      </c>
      <c r="W32" s="296"/>
    </row>
    <row r="33" spans="1:23" ht="16.5" customHeight="1">
      <c r="A33" s="5"/>
      <c r="B33" s="50"/>
      <c r="C33" s="991" t="s">
        <v>168</v>
      </c>
      <c r="D33" s="759" t="s">
        <v>253</v>
      </c>
      <c r="E33" s="760" t="s">
        <v>254</v>
      </c>
      <c r="F33" s="761">
        <v>300</v>
      </c>
      <c r="G33" s="762" t="s">
        <v>255</v>
      </c>
      <c r="H33" s="763">
        <f t="shared" si="0"/>
        <v>73.5</v>
      </c>
      <c r="I33" s="764">
        <v>39381.37708333333</v>
      </c>
      <c r="J33" s="764">
        <v>39381.71805555555</v>
      </c>
      <c r="K33" s="385">
        <f t="shared" si="1"/>
        <v>8.183333333290648</v>
      </c>
      <c r="L33" s="14">
        <f t="shared" si="2"/>
        <v>490.99999999743886</v>
      </c>
      <c r="M33" s="13" t="s">
        <v>187</v>
      </c>
      <c r="N33" s="8" t="str">
        <f t="shared" si="3"/>
        <v>--</v>
      </c>
      <c r="O33" s="888" t="str">
        <f t="shared" si="4"/>
        <v>NO</v>
      </c>
      <c r="P33" s="767">
        <f t="shared" si="5"/>
        <v>2</v>
      </c>
      <c r="Q33" s="768">
        <f t="shared" si="6"/>
        <v>1202.46</v>
      </c>
      <c r="R33" s="769" t="str">
        <f t="shared" si="7"/>
        <v>--</v>
      </c>
      <c r="S33" s="770" t="str">
        <f t="shared" si="8"/>
        <v>--</v>
      </c>
      <c r="T33" s="526" t="str">
        <f t="shared" si="9"/>
        <v>--</v>
      </c>
      <c r="U33" s="395" t="str">
        <f t="shared" si="10"/>
        <v>SI</v>
      </c>
      <c r="V33" s="396">
        <f t="shared" si="11"/>
        <v>1202.46</v>
      </c>
      <c r="W33" s="296"/>
    </row>
    <row r="34" spans="1:23" ht="16.5" customHeight="1">
      <c r="A34" s="5"/>
      <c r="B34" s="50"/>
      <c r="C34" s="991" t="s">
        <v>169</v>
      </c>
      <c r="D34" s="759" t="s">
        <v>253</v>
      </c>
      <c r="E34" s="760" t="s">
        <v>254</v>
      </c>
      <c r="F34" s="761">
        <v>300</v>
      </c>
      <c r="G34" s="762" t="s">
        <v>255</v>
      </c>
      <c r="H34" s="763">
        <f t="shared" si="0"/>
        <v>73.5</v>
      </c>
      <c r="I34" s="764">
        <v>39382.375</v>
      </c>
      <c r="J34" s="764">
        <v>39382.76666666667</v>
      </c>
      <c r="K34" s="385">
        <f t="shared" si="1"/>
        <v>9.40000000008149</v>
      </c>
      <c r="L34" s="14">
        <f t="shared" si="2"/>
        <v>564.0000000048894</v>
      </c>
      <c r="M34" s="13" t="s">
        <v>187</v>
      </c>
      <c r="N34" s="8" t="str">
        <f t="shared" si="3"/>
        <v>--</v>
      </c>
      <c r="O34" s="888" t="str">
        <f t="shared" si="4"/>
        <v>NO</v>
      </c>
      <c r="P34" s="767">
        <f t="shared" si="5"/>
        <v>2</v>
      </c>
      <c r="Q34" s="768">
        <f t="shared" si="6"/>
        <v>1381.8</v>
      </c>
      <c r="R34" s="769" t="str">
        <f t="shared" si="7"/>
        <v>--</v>
      </c>
      <c r="S34" s="770" t="str">
        <f t="shared" si="8"/>
        <v>--</v>
      </c>
      <c r="T34" s="526" t="str">
        <f t="shared" si="9"/>
        <v>--</v>
      </c>
      <c r="U34" s="395" t="str">
        <f t="shared" si="10"/>
        <v>SI</v>
      </c>
      <c r="V34" s="396">
        <f t="shared" si="11"/>
        <v>1381.8</v>
      </c>
      <c r="W34" s="296"/>
    </row>
    <row r="35" spans="1:23" ht="16.5" customHeight="1">
      <c r="A35" s="5"/>
      <c r="B35" s="50"/>
      <c r="C35" s="991"/>
      <c r="D35" s="759"/>
      <c r="E35" s="760"/>
      <c r="F35" s="761"/>
      <c r="G35" s="762"/>
      <c r="H35" s="763">
        <f t="shared" si="0"/>
        <v>0</v>
      </c>
      <c r="I35" s="764"/>
      <c r="J35" s="764"/>
      <c r="K35" s="385">
        <f t="shared" si="1"/>
      </c>
      <c r="L35" s="14">
        <f t="shared" si="2"/>
      </c>
      <c r="M35" s="13"/>
      <c r="N35" s="8">
        <f t="shared" si="3"/>
      </c>
      <c r="O35" s="888">
        <f t="shared" si="4"/>
      </c>
      <c r="P35" s="767">
        <f t="shared" si="5"/>
        <v>20</v>
      </c>
      <c r="Q35" s="768" t="str">
        <f t="shared" si="6"/>
        <v>--</v>
      </c>
      <c r="R35" s="769" t="str">
        <f t="shared" si="7"/>
        <v>--</v>
      </c>
      <c r="S35" s="770" t="str">
        <f t="shared" si="8"/>
        <v>--</v>
      </c>
      <c r="T35" s="526" t="str">
        <f t="shared" si="9"/>
        <v>--</v>
      </c>
      <c r="U35" s="395">
        <f t="shared" si="10"/>
      </c>
      <c r="V35" s="396">
        <f t="shared" si="11"/>
      </c>
      <c r="W35" s="296"/>
    </row>
    <row r="36" spans="1:23" ht="16.5" customHeight="1">
      <c r="A36" s="5"/>
      <c r="B36" s="50"/>
      <c r="C36" s="991"/>
      <c r="D36" s="759"/>
      <c r="E36" s="760"/>
      <c r="F36" s="761"/>
      <c r="G36" s="762"/>
      <c r="H36" s="763">
        <f t="shared" si="0"/>
        <v>0</v>
      </c>
      <c r="I36" s="764"/>
      <c r="J36" s="764"/>
      <c r="K36" s="385">
        <f t="shared" si="1"/>
      </c>
      <c r="L36" s="14">
        <f t="shared" si="2"/>
      </c>
      <c r="M36" s="13"/>
      <c r="N36" s="8">
        <f t="shared" si="3"/>
      </c>
      <c r="O36" s="888">
        <f t="shared" si="4"/>
      </c>
      <c r="P36" s="767">
        <f t="shared" si="5"/>
        <v>20</v>
      </c>
      <c r="Q36" s="768" t="str">
        <f t="shared" si="6"/>
        <v>--</v>
      </c>
      <c r="R36" s="769" t="str">
        <f t="shared" si="7"/>
        <v>--</v>
      </c>
      <c r="S36" s="770" t="str">
        <f t="shared" si="8"/>
        <v>--</v>
      </c>
      <c r="T36" s="526" t="str">
        <f t="shared" si="9"/>
        <v>--</v>
      </c>
      <c r="U36" s="395">
        <f t="shared" si="10"/>
      </c>
      <c r="V36" s="396">
        <f t="shared" si="11"/>
      </c>
      <c r="W36" s="296"/>
    </row>
    <row r="37" spans="1:23" ht="16.5" customHeight="1" thickBot="1">
      <c r="A37" s="32"/>
      <c r="B37" s="50"/>
      <c r="C37" s="774"/>
      <c r="D37" s="775"/>
      <c r="E37" s="776"/>
      <c r="F37" s="777"/>
      <c r="G37" s="778"/>
      <c r="H37" s="779"/>
      <c r="I37" s="781"/>
      <c r="J37" s="782"/>
      <c r="K37" s="783"/>
      <c r="L37" s="784"/>
      <c r="M37" s="785"/>
      <c r="N37" s="9"/>
      <c r="O37" s="889"/>
      <c r="P37" s="788"/>
      <c r="Q37" s="789"/>
      <c r="R37" s="790"/>
      <c r="S37" s="791"/>
      <c r="T37" s="792"/>
      <c r="U37" s="796"/>
      <c r="V37" s="797"/>
      <c r="W37" s="296"/>
    </row>
    <row r="38" spans="1:23" ht="16.5" customHeight="1" thickBot="1" thickTop="1">
      <c r="A38" s="32"/>
      <c r="B38" s="50"/>
      <c r="C38" s="98"/>
      <c r="D38" s="236"/>
      <c r="E38" s="236"/>
      <c r="F38" s="564"/>
      <c r="G38" s="798"/>
      <c r="H38" s="799"/>
      <c r="I38" s="800"/>
      <c r="J38" s="801"/>
      <c r="K38" s="802"/>
      <c r="L38" s="803"/>
      <c r="M38" s="799"/>
      <c r="N38" s="804"/>
      <c r="O38" s="211"/>
      <c r="P38" s="805"/>
      <c r="Q38" s="806"/>
      <c r="R38" s="807"/>
      <c r="S38" s="807"/>
      <c r="T38" s="807"/>
      <c r="U38" s="213"/>
      <c r="V38" s="808">
        <f>SUM(V30:V37)</f>
        <v>9444.75</v>
      </c>
      <c r="W38" s="296"/>
    </row>
    <row r="39" spans="1:23" ht="16.5" customHeight="1" thickBot="1" thickTop="1">
      <c r="A39" s="32"/>
      <c r="B39" s="50"/>
      <c r="C39" s="98"/>
      <c r="D39" s="236"/>
      <c r="E39" s="236"/>
      <c r="F39" s="564"/>
      <c r="G39" s="798"/>
      <c r="H39" s="799"/>
      <c r="I39" s="800"/>
      <c r="L39" s="803"/>
      <c r="M39" s="799"/>
      <c r="N39" s="809"/>
      <c r="O39" s="810"/>
      <c r="P39" s="805"/>
      <c r="Q39" s="806"/>
      <c r="R39" s="807"/>
      <c r="S39" s="807"/>
      <c r="T39" s="807"/>
      <c r="U39" s="213"/>
      <c r="V39" s="213"/>
      <c r="W39" s="296"/>
    </row>
    <row r="40" spans="2:23" s="5" customFormat="1" ht="33.75" customHeight="1" thickBot="1" thickTop="1">
      <c r="B40" s="50"/>
      <c r="C40" s="84" t="s">
        <v>13</v>
      </c>
      <c r="D40" s="86" t="s">
        <v>29</v>
      </c>
      <c r="E40" s="1089" t="s">
        <v>30</v>
      </c>
      <c r="F40" s="1091"/>
      <c r="G40" s="142" t="s">
        <v>14</v>
      </c>
      <c r="H40" s="137" t="s">
        <v>16</v>
      </c>
      <c r="I40" s="85" t="s">
        <v>17</v>
      </c>
      <c r="J40" s="509" t="s">
        <v>18</v>
      </c>
      <c r="K40" s="511" t="s">
        <v>38</v>
      </c>
      <c r="L40" s="511" t="s">
        <v>33</v>
      </c>
      <c r="M40" s="88" t="s">
        <v>19</v>
      </c>
      <c r="N40" s="1089" t="s">
        <v>34</v>
      </c>
      <c r="O40" s="1090"/>
      <c r="P40" s="145" t="s">
        <v>39</v>
      </c>
      <c r="Q40" s="512" t="s">
        <v>62</v>
      </c>
      <c r="R40" s="197" t="s">
        <v>37</v>
      </c>
      <c r="S40" s="513"/>
      <c r="T40" s="144" t="s">
        <v>22</v>
      </c>
      <c r="U40" s="142" t="s">
        <v>74</v>
      </c>
      <c r="V40" s="123" t="s">
        <v>24</v>
      </c>
      <c r="W40" s="6"/>
    </row>
    <row r="41" spans="2:23" s="5" customFormat="1" ht="16.5" customHeight="1" thickTop="1">
      <c r="B41" s="50"/>
      <c r="C41" s="7"/>
      <c r="D41" s="521"/>
      <c r="E41" s="1092"/>
      <c r="F41" s="1093"/>
      <c r="G41" s="521"/>
      <c r="H41" s="522"/>
      <c r="I41" s="521"/>
      <c r="J41" s="521"/>
      <c r="K41" s="521"/>
      <c r="L41" s="521"/>
      <c r="M41" s="521"/>
      <c r="N41" s="521"/>
      <c r="O41" s="890"/>
      <c r="P41" s="523"/>
      <c r="Q41" s="524"/>
      <c r="R41" s="209"/>
      <c r="S41" s="525"/>
      <c r="T41" s="526"/>
      <c r="U41" s="521"/>
      <c r="V41" s="527"/>
      <c r="W41" s="6"/>
    </row>
    <row r="42" spans="2:23" s="5" customFormat="1" ht="16.5" customHeight="1">
      <c r="B42" s="50"/>
      <c r="C42" s="991" t="s">
        <v>166</v>
      </c>
      <c r="D42" s="521" t="s">
        <v>247</v>
      </c>
      <c r="E42" s="586" t="s">
        <v>256</v>
      </c>
      <c r="F42" s="992"/>
      <c r="G42" s="891">
        <v>132</v>
      </c>
      <c r="H42" s="138">
        <f>IF(G42=500,$M$19,IF(G42=132,$M$21))</f>
        <v>39.254</v>
      </c>
      <c r="I42" s="892">
        <v>39356.44583333333</v>
      </c>
      <c r="J42" s="893">
        <v>39356.5875</v>
      </c>
      <c r="K42" s="531">
        <f>IF(D42="","",(J42-I42)*24)</f>
        <v>3.4000000000814907</v>
      </c>
      <c r="L42" s="532">
        <f>IF(D42="","",ROUND((J42-I42)*24*60,0))</f>
        <v>204</v>
      </c>
      <c r="M42" s="685" t="s">
        <v>187</v>
      </c>
      <c r="N42" s="622" t="str">
        <f>IF(D42="","",IF(OR(M42="P",M42="RP"),"--","NO"))</f>
        <v>--</v>
      </c>
      <c r="O42" s="593"/>
      <c r="P42" s="894">
        <f>IF(G42=500,$N$19,IF(G42=220,$N$20,$N$21))</f>
        <v>40</v>
      </c>
      <c r="Q42" s="895">
        <f>IF(M42="P",H42*P42*ROUND(L42/60,2)*0.1,"--")</f>
        <v>533.8543999999999</v>
      </c>
      <c r="R42" s="209" t="str">
        <f>IF(AND(M42="F",N42="NO"),H42*P42,"--")</f>
        <v>--</v>
      </c>
      <c r="S42" s="525" t="str">
        <f>IF(M42="F",H42*P42*ROUND(L42/60,2),"--")</f>
        <v>--</v>
      </c>
      <c r="T42" s="526" t="str">
        <f>IF(M42="RF",H42*P42*ROUND(L42/60,2),"--")</f>
        <v>--</v>
      </c>
      <c r="U42" s="896" t="str">
        <f>IF(D42="","","SI")</f>
        <v>SI</v>
      </c>
      <c r="V42" s="537">
        <f>IF(D42="","",SUM(Q42:T42)*IF(U42="SI",1,2))</f>
        <v>533.8543999999999</v>
      </c>
      <c r="W42" s="6"/>
    </row>
    <row r="43" spans="2:23" s="5" customFormat="1" ht="16.5" customHeight="1">
      <c r="B43" s="50"/>
      <c r="C43" s="991" t="s">
        <v>167</v>
      </c>
      <c r="D43" s="521" t="s">
        <v>247</v>
      </c>
      <c r="E43" s="586" t="s">
        <v>256</v>
      </c>
      <c r="F43" s="992"/>
      <c r="G43" s="891">
        <v>132</v>
      </c>
      <c r="H43" s="138">
        <f aca="true" t="shared" si="12" ref="H43:H60">IF(G43=500,$M$19,IF(G43=220,$M$20,$M$21))</f>
        <v>39.254</v>
      </c>
      <c r="I43" s="892">
        <v>39358.34166666667</v>
      </c>
      <c r="J43" s="893">
        <v>39358.65277777778</v>
      </c>
      <c r="K43" s="531">
        <f aca="true" t="shared" si="13" ref="K43:K60">IF(D43="","",(J43-I43)*24)</f>
        <v>7.466666666732635</v>
      </c>
      <c r="L43" s="532">
        <f aca="true" t="shared" si="14" ref="L43:L60">IF(D43="","",ROUND((J43-I43)*24*60,0))</f>
        <v>448</v>
      </c>
      <c r="M43" s="685" t="s">
        <v>187</v>
      </c>
      <c r="N43" s="622" t="str">
        <f aca="true" t="shared" si="15" ref="N43:N60">IF(D43="","",IF(OR(M43="P",M43="RP"),"--","NO"))</f>
        <v>--</v>
      </c>
      <c r="O43" s="593"/>
      <c r="P43" s="894">
        <f aca="true" t="shared" si="16" ref="P43:P60">IF(G43=500,$N$19,IF(G43=220,$N$20,$N$21))</f>
        <v>40</v>
      </c>
      <c r="Q43" s="895">
        <f aca="true" t="shared" si="17" ref="Q43:Q60">IF(M43="P",H43*P43*ROUND(L43/60,2)*0.1,"--")</f>
        <v>1172.90952</v>
      </c>
      <c r="R43" s="209" t="str">
        <f aca="true" t="shared" si="18" ref="R43:R60">IF(AND(M43="F",N43="NO"),H43*P43,"--")</f>
        <v>--</v>
      </c>
      <c r="S43" s="525" t="str">
        <f aca="true" t="shared" si="19" ref="S43:S60">IF(M43="F",H43*P43*ROUND(L43/60,2),"--")</f>
        <v>--</v>
      </c>
      <c r="T43" s="526" t="str">
        <f aca="true" t="shared" si="20" ref="T43:T60">IF(M43="RF",H43*P43*ROUND(L43/60,2),"--")</f>
        <v>--</v>
      </c>
      <c r="U43" s="896" t="str">
        <f aca="true" t="shared" si="21" ref="U43:U60">IF(D43="","","SI")</f>
        <v>SI</v>
      </c>
      <c r="V43" s="537">
        <f aca="true" t="shared" si="22" ref="V43:V60">IF(D43="","",SUM(Q43:T43)*IF(U43="SI",1,2))</f>
        <v>1172.90952</v>
      </c>
      <c r="W43" s="6"/>
    </row>
    <row r="44" spans="2:23" s="5" customFormat="1" ht="16.5" customHeight="1">
      <c r="B44" s="50"/>
      <c r="C44" s="991" t="s">
        <v>168</v>
      </c>
      <c r="D44" s="521" t="s">
        <v>247</v>
      </c>
      <c r="E44" s="586" t="s">
        <v>256</v>
      </c>
      <c r="F44" s="992"/>
      <c r="G44" s="891">
        <v>132</v>
      </c>
      <c r="H44" s="138">
        <f t="shared" si="12"/>
        <v>39.254</v>
      </c>
      <c r="I44" s="892">
        <v>39359.34444444445</v>
      </c>
      <c r="J44" s="893">
        <v>39359.6375</v>
      </c>
      <c r="K44" s="531">
        <f t="shared" si="13"/>
        <v>7.033333333209157</v>
      </c>
      <c r="L44" s="532">
        <f t="shared" si="14"/>
        <v>422</v>
      </c>
      <c r="M44" s="685" t="s">
        <v>187</v>
      </c>
      <c r="N44" s="622" t="str">
        <f t="shared" si="15"/>
        <v>--</v>
      </c>
      <c r="O44" s="593"/>
      <c r="P44" s="894">
        <f t="shared" si="16"/>
        <v>40</v>
      </c>
      <c r="Q44" s="895">
        <f t="shared" si="17"/>
        <v>1103.82248</v>
      </c>
      <c r="R44" s="209" t="str">
        <f t="shared" si="18"/>
        <v>--</v>
      </c>
      <c r="S44" s="525" t="str">
        <f t="shared" si="19"/>
        <v>--</v>
      </c>
      <c r="T44" s="526" t="str">
        <f t="shared" si="20"/>
        <v>--</v>
      </c>
      <c r="U44" s="896" t="str">
        <f t="shared" si="21"/>
        <v>SI</v>
      </c>
      <c r="V44" s="537">
        <f t="shared" si="22"/>
        <v>1103.82248</v>
      </c>
      <c r="W44" s="6"/>
    </row>
    <row r="45" spans="2:23" s="5" customFormat="1" ht="16.5" customHeight="1">
      <c r="B45" s="50"/>
      <c r="C45" s="991" t="s">
        <v>169</v>
      </c>
      <c r="D45" s="521" t="s">
        <v>247</v>
      </c>
      <c r="E45" s="586" t="s">
        <v>256</v>
      </c>
      <c r="F45" s="992"/>
      <c r="G45" s="891">
        <v>132</v>
      </c>
      <c r="H45" s="138">
        <f t="shared" si="12"/>
        <v>39.254</v>
      </c>
      <c r="I45" s="892">
        <v>39360.34166666667</v>
      </c>
      <c r="J45" s="893">
        <v>39360.65902777778</v>
      </c>
      <c r="K45" s="531">
        <f t="shared" si="13"/>
        <v>7.616666666697711</v>
      </c>
      <c r="L45" s="532">
        <f t="shared" si="14"/>
        <v>457</v>
      </c>
      <c r="M45" s="685" t="s">
        <v>187</v>
      </c>
      <c r="N45" s="622" t="str">
        <f t="shared" si="15"/>
        <v>--</v>
      </c>
      <c r="O45" s="593"/>
      <c r="P45" s="894">
        <f t="shared" si="16"/>
        <v>40</v>
      </c>
      <c r="Q45" s="895">
        <f t="shared" si="17"/>
        <v>1196.46192</v>
      </c>
      <c r="R45" s="209" t="str">
        <f t="shared" si="18"/>
        <v>--</v>
      </c>
      <c r="S45" s="525" t="str">
        <f t="shared" si="19"/>
        <v>--</v>
      </c>
      <c r="T45" s="526" t="str">
        <f t="shared" si="20"/>
        <v>--</v>
      </c>
      <c r="U45" s="896" t="str">
        <f t="shared" si="21"/>
        <v>SI</v>
      </c>
      <c r="V45" s="537">
        <f t="shared" si="22"/>
        <v>1196.46192</v>
      </c>
      <c r="W45" s="6"/>
    </row>
    <row r="46" spans="2:23" s="5" customFormat="1" ht="16.5" customHeight="1">
      <c r="B46" s="50"/>
      <c r="C46" s="991" t="s">
        <v>170</v>
      </c>
      <c r="D46" s="521" t="s">
        <v>257</v>
      </c>
      <c r="E46" s="586" t="s">
        <v>258</v>
      </c>
      <c r="F46" s="992"/>
      <c r="G46" s="891">
        <v>132</v>
      </c>
      <c r="H46" s="138">
        <f t="shared" si="12"/>
        <v>39.254</v>
      </c>
      <c r="I46" s="892">
        <v>39361.339583333334</v>
      </c>
      <c r="J46" s="893">
        <v>39361.729166666664</v>
      </c>
      <c r="K46" s="531">
        <f t="shared" si="13"/>
        <v>9.34999999991851</v>
      </c>
      <c r="L46" s="532">
        <f t="shared" si="14"/>
        <v>561</v>
      </c>
      <c r="M46" s="685" t="s">
        <v>187</v>
      </c>
      <c r="N46" s="622" t="str">
        <f t="shared" si="15"/>
        <v>--</v>
      </c>
      <c r="O46" s="593"/>
      <c r="P46" s="894">
        <f t="shared" si="16"/>
        <v>40</v>
      </c>
      <c r="Q46" s="895">
        <f t="shared" si="17"/>
        <v>1468.0995999999998</v>
      </c>
      <c r="R46" s="209" t="str">
        <f t="shared" si="18"/>
        <v>--</v>
      </c>
      <c r="S46" s="525" t="str">
        <f t="shared" si="19"/>
        <v>--</v>
      </c>
      <c r="T46" s="526" t="str">
        <f t="shared" si="20"/>
        <v>--</v>
      </c>
      <c r="U46" s="896" t="str">
        <f t="shared" si="21"/>
        <v>SI</v>
      </c>
      <c r="V46" s="537">
        <f t="shared" si="22"/>
        <v>1468.0995999999998</v>
      </c>
      <c r="W46" s="6"/>
    </row>
    <row r="47" spans="2:23" s="5" customFormat="1" ht="16.5" customHeight="1">
      <c r="B47" s="50"/>
      <c r="C47" s="991" t="s">
        <v>171</v>
      </c>
      <c r="D47" s="521" t="s">
        <v>257</v>
      </c>
      <c r="E47" s="586" t="s">
        <v>258</v>
      </c>
      <c r="F47" s="992"/>
      <c r="G47" s="891">
        <v>132</v>
      </c>
      <c r="H47" s="138">
        <f t="shared" si="12"/>
        <v>39.254</v>
      </c>
      <c r="I47" s="892">
        <v>39362.31458333333</v>
      </c>
      <c r="J47" s="893">
        <v>39362.790972222225</v>
      </c>
      <c r="K47" s="531">
        <f t="shared" si="13"/>
        <v>11.433333333407063</v>
      </c>
      <c r="L47" s="532">
        <f t="shared" si="14"/>
        <v>686</v>
      </c>
      <c r="M47" s="685" t="s">
        <v>187</v>
      </c>
      <c r="N47" s="622" t="str">
        <f t="shared" si="15"/>
        <v>--</v>
      </c>
      <c r="O47" s="593"/>
      <c r="P47" s="894">
        <f t="shared" si="16"/>
        <v>40</v>
      </c>
      <c r="Q47" s="895">
        <f t="shared" si="17"/>
        <v>1794.6928799999998</v>
      </c>
      <c r="R47" s="209" t="str">
        <f t="shared" si="18"/>
        <v>--</v>
      </c>
      <c r="S47" s="525" t="str">
        <f t="shared" si="19"/>
        <v>--</v>
      </c>
      <c r="T47" s="526" t="str">
        <f t="shared" si="20"/>
        <v>--</v>
      </c>
      <c r="U47" s="896" t="str">
        <f t="shared" si="21"/>
        <v>SI</v>
      </c>
      <c r="V47" s="537">
        <f t="shared" si="22"/>
        <v>1794.6928799999998</v>
      </c>
      <c r="W47" s="6"/>
    </row>
    <row r="48" spans="2:23" s="5" customFormat="1" ht="16.5" customHeight="1">
      <c r="B48" s="50"/>
      <c r="C48" s="991" t="s">
        <v>172</v>
      </c>
      <c r="D48" s="521" t="s">
        <v>257</v>
      </c>
      <c r="E48" s="586" t="s">
        <v>259</v>
      </c>
      <c r="F48" s="992"/>
      <c r="G48" s="891">
        <v>132</v>
      </c>
      <c r="H48" s="138">
        <f t="shared" si="12"/>
        <v>39.254</v>
      </c>
      <c r="I48" s="892">
        <v>39363.43819444445</v>
      </c>
      <c r="J48" s="893">
        <v>39363.645833333336</v>
      </c>
      <c r="K48" s="531">
        <f t="shared" si="13"/>
        <v>4.983333333337214</v>
      </c>
      <c r="L48" s="532">
        <f t="shared" si="14"/>
        <v>299</v>
      </c>
      <c r="M48" s="685" t="s">
        <v>187</v>
      </c>
      <c r="N48" s="622" t="str">
        <f t="shared" si="15"/>
        <v>--</v>
      </c>
      <c r="O48" s="593"/>
      <c r="P48" s="894">
        <f t="shared" si="16"/>
        <v>40</v>
      </c>
      <c r="Q48" s="895">
        <f t="shared" si="17"/>
        <v>781.93968</v>
      </c>
      <c r="R48" s="209" t="str">
        <f t="shared" si="18"/>
        <v>--</v>
      </c>
      <c r="S48" s="525" t="str">
        <f t="shared" si="19"/>
        <v>--</v>
      </c>
      <c r="T48" s="526" t="str">
        <f t="shared" si="20"/>
        <v>--</v>
      </c>
      <c r="U48" s="896" t="str">
        <f t="shared" si="21"/>
        <v>SI</v>
      </c>
      <c r="V48" s="537">
        <f t="shared" si="22"/>
        <v>781.93968</v>
      </c>
      <c r="W48" s="6"/>
    </row>
    <row r="49" spans="2:23" s="5" customFormat="1" ht="16.5" customHeight="1">
      <c r="B49" s="50"/>
      <c r="C49" s="991" t="s">
        <v>173</v>
      </c>
      <c r="D49" s="521" t="s">
        <v>257</v>
      </c>
      <c r="E49" s="586" t="s">
        <v>259</v>
      </c>
      <c r="F49" s="992"/>
      <c r="G49" s="891">
        <v>132</v>
      </c>
      <c r="H49" s="138">
        <f t="shared" si="12"/>
        <v>39.254</v>
      </c>
      <c r="I49" s="892">
        <v>39365.39513888889</v>
      </c>
      <c r="J49" s="893">
        <v>39365.739583333336</v>
      </c>
      <c r="K49" s="531">
        <f t="shared" si="13"/>
        <v>8.266666666720994</v>
      </c>
      <c r="L49" s="532">
        <f t="shared" si="14"/>
        <v>496</v>
      </c>
      <c r="M49" s="685" t="s">
        <v>187</v>
      </c>
      <c r="N49" s="622" t="str">
        <f t="shared" si="15"/>
        <v>--</v>
      </c>
      <c r="O49" s="593"/>
      <c r="P49" s="894">
        <f t="shared" si="16"/>
        <v>40</v>
      </c>
      <c r="Q49" s="895">
        <f t="shared" si="17"/>
        <v>1298.52232</v>
      </c>
      <c r="R49" s="209" t="str">
        <f t="shared" si="18"/>
        <v>--</v>
      </c>
      <c r="S49" s="525" t="str">
        <f t="shared" si="19"/>
        <v>--</v>
      </c>
      <c r="T49" s="526" t="str">
        <f t="shared" si="20"/>
        <v>--</v>
      </c>
      <c r="U49" s="896" t="str">
        <f t="shared" si="21"/>
        <v>SI</v>
      </c>
      <c r="V49" s="537">
        <f t="shared" si="22"/>
        <v>1298.52232</v>
      </c>
      <c r="W49" s="6"/>
    </row>
    <row r="50" spans="2:23" s="5" customFormat="1" ht="16.5" customHeight="1">
      <c r="B50" s="50"/>
      <c r="C50" s="991" t="s">
        <v>174</v>
      </c>
      <c r="D50" s="521" t="s">
        <v>257</v>
      </c>
      <c r="E50" s="586" t="s">
        <v>259</v>
      </c>
      <c r="F50" s="992"/>
      <c r="G50" s="891">
        <v>132</v>
      </c>
      <c r="H50" s="138">
        <f t="shared" si="12"/>
        <v>39.254</v>
      </c>
      <c r="I50" s="892">
        <v>39366.361805555556</v>
      </c>
      <c r="J50" s="893">
        <v>39366.62708333333</v>
      </c>
      <c r="K50" s="531">
        <f t="shared" si="13"/>
        <v>6.366666666639503</v>
      </c>
      <c r="L50" s="532">
        <f t="shared" si="14"/>
        <v>382</v>
      </c>
      <c r="M50" s="685" t="s">
        <v>187</v>
      </c>
      <c r="N50" s="622" t="str">
        <f t="shared" si="15"/>
        <v>--</v>
      </c>
      <c r="O50" s="593"/>
      <c r="P50" s="894">
        <f t="shared" si="16"/>
        <v>40</v>
      </c>
      <c r="Q50" s="895">
        <f t="shared" si="17"/>
        <v>1000.1919199999999</v>
      </c>
      <c r="R50" s="209" t="str">
        <f t="shared" si="18"/>
        <v>--</v>
      </c>
      <c r="S50" s="525" t="str">
        <f t="shared" si="19"/>
        <v>--</v>
      </c>
      <c r="T50" s="526" t="str">
        <f t="shared" si="20"/>
        <v>--</v>
      </c>
      <c r="U50" s="896" t="str">
        <f t="shared" si="21"/>
        <v>SI</v>
      </c>
      <c r="V50" s="537">
        <f t="shared" si="22"/>
        <v>1000.1919199999999</v>
      </c>
      <c r="W50" s="6"/>
    </row>
    <row r="51" spans="2:23" s="5" customFormat="1" ht="16.5" customHeight="1">
      <c r="B51" s="50"/>
      <c r="C51" s="991" t="s">
        <v>175</v>
      </c>
      <c r="D51" s="521" t="s">
        <v>247</v>
      </c>
      <c r="E51" s="586" t="s">
        <v>260</v>
      </c>
      <c r="F51" s="992"/>
      <c r="G51" s="891">
        <v>132</v>
      </c>
      <c r="H51" s="138">
        <f t="shared" si="12"/>
        <v>39.254</v>
      </c>
      <c r="I51" s="892">
        <v>39371.38888888889</v>
      </c>
      <c r="J51" s="893">
        <v>39371.71944444445</v>
      </c>
      <c r="K51" s="531">
        <f t="shared" si="13"/>
        <v>7.933333333348855</v>
      </c>
      <c r="L51" s="532">
        <f t="shared" si="14"/>
        <v>476</v>
      </c>
      <c r="M51" s="685" t="s">
        <v>187</v>
      </c>
      <c r="N51" s="622" t="str">
        <f t="shared" si="15"/>
        <v>--</v>
      </c>
      <c r="O51" s="593"/>
      <c r="P51" s="894">
        <f t="shared" si="16"/>
        <v>40</v>
      </c>
      <c r="Q51" s="895">
        <f t="shared" si="17"/>
        <v>1245.13688</v>
      </c>
      <c r="R51" s="209" t="str">
        <f t="shared" si="18"/>
        <v>--</v>
      </c>
      <c r="S51" s="525" t="str">
        <f t="shared" si="19"/>
        <v>--</v>
      </c>
      <c r="T51" s="526" t="str">
        <f t="shared" si="20"/>
        <v>--</v>
      </c>
      <c r="U51" s="896" t="str">
        <f t="shared" si="21"/>
        <v>SI</v>
      </c>
      <c r="V51" s="537">
        <f t="shared" si="22"/>
        <v>1245.13688</v>
      </c>
      <c r="W51" s="6"/>
    </row>
    <row r="52" spans="2:23" s="5" customFormat="1" ht="16.5" customHeight="1">
      <c r="B52" s="50"/>
      <c r="C52" s="991" t="s">
        <v>176</v>
      </c>
      <c r="D52" s="521" t="s">
        <v>247</v>
      </c>
      <c r="E52" s="586" t="s">
        <v>260</v>
      </c>
      <c r="F52" s="992"/>
      <c r="G52" s="891">
        <v>132</v>
      </c>
      <c r="H52" s="138">
        <f t="shared" si="12"/>
        <v>39.254</v>
      </c>
      <c r="I52" s="892">
        <v>39372.36597222222</v>
      </c>
      <c r="J52" s="893">
        <v>39372.729166666664</v>
      </c>
      <c r="K52" s="531">
        <f t="shared" si="13"/>
        <v>8.71666666661622</v>
      </c>
      <c r="L52" s="532">
        <f t="shared" si="14"/>
        <v>523</v>
      </c>
      <c r="M52" s="685" t="s">
        <v>187</v>
      </c>
      <c r="N52" s="622" t="str">
        <f t="shared" si="15"/>
        <v>--</v>
      </c>
      <c r="O52" s="593"/>
      <c r="P52" s="894">
        <f t="shared" si="16"/>
        <v>40</v>
      </c>
      <c r="Q52" s="895">
        <f t="shared" si="17"/>
        <v>1369.1795200000001</v>
      </c>
      <c r="R52" s="209" t="str">
        <f t="shared" si="18"/>
        <v>--</v>
      </c>
      <c r="S52" s="525" t="str">
        <f t="shared" si="19"/>
        <v>--</v>
      </c>
      <c r="T52" s="526" t="str">
        <f t="shared" si="20"/>
        <v>--</v>
      </c>
      <c r="U52" s="896" t="str">
        <f t="shared" si="21"/>
        <v>SI</v>
      </c>
      <c r="V52" s="537">
        <f t="shared" si="22"/>
        <v>1369.1795200000001</v>
      </c>
      <c r="W52" s="6"/>
    </row>
    <row r="53" spans="2:23" s="5" customFormat="1" ht="16.5" customHeight="1">
      <c r="B53" s="50"/>
      <c r="C53" s="991" t="s">
        <v>177</v>
      </c>
      <c r="D53" s="521" t="s">
        <v>247</v>
      </c>
      <c r="E53" s="586" t="s">
        <v>260</v>
      </c>
      <c r="F53" s="992"/>
      <c r="G53" s="891">
        <v>132</v>
      </c>
      <c r="H53" s="138">
        <f t="shared" si="12"/>
        <v>39.254</v>
      </c>
      <c r="I53" s="892">
        <v>39373.385416666664</v>
      </c>
      <c r="J53" s="893">
        <v>39373.714583333334</v>
      </c>
      <c r="K53" s="531">
        <f t="shared" si="13"/>
        <v>7.900000000081491</v>
      </c>
      <c r="L53" s="532">
        <f t="shared" si="14"/>
        <v>474</v>
      </c>
      <c r="M53" s="685" t="s">
        <v>187</v>
      </c>
      <c r="N53" s="622" t="str">
        <f t="shared" si="15"/>
        <v>--</v>
      </c>
      <c r="O53" s="593"/>
      <c r="P53" s="894">
        <f t="shared" si="16"/>
        <v>40</v>
      </c>
      <c r="Q53" s="895">
        <f t="shared" si="17"/>
        <v>1240.4264</v>
      </c>
      <c r="R53" s="209" t="str">
        <f t="shared" si="18"/>
        <v>--</v>
      </c>
      <c r="S53" s="525" t="str">
        <f t="shared" si="19"/>
        <v>--</v>
      </c>
      <c r="T53" s="526" t="str">
        <f t="shared" si="20"/>
        <v>--</v>
      </c>
      <c r="U53" s="896" t="str">
        <f t="shared" si="21"/>
        <v>SI</v>
      </c>
      <c r="V53" s="537">
        <f t="shared" si="22"/>
        <v>1240.4264</v>
      </c>
      <c r="W53" s="6"/>
    </row>
    <row r="54" spans="2:23" s="5" customFormat="1" ht="16.5" customHeight="1">
      <c r="B54" s="50"/>
      <c r="C54" s="991" t="s">
        <v>178</v>
      </c>
      <c r="D54" s="521" t="s">
        <v>247</v>
      </c>
      <c r="E54" s="586" t="s">
        <v>260</v>
      </c>
      <c r="F54" s="992"/>
      <c r="G54" s="891">
        <v>132</v>
      </c>
      <c r="H54" s="138">
        <f t="shared" si="12"/>
        <v>39.254</v>
      </c>
      <c r="I54" s="892">
        <v>39374.37986111111</v>
      </c>
      <c r="J54" s="893">
        <v>39374.64791666667</v>
      </c>
      <c r="K54" s="531">
        <f t="shared" si="13"/>
        <v>6.433333333348855</v>
      </c>
      <c r="L54" s="532">
        <f t="shared" si="14"/>
        <v>386</v>
      </c>
      <c r="M54" s="685" t="s">
        <v>187</v>
      </c>
      <c r="N54" s="622" t="str">
        <f t="shared" si="15"/>
        <v>--</v>
      </c>
      <c r="O54" s="593"/>
      <c r="P54" s="894">
        <f t="shared" si="16"/>
        <v>40</v>
      </c>
      <c r="Q54" s="895">
        <f t="shared" si="17"/>
        <v>1009.6128799999999</v>
      </c>
      <c r="R54" s="209" t="str">
        <f t="shared" si="18"/>
        <v>--</v>
      </c>
      <c r="S54" s="525" t="str">
        <f t="shared" si="19"/>
        <v>--</v>
      </c>
      <c r="T54" s="526" t="str">
        <f t="shared" si="20"/>
        <v>--</v>
      </c>
      <c r="U54" s="896" t="str">
        <f t="shared" si="21"/>
        <v>SI</v>
      </c>
      <c r="V54" s="537">
        <f t="shared" si="22"/>
        <v>1009.6128799999999</v>
      </c>
      <c r="W54" s="6"/>
    </row>
    <row r="55" spans="2:23" s="5" customFormat="1" ht="16.5" customHeight="1">
      <c r="B55" s="50"/>
      <c r="C55" s="991" t="s">
        <v>179</v>
      </c>
      <c r="D55" s="521" t="s">
        <v>247</v>
      </c>
      <c r="E55" s="586" t="s">
        <v>261</v>
      </c>
      <c r="F55" s="992"/>
      <c r="G55" s="891">
        <v>500</v>
      </c>
      <c r="H55" s="138">
        <f t="shared" si="12"/>
        <v>49.065</v>
      </c>
      <c r="I55" s="892">
        <v>39379.24930555555</v>
      </c>
      <c r="J55" s="893">
        <v>39379.42569444444</v>
      </c>
      <c r="K55" s="531">
        <f t="shared" si="13"/>
        <v>4.233333333337214</v>
      </c>
      <c r="L55" s="532">
        <f t="shared" si="14"/>
        <v>254</v>
      </c>
      <c r="M55" s="685" t="s">
        <v>190</v>
      </c>
      <c r="N55" s="622" t="str">
        <f t="shared" si="15"/>
        <v>NO</v>
      </c>
      <c r="O55" s="593"/>
      <c r="P55" s="894">
        <f t="shared" si="16"/>
        <v>200</v>
      </c>
      <c r="Q55" s="895" t="str">
        <f t="shared" si="17"/>
        <v>--</v>
      </c>
      <c r="R55" s="209">
        <f t="shared" si="18"/>
        <v>9813</v>
      </c>
      <c r="S55" s="525">
        <f t="shared" si="19"/>
        <v>41508.990000000005</v>
      </c>
      <c r="T55" s="526" t="str">
        <f t="shared" si="20"/>
        <v>--</v>
      </c>
      <c r="U55" s="896" t="str">
        <f t="shared" si="21"/>
        <v>SI</v>
      </c>
      <c r="V55" s="537">
        <f t="shared" si="22"/>
        <v>51321.990000000005</v>
      </c>
      <c r="W55" s="6"/>
    </row>
    <row r="56" spans="2:23" s="5" customFormat="1" ht="16.5" customHeight="1">
      <c r="B56" s="50"/>
      <c r="C56" s="991" t="s">
        <v>180</v>
      </c>
      <c r="D56" s="521" t="s">
        <v>257</v>
      </c>
      <c r="E56" s="586" t="s">
        <v>258</v>
      </c>
      <c r="F56" s="992"/>
      <c r="G56" s="891">
        <v>132</v>
      </c>
      <c r="H56" s="138">
        <f t="shared" si="12"/>
        <v>39.254</v>
      </c>
      <c r="I56" s="892">
        <v>39382.21805555555</v>
      </c>
      <c r="J56" s="893">
        <v>39382.354166666664</v>
      </c>
      <c r="K56" s="531">
        <f t="shared" si="13"/>
        <v>3.266666666662786</v>
      </c>
      <c r="L56" s="532">
        <f t="shared" si="14"/>
        <v>196</v>
      </c>
      <c r="M56" s="685" t="s">
        <v>187</v>
      </c>
      <c r="N56" s="622" t="str">
        <f t="shared" si="15"/>
        <v>--</v>
      </c>
      <c r="O56" s="593"/>
      <c r="P56" s="894">
        <f t="shared" si="16"/>
        <v>40</v>
      </c>
      <c r="Q56" s="895">
        <f t="shared" si="17"/>
        <v>513.44232</v>
      </c>
      <c r="R56" s="209" t="str">
        <f t="shared" si="18"/>
        <v>--</v>
      </c>
      <c r="S56" s="525" t="str">
        <f t="shared" si="19"/>
        <v>--</v>
      </c>
      <c r="T56" s="526" t="str">
        <f t="shared" si="20"/>
        <v>--</v>
      </c>
      <c r="U56" s="896" t="str">
        <f t="shared" si="21"/>
        <v>SI</v>
      </c>
      <c r="V56" s="537">
        <f t="shared" si="22"/>
        <v>513.44232</v>
      </c>
      <c r="W56" s="6"/>
    </row>
    <row r="57" spans="2:23" s="5" customFormat="1" ht="16.5" customHeight="1">
      <c r="B57" s="50"/>
      <c r="C57" s="991" t="s">
        <v>181</v>
      </c>
      <c r="D57" s="521" t="s">
        <v>257</v>
      </c>
      <c r="E57" s="586" t="s">
        <v>262</v>
      </c>
      <c r="F57" s="992"/>
      <c r="G57" s="891">
        <v>132</v>
      </c>
      <c r="H57" s="138">
        <f t="shared" si="12"/>
        <v>39.254</v>
      </c>
      <c r="I57" s="892">
        <v>39384.45763888889</v>
      </c>
      <c r="J57" s="893">
        <v>39384.782638888886</v>
      </c>
      <c r="K57" s="531">
        <f t="shared" si="13"/>
        <v>7.799999999930151</v>
      </c>
      <c r="L57" s="532">
        <f t="shared" si="14"/>
        <v>468</v>
      </c>
      <c r="M57" s="685" t="s">
        <v>187</v>
      </c>
      <c r="N57" s="622" t="str">
        <f t="shared" si="15"/>
        <v>--</v>
      </c>
      <c r="O57" s="593"/>
      <c r="P57" s="894">
        <f t="shared" si="16"/>
        <v>40</v>
      </c>
      <c r="Q57" s="895">
        <f t="shared" si="17"/>
        <v>1224.7247999999997</v>
      </c>
      <c r="R57" s="209" t="str">
        <f t="shared" si="18"/>
        <v>--</v>
      </c>
      <c r="S57" s="525" t="str">
        <f t="shared" si="19"/>
        <v>--</v>
      </c>
      <c r="T57" s="526" t="str">
        <f t="shared" si="20"/>
        <v>--</v>
      </c>
      <c r="U57" s="896" t="str">
        <f t="shared" si="21"/>
        <v>SI</v>
      </c>
      <c r="V57" s="537">
        <f t="shared" si="22"/>
        <v>1224.7247999999997</v>
      </c>
      <c r="W57" s="6"/>
    </row>
    <row r="58" spans="2:23" s="5" customFormat="1" ht="16.5" customHeight="1">
      <c r="B58" s="50"/>
      <c r="C58" s="991" t="s">
        <v>182</v>
      </c>
      <c r="D58" s="521" t="s">
        <v>257</v>
      </c>
      <c r="E58" s="586" t="s">
        <v>262</v>
      </c>
      <c r="F58" s="992"/>
      <c r="G58" s="891">
        <v>132</v>
      </c>
      <c r="H58" s="138">
        <f t="shared" si="12"/>
        <v>39.254</v>
      </c>
      <c r="I58" s="892">
        <v>39385.38263888889</v>
      </c>
      <c r="J58" s="893">
        <v>39385.76736111111</v>
      </c>
      <c r="K58" s="531">
        <f t="shared" si="13"/>
        <v>9.233333333220799</v>
      </c>
      <c r="L58" s="532">
        <f t="shared" si="14"/>
        <v>554</v>
      </c>
      <c r="M58" s="685" t="s">
        <v>187</v>
      </c>
      <c r="N58" s="622" t="str">
        <f t="shared" si="15"/>
        <v>--</v>
      </c>
      <c r="O58" s="593"/>
      <c r="P58" s="894">
        <f t="shared" si="16"/>
        <v>40</v>
      </c>
      <c r="Q58" s="895">
        <f t="shared" si="17"/>
        <v>1449.25768</v>
      </c>
      <c r="R58" s="209" t="str">
        <f t="shared" si="18"/>
        <v>--</v>
      </c>
      <c r="S58" s="525" t="str">
        <f t="shared" si="19"/>
        <v>--</v>
      </c>
      <c r="T58" s="526" t="str">
        <f t="shared" si="20"/>
        <v>--</v>
      </c>
      <c r="U58" s="896" t="str">
        <f t="shared" si="21"/>
        <v>SI</v>
      </c>
      <c r="V58" s="537">
        <f t="shared" si="22"/>
        <v>1449.25768</v>
      </c>
      <c r="W58" s="6"/>
    </row>
    <row r="59" spans="2:23" s="5" customFormat="1" ht="16.5" customHeight="1">
      <c r="B59" s="50"/>
      <c r="C59" s="991"/>
      <c r="D59" s="521"/>
      <c r="E59" s="586"/>
      <c r="F59" s="992"/>
      <c r="G59" s="891"/>
      <c r="H59" s="138">
        <f t="shared" si="12"/>
        <v>39.254</v>
      </c>
      <c r="I59" s="892"/>
      <c r="J59" s="893"/>
      <c r="K59" s="531">
        <f t="shared" si="13"/>
      </c>
      <c r="L59" s="532">
        <f t="shared" si="14"/>
      </c>
      <c r="M59" s="685"/>
      <c r="N59" s="622">
        <f t="shared" si="15"/>
      </c>
      <c r="O59" s="593"/>
      <c r="P59" s="894">
        <f t="shared" si="16"/>
        <v>40</v>
      </c>
      <c r="Q59" s="895" t="str">
        <f t="shared" si="17"/>
        <v>--</v>
      </c>
      <c r="R59" s="209" t="str">
        <f t="shared" si="18"/>
        <v>--</v>
      </c>
      <c r="S59" s="525" t="str">
        <f t="shared" si="19"/>
        <v>--</v>
      </c>
      <c r="T59" s="526" t="str">
        <f t="shared" si="20"/>
        <v>--</v>
      </c>
      <c r="U59" s="896">
        <f t="shared" si="21"/>
      </c>
      <c r="V59" s="537">
        <f t="shared" si="22"/>
      </c>
      <c r="W59" s="6"/>
    </row>
    <row r="60" spans="2:23" s="5" customFormat="1" ht="16.5" customHeight="1">
      <c r="B60" s="50"/>
      <c r="C60" s="991"/>
      <c r="D60" s="521"/>
      <c r="E60" s="586"/>
      <c r="F60" s="992"/>
      <c r="G60" s="891"/>
      <c r="H60" s="138">
        <f t="shared" si="12"/>
        <v>39.254</v>
      </c>
      <c r="I60" s="892"/>
      <c r="J60" s="893"/>
      <c r="K60" s="531">
        <f t="shared" si="13"/>
      </c>
      <c r="L60" s="532">
        <f t="shared" si="14"/>
      </c>
      <c r="M60" s="685"/>
      <c r="N60" s="622">
        <f t="shared" si="15"/>
      </c>
      <c r="O60" s="593"/>
      <c r="P60" s="894">
        <f t="shared" si="16"/>
        <v>40</v>
      </c>
      <c r="Q60" s="895" t="str">
        <f t="shared" si="17"/>
        <v>--</v>
      </c>
      <c r="R60" s="209" t="str">
        <f t="shared" si="18"/>
        <v>--</v>
      </c>
      <c r="S60" s="525" t="str">
        <f t="shared" si="19"/>
        <v>--</v>
      </c>
      <c r="T60" s="526" t="str">
        <f t="shared" si="20"/>
        <v>--</v>
      </c>
      <c r="U60" s="896">
        <f t="shared" si="21"/>
      </c>
      <c r="V60" s="537">
        <f t="shared" si="22"/>
      </c>
      <c r="W60" s="6"/>
    </row>
    <row r="61" spans="2:28" s="5" customFormat="1" ht="16.5" customHeight="1" thickBot="1">
      <c r="B61" s="50"/>
      <c r="C61" s="774"/>
      <c r="D61" s="898"/>
      <c r="E61" s="1087"/>
      <c r="F61" s="1088"/>
      <c r="G61" s="899"/>
      <c r="H61" s="900"/>
      <c r="I61" s="901"/>
      <c r="J61" s="902"/>
      <c r="K61" s="903"/>
      <c r="L61" s="904"/>
      <c r="M61" s="905"/>
      <c r="N61" s="906"/>
      <c r="O61" s="905"/>
      <c r="P61" s="907"/>
      <c r="Q61" s="908"/>
      <c r="R61" s="909"/>
      <c r="S61" s="910"/>
      <c r="T61" s="911"/>
      <c r="U61" s="912"/>
      <c r="V61" s="913"/>
      <c r="W61" s="6"/>
      <c r="X61"/>
      <c r="Y61"/>
      <c r="Z61"/>
      <c r="AA61"/>
      <c r="AB61"/>
    </row>
    <row r="62" spans="1:23" ht="17.25" thickBot="1" thickTop="1">
      <c r="A62" s="32"/>
      <c r="B62" s="635"/>
      <c r="C62" s="638"/>
      <c r="D62" s="812"/>
      <c r="E62" s="813"/>
      <c r="F62" s="814"/>
      <c r="G62" s="815"/>
      <c r="H62" s="815"/>
      <c r="I62" s="813"/>
      <c r="J62" s="624"/>
      <c r="K62" s="624"/>
      <c r="L62" s="813"/>
      <c r="M62" s="813"/>
      <c r="N62" s="813"/>
      <c r="O62" s="816"/>
      <c r="P62" s="813"/>
      <c r="Q62" s="813"/>
      <c r="R62" s="817"/>
      <c r="S62" s="818"/>
      <c r="T62" s="818"/>
      <c r="U62" s="819"/>
      <c r="V62" s="808">
        <f>SUM(V42:V61)</f>
        <v>69724.2652</v>
      </c>
      <c r="W62" s="820"/>
    </row>
    <row r="63" spans="1:23" ht="17.25" thickBot="1" thickTop="1">
      <c r="A63" s="32"/>
      <c r="B63" s="635"/>
      <c r="C63" s="638"/>
      <c r="D63" s="812"/>
      <c r="E63" s="813"/>
      <c r="F63" s="814"/>
      <c r="G63" s="815"/>
      <c r="H63" s="815"/>
      <c r="I63" s="648" t="s">
        <v>44</v>
      </c>
      <c r="J63" s="883">
        <f>+V62+V38</f>
        <v>79169.0152</v>
      </c>
      <c r="L63" s="813"/>
      <c r="M63" s="813"/>
      <c r="N63" s="813"/>
      <c r="O63" s="816"/>
      <c r="P63" s="813"/>
      <c r="Q63" s="813"/>
      <c r="R63" s="817"/>
      <c r="S63" s="818"/>
      <c r="T63" s="818"/>
      <c r="U63" s="819"/>
      <c r="W63" s="820"/>
    </row>
    <row r="64" spans="1:23" ht="13.5" customHeight="1" thickTop="1">
      <c r="A64" s="32"/>
      <c r="B64" s="635"/>
      <c r="C64" s="638"/>
      <c r="D64" s="812"/>
      <c r="E64" s="813"/>
      <c r="F64" s="814"/>
      <c r="G64" s="815"/>
      <c r="H64" s="815"/>
      <c r="I64" s="813"/>
      <c r="J64" s="624"/>
      <c r="K64" s="624"/>
      <c r="L64" s="813"/>
      <c r="M64" s="813"/>
      <c r="N64" s="813"/>
      <c r="O64" s="816"/>
      <c r="P64" s="813"/>
      <c r="Q64" s="813"/>
      <c r="R64" s="817"/>
      <c r="S64" s="818"/>
      <c r="T64" s="818"/>
      <c r="U64" s="819"/>
      <c r="W64" s="820"/>
    </row>
    <row r="65" spans="1:23" ht="16.5" customHeight="1">
      <c r="A65" s="32"/>
      <c r="B65" s="635"/>
      <c r="C65" s="821" t="s">
        <v>109</v>
      </c>
      <c r="D65" s="822" t="s">
        <v>154</v>
      </c>
      <c r="E65" s="813"/>
      <c r="F65" s="814"/>
      <c r="G65" s="815"/>
      <c r="H65" s="815"/>
      <c r="I65" s="813"/>
      <c r="J65" s="624"/>
      <c r="K65" s="624"/>
      <c r="L65" s="813"/>
      <c r="M65" s="813"/>
      <c r="N65" s="813"/>
      <c r="O65" s="816"/>
      <c r="P65" s="813"/>
      <c r="Q65" s="813"/>
      <c r="R65" s="817"/>
      <c r="S65" s="818"/>
      <c r="T65" s="818"/>
      <c r="U65" s="819"/>
      <c r="W65" s="820"/>
    </row>
    <row r="66" spans="1:23" ht="16.5" customHeight="1">
      <c r="A66" s="32"/>
      <c r="B66" s="635"/>
      <c r="C66" s="821"/>
      <c r="D66" s="812"/>
      <c r="E66" s="813"/>
      <c r="F66" s="814"/>
      <c r="G66" s="815"/>
      <c r="H66" s="815"/>
      <c r="I66" s="813"/>
      <c r="J66" s="624"/>
      <c r="K66" s="624"/>
      <c r="L66" s="813"/>
      <c r="M66" s="813"/>
      <c r="N66" s="813"/>
      <c r="O66" s="816"/>
      <c r="P66" s="813"/>
      <c r="Q66" s="813"/>
      <c r="R66" s="813"/>
      <c r="S66" s="817"/>
      <c r="T66" s="818"/>
      <c r="W66" s="820"/>
    </row>
    <row r="67" spans="2:23" s="32" customFormat="1" ht="16.5" customHeight="1">
      <c r="B67" s="635"/>
      <c r="C67" s="638"/>
      <c r="D67" s="823" t="s">
        <v>123</v>
      </c>
      <c r="E67" s="720" t="s">
        <v>124</v>
      </c>
      <c r="F67" s="720" t="s">
        <v>45</v>
      </c>
      <c r="G67" s="824" t="s">
        <v>159</v>
      </c>
      <c r="H67"/>
      <c r="I67" s="150"/>
      <c r="J67" s="835" t="s">
        <v>51</v>
      </c>
      <c r="K67" s="835"/>
      <c r="L67" s="720" t="s">
        <v>45</v>
      </c>
      <c r="M67" t="s">
        <v>137</v>
      </c>
      <c r="O67" s="824" t="s">
        <v>161</v>
      </c>
      <c r="P67"/>
      <c r="Q67" s="828"/>
      <c r="R67" s="828"/>
      <c r="S67" s="33"/>
      <c r="T67"/>
      <c r="U67"/>
      <c r="V67"/>
      <c r="W67" s="820"/>
    </row>
    <row r="68" spans="2:23" s="32" customFormat="1" ht="16.5" customHeight="1">
      <c r="B68" s="635"/>
      <c r="C68" s="638"/>
      <c r="D68" s="155" t="s">
        <v>138</v>
      </c>
      <c r="E68" s="155">
        <v>300</v>
      </c>
      <c r="F68" s="914">
        <v>500</v>
      </c>
      <c r="G68" s="1086">
        <f>+E68*$F$20*$F$21</f>
        <v>54684</v>
      </c>
      <c r="H68" s="1086"/>
      <c r="I68" s="1086"/>
      <c r="J68" s="915" t="s">
        <v>139</v>
      </c>
      <c r="K68" s="915"/>
      <c r="L68" s="155">
        <v>500</v>
      </c>
      <c r="M68" s="155">
        <v>2</v>
      </c>
      <c r="O68" s="1086">
        <f>+M68*$F$20*$M$19</f>
        <v>73008.72</v>
      </c>
      <c r="P68" s="1086"/>
      <c r="Q68" s="1086"/>
      <c r="R68" s="1086"/>
      <c r="S68" s="1086"/>
      <c r="T68" s="1086"/>
      <c r="U68" s="1086"/>
      <c r="V68"/>
      <c r="W68" s="820"/>
    </row>
    <row r="69" spans="2:23" s="32" customFormat="1" ht="16.5" customHeight="1">
      <c r="B69" s="635"/>
      <c r="C69" s="638"/>
      <c r="D69" s="155" t="s">
        <v>140</v>
      </c>
      <c r="E69" s="154">
        <v>300</v>
      </c>
      <c r="F69" s="914">
        <v>500</v>
      </c>
      <c r="G69" s="1086">
        <f>+E69*$F$20*$F$21</f>
        <v>54684</v>
      </c>
      <c r="H69" s="1086"/>
      <c r="I69" s="1086"/>
      <c r="J69" s="915" t="s">
        <v>139</v>
      </c>
      <c r="K69" s="915"/>
      <c r="L69" s="155">
        <v>132</v>
      </c>
      <c r="M69" s="155">
        <v>9</v>
      </c>
      <c r="O69" s="1086">
        <f>+M69*$F$20*$M$19</f>
        <v>328539.24</v>
      </c>
      <c r="P69" s="1086"/>
      <c r="Q69" s="1086"/>
      <c r="R69" s="1086"/>
      <c r="S69" s="1086"/>
      <c r="T69" s="1086"/>
      <c r="U69" s="1086"/>
      <c r="V69"/>
      <c r="W69" s="820"/>
    </row>
    <row r="70" spans="2:23" s="32" customFormat="1" ht="16.5" customHeight="1">
      <c r="B70" s="635"/>
      <c r="C70" s="638"/>
      <c r="D70" s="153" t="s">
        <v>141</v>
      </c>
      <c r="E70" s="154">
        <v>300</v>
      </c>
      <c r="F70" s="914">
        <v>500</v>
      </c>
      <c r="G70" s="1086">
        <f>+E70*$F$20*$F$21</f>
        <v>54684</v>
      </c>
      <c r="H70" s="1086"/>
      <c r="I70" s="1086"/>
      <c r="J70" s="915" t="s">
        <v>142</v>
      </c>
      <c r="K70" s="915"/>
      <c r="L70" s="155">
        <v>132</v>
      </c>
      <c r="M70" s="155">
        <v>8</v>
      </c>
      <c r="O70" s="1086">
        <f>+M70*$F$20*$M$19</f>
        <v>292034.88</v>
      </c>
      <c r="P70" s="1086"/>
      <c r="Q70" s="1086"/>
      <c r="R70" s="1086"/>
      <c r="S70" s="1086"/>
      <c r="T70" s="1086"/>
      <c r="U70" s="1086"/>
      <c r="V70"/>
      <c r="W70" s="820"/>
    </row>
    <row r="71" spans="1:23" ht="16.5" customHeight="1">
      <c r="A71" s="32"/>
      <c r="B71" s="635"/>
      <c r="C71" s="638"/>
      <c r="D71" s="153" t="s">
        <v>143</v>
      </c>
      <c r="E71" s="154">
        <v>300</v>
      </c>
      <c r="F71" s="914">
        <v>500</v>
      </c>
      <c r="G71" s="1086">
        <f>+E71*$F$20*$F$21</f>
        <v>54684</v>
      </c>
      <c r="H71" s="1086"/>
      <c r="I71" s="1086"/>
      <c r="J71" s="915" t="s">
        <v>144</v>
      </c>
      <c r="K71" s="915"/>
      <c r="L71" s="155">
        <v>132</v>
      </c>
      <c r="M71" s="155">
        <v>5</v>
      </c>
      <c r="O71" s="1094">
        <f>+M71*$F$20*$M$19</f>
        <v>182521.8</v>
      </c>
      <c r="P71" s="1094"/>
      <c r="Q71" s="1094"/>
      <c r="R71" s="1094"/>
      <c r="S71" s="1094"/>
      <c r="T71" s="1094"/>
      <c r="U71" s="1094"/>
      <c r="W71" s="820"/>
    </row>
    <row r="72" spans="1:23" ht="16.5" customHeight="1">
      <c r="A72" s="32"/>
      <c r="B72" s="635"/>
      <c r="C72" s="638"/>
      <c r="D72" s="153" t="s">
        <v>283</v>
      </c>
      <c r="E72" s="154">
        <v>600</v>
      </c>
      <c r="F72" s="914">
        <v>500</v>
      </c>
      <c r="G72" s="1094">
        <f>+E72*$F$20*$F$21</f>
        <v>109368</v>
      </c>
      <c r="H72" s="1094"/>
      <c r="I72" s="1094"/>
      <c r="M72" s="155"/>
      <c r="O72" s="1086">
        <f>SUM(O68:P71)</f>
        <v>876104.6399999999</v>
      </c>
      <c r="P72" s="1086"/>
      <c r="Q72" s="1086"/>
      <c r="R72" s="1086"/>
      <c r="S72" s="1086"/>
      <c r="T72" s="1086"/>
      <c r="U72" s="1086"/>
      <c r="W72" s="820"/>
    </row>
    <row r="73" spans="1:23" ht="16.5" customHeight="1">
      <c r="A73" s="32"/>
      <c r="B73" s="635"/>
      <c r="C73" s="638"/>
      <c r="D73" s="153"/>
      <c r="E73" s="154"/>
      <c r="F73" s="914"/>
      <c r="G73" s="1086">
        <f>SUM(G68:G72)</f>
        <v>328104</v>
      </c>
      <c r="H73" s="1086"/>
      <c r="I73" s="1086"/>
      <c r="M73" s="155"/>
      <c r="N73" s="150"/>
      <c r="O73" s="150"/>
      <c r="P73" s="864"/>
      <c r="Q73" s="864"/>
      <c r="R73" s="864"/>
      <c r="S73" s="864"/>
      <c r="W73" s="820"/>
    </row>
    <row r="74" spans="1:23" ht="16.5" customHeight="1" thickBot="1">
      <c r="A74" s="32"/>
      <c r="B74" s="635"/>
      <c r="C74" s="638"/>
      <c r="D74" s="823"/>
      <c r="E74" s="836"/>
      <c r="F74" s="836"/>
      <c r="G74" s="720"/>
      <c r="I74" s="826"/>
      <c r="J74" s="824"/>
      <c r="L74" s="825"/>
      <c r="M74" s="826"/>
      <c r="N74" s="827"/>
      <c r="O74" s="828"/>
      <c r="P74" s="828"/>
      <c r="Q74" s="828"/>
      <c r="R74" s="828"/>
      <c r="S74" s="828"/>
      <c r="W74" s="820"/>
    </row>
    <row r="75" spans="1:23" ht="16.5" customHeight="1" thickBot="1" thickTop="1">
      <c r="A75" s="32"/>
      <c r="B75" s="635"/>
      <c r="C75" s="638"/>
      <c r="D75" s="720"/>
      <c r="E75" s="867"/>
      <c r="F75" s="867"/>
      <c r="G75" s="830"/>
      <c r="H75" s="188"/>
      <c r="I75" s="648" t="s">
        <v>46</v>
      </c>
      <c r="J75" s="883">
        <f>+G73+O72</f>
        <v>1204208.64</v>
      </c>
      <c r="L75" s="832"/>
      <c r="M75" s="188"/>
      <c r="N75" s="833"/>
      <c r="O75" s="864"/>
      <c r="P75" s="864"/>
      <c r="Q75" s="864"/>
      <c r="R75" s="864"/>
      <c r="S75" s="864"/>
      <c r="W75" s="820"/>
    </row>
    <row r="76" spans="1:23" ht="16.5" customHeight="1" thickTop="1">
      <c r="A76" s="32"/>
      <c r="B76" s="635"/>
      <c r="C76" s="638"/>
      <c r="D76" s="624"/>
      <c r="E76" s="643"/>
      <c r="F76" s="720"/>
      <c r="G76" s="720"/>
      <c r="H76" s="721"/>
      <c r="J76" s="720"/>
      <c r="L76" s="838"/>
      <c r="M76" s="827"/>
      <c r="N76" s="827"/>
      <c r="O76" s="828"/>
      <c r="P76" s="828"/>
      <c r="Q76" s="828"/>
      <c r="R76" s="828"/>
      <c r="S76" s="828"/>
      <c r="W76" s="820"/>
    </row>
    <row r="77" spans="2:23" ht="16.5" customHeight="1">
      <c r="B77" s="635"/>
      <c r="C77" s="821" t="s">
        <v>111</v>
      </c>
      <c r="D77" s="839" t="s">
        <v>112</v>
      </c>
      <c r="E77" s="720"/>
      <c r="F77" s="840"/>
      <c r="G77" s="719"/>
      <c r="H77" s="624"/>
      <c r="I77" s="624"/>
      <c r="J77" s="624"/>
      <c r="K77" s="720"/>
      <c r="L77" s="720"/>
      <c r="M77" s="624"/>
      <c r="N77" s="720"/>
      <c r="O77" s="624"/>
      <c r="P77" s="624"/>
      <c r="Q77" s="624"/>
      <c r="R77" s="624"/>
      <c r="S77" s="624"/>
      <c r="T77" s="624"/>
      <c r="U77" s="624"/>
      <c r="W77" s="820"/>
    </row>
    <row r="78" spans="2:23" s="32" customFormat="1" ht="16.5" customHeight="1">
      <c r="B78" s="635"/>
      <c r="C78" s="638"/>
      <c r="D78" s="823" t="s">
        <v>113</v>
      </c>
      <c r="E78" s="841">
        <f>10*J63*J25/J75</f>
        <v>7210.203048269194</v>
      </c>
      <c r="G78" s="719"/>
      <c r="L78" s="720"/>
      <c r="N78" s="720"/>
      <c r="O78" s="721"/>
      <c r="V78"/>
      <c r="W78" s="820"/>
    </row>
    <row r="79" spans="2:23" s="32" customFormat="1" ht="12.75" customHeight="1">
      <c r="B79" s="635"/>
      <c r="C79" s="638"/>
      <c r="E79" s="842"/>
      <c r="F79" s="647"/>
      <c r="G79" s="719"/>
      <c r="J79" s="719"/>
      <c r="K79" s="734"/>
      <c r="L79" s="720"/>
      <c r="M79" s="720"/>
      <c r="N79" s="720"/>
      <c r="O79" s="721"/>
      <c r="P79" s="720"/>
      <c r="Q79" s="720"/>
      <c r="R79" s="733"/>
      <c r="S79" s="733"/>
      <c r="T79" s="733"/>
      <c r="U79" s="843"/>
      <c r="V79"/>
      <c r="W79" s="820"/>
    </row>
    <row r="80" spans="2:23" ht="16.5" customHeight="1">
      <c r="B80" s="635"/>
      <c r="C80" s="638"/>
      <c r="D80" s="844" t="s">
        <v>145</v>
      </c>
      <c r="E80" s="845"/>
      <c r="F80" s="647"/>
      <c r="G80" s="719"/>
      <c r="H80" s="624"/>
      <c r="I80" s="624"/>
      <c r="N80" s="720"/>
      <c r="O80" s="721"/>
      <c r="P80" s="720"/>
      <c r="Q80" s="720"/>
      <c r="R80" s="826"/>
      <c r="S80" s="826"/>
      <c r="T80" s="826"/>
      <c r="U80" s="827"/>
      <c r="W80" s="820"/>
    </row>
    <row r="81" spans="2:23" ht="16.5" customHeight="1">
      <c r="B81" s="635"/>
      <c r="C81" s="638"/>
      <c r="D81" s="844"/>
      <c r="E81" s="845"/>
      <c r="F81" s="647"/>
      <c r="G81" s="719"/>
      <c r="H81" s="624"/>
      <c r="I81" s="624"/>
      <c r="N81" s="720"/>
      <c r="O81" s="721"/>
      <c r="P81" s="720"/>
      <c r="Q81" s="720"/>
      <c r="R81" s="826"/>
      <c r="S81" s="826"/>
      <c r="T81" s="826"/>
      <c r="U81" s="827"/>
      <c r="W81" s="820"/>
    </row>
    <row r="82" spans="2:23" ht="13.5" customHeight="1" thickBot="1">
      <c r="B82" s="635"/>
      <c r="C82" s="638"/>
      <c r="D82" s="1074" t="s">
        <v>301</v>
      </c>
      <c r="E82" s="845"/>
      <c r="F82" s="647"/>
      <c r="G82" s="719"/>
      <c r="H82" s="624"/>
      <c r="I82" s="624"/>
      <c r="N82" s="720"/>
      <c r="O82" s="721"/>
      <c r="P82" s="720"/>
      <c r="Q82" s="720"/>
      <c r="R82" s="826"/>
      <c r="S82" s="826"/>
      <c r="T82" s="826"/>
      <c r="U82" s="827"/>
      <c r="W82" s="820"/>
    </row>
    <row r="83" spans="2:23" s="846" customFormat="1" ht="21" thickBot="1" thickTop="1">
      <c r="B83" s="847"/>
      <c r="C83" s="848"/>
      <c r="D83" s="849"/>
      <c r="E83" s="850"/>
      <c r="F83" s="851"/>
      <c r="G83" s="852"/>
      <c r="I83" s="853" t="s">
        <v>114</v>
      </c>
      <c r="J83" s="854">
        <f>IF(E78&gt;3*J25,J25*3,E78)</f>
        <v>7210.203048269194</v>
      </c>
      <c r="M83" s="855"/>
      <c r="N83" s="855"/>
      <c r="O83" s="856"/>
      <c r="P83" s="855"/>
      <c r="Q83" s="855"/>
      <c r="R83" s="857"/>
      <c r="S83" s="857"/>
      <c r="T83" s="857"/>
      <c r="U83" s="858"/>
      <c r="V83"/>
      <c r="W83" s="859"/>
    </row>
    <row r="84" spans="2:23" ht="16.5" customHeight="1" thickBot="1" thickTop="1">
      <c r="B84" s="57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217"/>
      <c r="W84" s="860"/>
    </row>
    <row r="85" spans="2:23" ht="16.5" customHeight="1" thickTop="1">
      <c r="B85" s="1"/>
      <c r="C85" s="73"/>
      <c r="W85" s="1"/>
    </row>
  </sheetData>
  <sheetProtection password="CC12"/>
  <mergeCells count="15">
    <mergeCell ref="G72:I72"/>
    <mergeCell ref="G73:I73"/>
    <mergeCell ref="G68:I68"/>
    <mergeCell ref="G69:I69"/>
    <mergeCell ref="G70:I70"/>
    <mergeCell ref="G71:I71"/>
    <mergeCell ref="O71:U71"/>
    <mergeCell ref="O72:U72"/>
    <mergeCell ref="O69:U69"/>
    <mergeCell ref="O70:U70"/>
    <mergeCell ref="O68:U68"/>
    <mergeCell ref="E61:F61"/>
    <mergeCell ref="N40:O40"/>
    <mergeCell ref="E40:F40"/>
    <mergeCell ref="E41:F4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8"/>
  <sheetViews>
    <sheetView zoomScale="75" zoomScaleNormal="75" workbookViewId="0" topLeftCell="D1">
      <selection activeCell="F21" sqref="F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6"/>
      <c r="AD1" s="86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32" customFormat="1" ht="30.75">
      <c r="A3" s="629"/>
      <c r="B3" s="630" t="str">
        <f>+'TOT-1007'!B2</f>
        <v>ANEXO V al Memorandum D.T.E.E. N° 1955 /2009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AB3" s="631"/>
      <c r="AC3" s="631"/>
      <c r="AD3" s="631"/>
    </row>
    <row r="4" spans="1:2" s="25" customFormat="1" ht="11.25">
      <c r="A4" s="861" t="s">
        <v>2</v>
      </c>
      <c r="B4" s="862"/>
    </row>
    <row r="5" spans="1:2" s="25" customFormat="1" ht="12" thickBot="1">
      <c r="A5" s="861" t="s">
        <v>3</v>
      </c>
      <c r="B5" s="861"/>
    </row>
    <row r="6" spans="1:23" ht="16.5" customHeight="1" thickTop="1">
      <c r="A6" s="5"/>
      <c r="B6" s="69"/>
      <c r="C6" s="70"/>
      <c r="D6" s="70"/>
      <c r="E6" s="21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90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90" t="s">
        <v>98</v>
      </c>
      <c r="E9" s="43"/>
      <c r="F9" s="43"/>
      <c r="G9" s="43"/>
      <c r="H9" s="43"/>
      <c r="N9" s="43"/>
      <c r="O9" s="43"/>
      <c r="P9" s="220"/>
      <c r="Q9" s="220"/>
      <c r="R9" s="43"/>
      <c r="S9" s="43"/>
      <c r="T9" s="43"/>
      <c r="U9" s="43"/>
      <c r="V9" s="43"/>
      <c r="W9" s="221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90" t="s">
        <v>146</v>
      </c>
      <c r="E11" s="43"/>
      <c r="F11" s="43"/>
      <c r="G11" s="43"/>
      <c r="H11" s="43"/>
      <c r="N11" s="43"/>
      <c r="O11" s="43"/>
      <c r="P11" s="220"/>
      <c r="Q11" s="220"/>
      <c r="R11" s="43"/>
      <c r="S11" s="43"/>
      <c r="T11" s="43"/>
      <c r="U11" s="43"/>
      <c r="V11" s="43"/>
      <c r="W11" s="221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'TOT-1007'!B14</f>
        <v>Desde el 01 al 31 de octubre de 2007</v>
      </c>
      <c r="C13" s="38"/>
      <c r="D13" s="40"/>
      <c r="E13" s="40"/>
      <c r="F13" s="40"/>
      <c r="G13" s="40"/>
      <c r="H13" s="40"/>
      <c r="I13" s="41"/>
      <c r="J13" s="188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8"/>
      <c r="V13" s="128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634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5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5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78" t="s">
        <v>99</v>
      </c>
      <c r="D17" s="54" t="s">
        <v>100</v>
      </c>
      <c r="E17" s="66"/>
      <c r="F17" s="66"/>
      <c r="G17" s="4"/>
      <c r="H17" s="4"/>
      <c r="I17" s="4"/>
      <c r="J17" s="634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635"/>
      <c r="C18" s="33"/>
      <c r="D18" s="636"/>
      <c r="E18" s="637"/>
      <c r="F18" s="638"/>
      <c r="G18" s="33"/>
      <c r="H18" s="33"/>
      <c r="I18" s="33"/>
      <c r="J18" s="639"/>
      <c r="K18" s="33"/>
      <c r="L18" s="33"/>
      <c r="M18" s="33"/>
      <c r="N18" s="870" t="s">
        <v>39</v>
      </c>
      <c r="P18" s="33"/>
      <c r="Q18" s="33"/>
      <c r="R18" s="33"/>
      <c r="S18" s="33"/>
      <c r="T18" s="33"/>
      <c r="U18" s="33"/>
      <c r="V18" s="33"/>
      <c r="W18" s="640"/>
    </row>
    <row r="19" spans="2:23" s="32" customFormat="1" ht="16.5" customHeight="1">
      <c r="B19" s="635"/>
      <c r="C19" s="33"/>
      <c r="E19" s="644" t="s">
        <v>42</v>
      </c>
      <c r="F19" s="645">
        <v>0.04</v>
      </c>
      <c r="G19" s="642"/>
      <c r="H19" s="33"/>
      <c r="I19" s="232" t="s">
        <v>147</v>
      </c>
      <c r="J19" s="233"/>
      <c r="K19" s="871" t="s">
        <v>135</v>
      </c>
      <c r="L19" s="872"/>
      <c r="M19" s="873">
        <v>49.065</v>
      </c>
      <c r="N19" s="874">
        <v>200</v>
      </c>
      <c r="R19" s="33"/>
      <c r="S19" s="33"/>
      <c r="T19" s="33"/>
      <c r="U19" s="33"/>
      <c r="V19" s="33"/>
      <c r="W19" s="640"/>
    </row>
    <row r="20" spans="2:23" s="32" customFormat="1" ht="16.5" customHeight="1">
      <c r="B20" s="635"/>
      <c r="C20" s="33"/>
      <c r="E20" s="636" t="s">
        <v>40</v>
      </c>
      <c r="F20" s="33">
        <v>744</v>
      </c>
      <c r="G20" s="33" t="s">
        <v>41</v>
      </c>
      <c r="H20" s="33"/>
      <c r="I20" s="33"/>
      <c r="J20" s="33"/>
      <c r="K20" s="875" t="s">
        <v>87</v>
      </c>
      <c r="L20" s="876"/>
      <c r="M20" s="877">
        <v>44.156</v>
      </c>
      <c r="N20" s="878">
        <v>100</v>
      </c>
      <c r="O20" s="33"/>
      <c r="P20" s="863"/>
      <c r="Q20" s="33"/>
      <c r="R20" s="33"/>
      <c r="S20" s="33"/>
      <c r="T20" s="33"/>
      <c r="U20" s="33"/>
      <c r="V20" s="33"/>
      <c r="W20" s="640"/>
    </row>
    <row r="21" spans="2:23" s="32" customFormat="1" ht="16.5" customHeight="1" thickBot="1">
      <c r="B21" s="635"/>
      <c r="C21" s="33"/>
      <c r="E21" s="636" t="s">
        <v>43</v>
      </c>
      <c r="F21" s="33">
        <v>0.245</v>
      </c>
      <c r="G21" s="32" t="s">
        <v>117</v>
      </c>
      <c r="H21" s="33"/>
      <c r="I21" s="33"/>
      <c r="J21" s="33"/>
      <c r="K21" s="879" t="s">
        <v>136</v>
      </c>
      <c r="L21" s="880"/>
      <c r="M21" s="881">
        <v>39.254</v>
      </c>
      <c r="N21" s="882">
        <v>40</v>
      </c>
      <c r="O21" s="33"/>
      <c r="P21" s="863"/>
      <c r="Q21" s="33"/>
      <c r="R21" s="33"/>
      <c r="S21" s="33"/>
      <c r="T21" s="33"/>
      <c r="U21" s="33"/>
      <c r="V21" s="33"/>
      <c r="W21" s="640"/>
    </row>
    <row r="22" spans="2:23" s="32" customFormat="1" ht="16.5" customHeight="1">
      <c r="B22" s="635"/>
      <c r="C22" s="33"/>
      <c r="D22" s="33"/>
      <c r="E22" s="64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40"/>
    </row>
    <row r="23" spans="1:23" ht="16.5" customHeight="1">
      <c r="A23" s="5"/>
      <c r="B23" s="50"/>
      <c r="C23" s="178" t="s">
        <v>103</v>
      </c>
      <c r="D23" s="3" t="s">
        <v>152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635"/>
      <c r="C25" s="638"/>
      <c r="D25"/>
      <c r="E25"/>
      <c r="F25"/>
      <c r="G25"/>
      <c r="H25"/>
      <c r="I25" s="648" t="s">
        <v>47</v>
      </c>
      <c r="J25" s="883">
        <f>+J59*F19</f>
        <v>4523.75808</v>
      </c>
      <c r="L25"/>
      <c r="S25"/>
      <c r="T25"/>
      <c r="U25"/>
      <c r="W25" s="640"/>
    </row>
    <row r="26" spans="2:23" s="32" customFormat="1" ht="11.25" customHeight="1" thickTop="1">
      <c r="B26" s="635"/>
      <c r="C26" s="638"/>
      <c r="D26" s="33"/>
      <c r="E26" s="64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640"/>
    </row>
    <row r="27" spans="1:23" ht="16.5" customHeight="1">
      <c r="A27" s="5"/>
      <c r="B27" s="50"/>
      <c r="C27" s="178" t="s">
        <v>104</v>
      </c>
      <c r="D27" s="3" t="s">
        <v>153</v>
      </c>
      <c r="E27" s="23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638"/>
      <c r="D28" s="638"/>
      <c r="E28" s="718"/>
      <c r="F28" s="647"/>
      <c r="G28" s="719"/>
      <c r="H28" s="719"/>
      <c r="I28" s="720"/>
      <c r="J28" s="720"/>
      <c r="K28" s="720"/>
      <c r="L28" s="720"/>
      <c r="M28" s="720"/>
      <c r="N28" s="720"/>
      <c r="O28" s="721"/>
      <c r="P28" s="720"/>
      <c r="Q28" s="720"/>
      <c r="R28" s="884"/>
      <c r="S28" s="885"/>
      <c r="T28" s="886"/>
      <c r="U28" s="886"/>
      <c r="V28" s="886"/>
      <c r="W28" s="296"/>
    </row>
    <row r="29" spans="1:26" s="5" customFormat="1" ht="33.75" customHeight="1" thickBot="1" thickTop="1">
      <c r="A29" s="90"/>
      <c r="B29" s="95"/>
      <c r="C29" s="125" t="s">
        <v>13</v>
      </c>
      <c r="D29" s="121" t="s">
        <v>29</v>
      </c>
      <c r="E29" s="120" t="s">
        <v>30</v>
      </c>
      <c r="F29" s="122" t="s">
        <v>31</v>
      </c>
      <c r="G29" s="123" t="s">
        <v>14</v>
      </c>
      <c r="H29" s="137" t="s">
        <v>16</v>
      </c>
      <c r="I29" s="120" t="s">
        <v>17</v>
      </c>
      <c r="J29" s="120" t="s">
        <v>18</v>
      </c>
      <c r="K29" s="121" t="s">
        <v>32</v>
      </c>
      <c r="L29" s="121" t="s">
        <v>33</v>
      </c>
      <c r="M29" s="88" t="s">
        <v>107</v>
      </c>
      <c r="N29" s="120" t="s">
        <v>34</v>
      </c>
      <c r="O29" s="736" t="s">
        <v>35</v>
      </c>
      <c r="P29" s="137" t="s">
        <v>36</v>
      </c>
      <c r="Q29" s="738" t="s">
        <v>20</v>
      </c>
      <c r="R29" s="739" t="s">
        <v>108</v>
      </c>
      <c r="S29" s="740"/>
      <c r="T29" s="741" t="s">
        <v>22</v>
      </c>
      <c r="U29" s="142" t="s">
        <v>74</v>
      </c>
      <c r="V29" s="123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745"/>
      <c r="H30" s="746"/>
      <c r="I30" s="10"/>
      <c r="J30" s="10"/>
      <c r="K30" s="10"/>
      <c r="L30" s="10"/>
      <c r="M30" s="10"/>
      <c r="N30" s="748"/>
      <c r="O30" s="887"/>
      <c r="P30" s="143"/>
      <c r="Q30" s="751"/>
      <c r="R30" s="752"/>
      <c r="S30" s="753"/>
      <c r="T30" s="754"/>
      <c r="U30" s="748"/>
      <c r="V30" s="758"/>
      <c r="W30" s="17"/>
    </row>
    <row r="31" spans="1:23" ht="16.5" customHeight="1">
      <c r="A31" s="5"/>
      <c r="B31" s="50"/>
      <c r="C31" s="991" t="s">
        <v>166</v>
      </c>
      <c r="D31" s="759"/>
      <c r="E31" s="760"/>
      <c r="F31" s="761"/>
      <c r="G31" s="762"/>
      <c r="H31" s="763">
        <f>F31*$F$21</f>
        <v>0</v>
      </c>
      <c r="I31" s="764"/>
      <c r="J31" s="764"/>
      <c r="K31" s="385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888">
        <f>IF(D31="","","NO")</f>
      </c>
      <c r="P31" s="767">
        <f>200*IF(O31="SI",1,0.1)*IF(M31="P",0.1,1)</f>
        <v>20</v>
      </c>
      <c r="Q31" s="768" t="str">
        <f>IF(M31="P",H31*P31*ROUND(L31/60,2),"--")</f>
        <v>--</v>
      </c>
      <c r="R31" s="769" t="str">
        <f>IF(AND(M31="F",N31="NO"),H31*P31,"--")</f>
        <v>--</v>
      </c>
      <c r="S31" s="770" t="str">
        <f>IF(M31="F",H31*P31*ROUND(L31/60,2),"--")</f>
        <v>--</v>
      </c>
      <c r="T31" s="526" t="str">
        <f>IF(M31="RF",H31*P31*ROUND(L31/60,2),"--")</f>
        <v>--</v>
      </c>
      <c r="U31" s="395">
        <f>IF(D31="","","SI")</f>
      </c>
      <c r="V31" s="396">
        <f>IF(D31="","",SUM(Q31:T31)*IF(U31="SI",1,2))</f>
      </c>
      <c r="W31" s="296"/>
    </row>
    <row r="32" spans="1:23" ht="16.5" customHeight="1">
      <c r="A32" s="5"/>
      <c r="B32" s="50"/>
      <c r="C32" s="991" t="s">
        <v>167</v>
      </c>
      <c r="D32" s="759"/>
      <c r="E32" s="760"/>
      <c r="F32" s="761"/>
      <c r="G32" s="762"/>
      <c r="H32" s="763">
        <f>F32*$F$21</f>
        <v>0</v>
      </c>
      <c r="I32" s="764"/>
      <c r="J32" s="764"/>
      <c r="K32" s="385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888">
        <f>IF(D32="","","NO")</f>
      </c>
      <c r="P32" s="767">
        <f>200*IF(O32="SI",1,0.1)*IF(M32="P",0.1,1)</f>
        <v>20</v>
      </c>
      <c r="Q32" s="768" t="str">
        <f>IF(M32="P",H32*P32*ROUND(L32/60,2),"--")</f>
        <v>--</v>
      </c>
      <c r="R32" s="769" t="str">
        <f>IF(AND(M32="F",N32="NO"),H32*P32,"--")</f>
        <v>--</v>
      </c>
      <c r="S32" s="770" t="str">
        <f>IF(M32="F",H32*P32*ROUND(L32/60,2),"--")</f>
        <v>--</v>
      </c>
      <c r="T32" s="526" t="str">
        <f>IF(M32="RF",H32*P32*ROUND(L32/60,2),"--")</f>
        <v>--</v>
      </c>
      <c r="U32" s="395">
        <f>IF(D32="","","SI")</f>
      </c>
      <c r="V32" s="396">
        <f>IF(D32="","",SUM(Q32:T32)*IF(U32="SI",1,2))</f>
      </c>
      <c r="W32" s="296"/>
    </row>
    <row r="33" spans="1:23" ht="16.5" customHeight="1" thickBot="1">
      <c r="A33" s="32"/>
      <c r="B33" s="50"/>
      <c r="C33" s="774"/>
      <c r="D33" s="775"/>
      <c r="E33" s="776"/>
      <c r="F33" s="777"/>
      <c r="G33" s="778"/>
      <c r="H33" s="779"/>
      <c r="I33" s="781"/>
      <c r="J33" s="782"/>
      <c r="K33" s="783"/>
      <c r="L33" s="784"/>
      <c r="M33" s="785"/>
      <c r="N33" s="9"/>
      <c r="O33" s="889"/>
      <c r="P33" s="788"/>
      <c r="Q33" s="789"/>
      <c r="R33" s="790"/>
      <c r="S33" s="791"/>
      <c r="T33" s="792"/>
      <c r="U33" s="796"/>
      <c r="V33" s="797"/>
      <c r="W33" s="296"/>
    </row>
    <row r="34" spans="1:23" ht="16.5" customHeight="1" thickBot="1" thickTop="1">
      <c r="A34" s="32"/>
      <c r="B34" s="50"/>
      <c r="C34" s="98"/>
      <c r="D34" s="236"/>
      <c r="E34" s="236"/>
      <c r="F34" s="564"/>
      <c r="G34" s="798"/>
      <c r="H34" s="799"/>
      <c r="I34" s="800"/>
      <c r="J34" s="801"/>
      <c r="K34" s="802"/>
      <c r="L34" s="803"/>
      <c r="M34" s="799"/>
      <c r="N34" s="804"/>
      <c r="O34" s="211"/>
      <c r="P34" s="805"/>
      <c r="Q34" s="806"/>
      <c r="R34" s="807"/>
      <c r="S34" s="807"/>
      <c r="T34" s="807"/>
      <c r="U34" s="213"/>
      <c r="V34" s="808">
        <f>SUM(V30:V33)</f>
        <v>0</v>
      </c>
      <c r="W34" s="296"/>
    </row>
    <row r="35" spans="1:23" ht="16.5" customHeight="1" thickBot="1" thickTop="1">
      <c r="A35" s="32"/>
      <c r="B35" s="50"/>
      <c r="C35" s="98"/>
      <c r="D35" s="236"/>
      <c r="E35" s="236"/>
      <c r="F35" s="564"/>
      <c r="G35" s="798"/>
      <c r="H35" s="799"/>
      <c r="I35" s="800"/>
      <c r="L35" s="803"/>
      <c r="M35" s="799"/>
      <c r="N35" s="809"/>
      <c r="O35" s="810"/>
      <c r="P35" s="805"/>
      <c r="Q35" s="806"/>
      <c r="R35" s="807"/>
      <c r="S35" s="807"/>
      <c r="T35" s="807"/>
      <c r="U35" s="213"/>
      <c r="V35" s="213"/>
      <c r="W35" s="296"/>
    </row>
    <row r="36" spans="2:23" s="5" customFormat="1" ht="33.75" customHeight="1" thickBot="1" thickTop="1">
      <c r="B36" s="50"/>
      <c r="C36" s="84" t="s">
        <v>13</v>
      </c>
      <c r="D36" s="86" t="s">
        <v>29</v>
      </c>
      <c r="E36" s="1089" t="s">
        <v>30</v>
      </c>
      <c r="F36" s="1091"/>
      <c r="G36" s="142" t="s">
        <v>14</v>
      </c>
      <c r="H36" s="137" t="s">
        <v>16</v>
      </c>
      <c r="I36" s="85" t="s">
        <v>17</v>
      </c>
      <c r="J36" s="509" t="s">
        <v>18</v>
      </c>
      <c r="K36" s="511" t="s">
        <v>38</v>
      </c>
      <c r="L36" s="511" t="s">
        <v>33</v>
      </c>
      <c r="M36" s="88" t="s">
        <v>19</v>
      </c>
      <c r="N36" s="1089" t="s">
        <v>34</v>
      </c>
      <c r="O36" s="1090"/>
      <c r="P36" s="145" t="s">
        <v>39</v>
      </c>
      <c r="Q36" s="512" t="s">
        <v>62</v>
      </c>
      <c r="R36" s="197" t="s">
        <v>37</v>
      </c>
      <c r="S36" s="513"/>
      <c r="T36" s="144" t="s">
        <v>22</v>
      </c>
      <c r="U36" s="142" t="s">
        <v>74</v>
      </c>
      <c r="V36" s="123" t="s">
        <v>24</v>
      </c>
      <c r="W36" s="6"/>
    </row>
    <row r="37" spans="2:23" s="5" customFormat="1" ht="16.5" customHeight="1" thickTop="1">
      <c r="B37" s="50"/>
      <c r="C37" s="7"/>
      <c r="D37" s="521"/>
      <c r="E37" s="1092"/>
      <c r="F37" s="1093"/>
      <c r="G37" s="521"/>
      <c r="H37" s="522"/>
      <c r="I37" s="521"/>
      <c r="J37" s="521"/>
      <c r="K37" s="521"/>
      <c r="L37" s="521"/>
      <c r="M37" s="521"/>
      <c r="N37" s="521"/>
      <c r="O37" s="890"/>
      <c r="P37" s="523"/>
      <c r="Q37" s="524"/>
      <c r="R37" s="209"/>
      <c r="S37" s="525"/>
      <c r="T37" s="526"/>
      <c r="U37" s="521"/>
      <c r="V37" s="527"/>
      <c r="W37" s="6"/>
    </row>
    <row r="38" spans="2:23" s="5" customFormat="1" ht="16.5" customHeight="1">
      <c r="B38" s="50"/>
      <c r="C38" s="991" t="s">
        <v>166</v>
      </c>
      <c r="D38" s="521" t="s">
        <v>263</v>
      </c>
      <c r="E38" s="586" t="s">
        <v>264</v>
      </c>
      <c r="F38" s="992"/>
      <c r="G38" s="891">
        <v>132</v>
      </c>
      <c r="H38" s="138">
        <f>IF(G38=500,$M$19,IF(G38=220,$M$20,$M$21))</f>
        <v>39.254</v>
      </c>
      <c r="I38" s="892">
        <v>39380.30416666667</v>
      </c>
      <c r="J38" s="893">
        <v>39380.34930555556</v>
      </c>
      <c r="K38" s="531">
        <f>IF(D38="","",(J38-I38)*24)</f>
        <v>1.0833333333721384</v>
      </c>
      <c r="L38" s="532">
        <f>IF(D38="","",ROUND((J38-I38)*24*60,0))</f>
        <v>65</v>
      </c>
      <c r="M38" s="685" t="s">
        <v>187</v>
      </c>
      <c r="N38" s="622" t="str">
        <f>IF(D38="","",IF(OR(M38="P",M38="RP"),"--","NO"))</f>
        <v>--</v>
      </c>
      <c r="O38" s="593"/>
      <c r="P38" s="894">
        <f>IF(G38=500,$N$19,IF(G38=220,$N$20,$N$21))</f>
        <v>40</v>
      </c>
      <c r="Q38" s="895">
        <f>IF(M38="P",H38*P38*ROUND(L38/60,2)*0.1,"--")</f>
        <v>169.57728</v>
      </c>
      <c r="R38" s="209" t="str">
        <f>IF(AND(M38="F",N38="NO"),H38*P38,"--")</f>
        <v>--</v>
      </c>
      <c r="S38" s="525" t="str">
        <f>IF(M38="F",H38*P38*ROUND(L38/60,2),"--")</f>
        <v>--</v>
      </c>
      <c r="T38" s="526" t="str">
        <f>IF(M38="RF",H38*P38*ROUND(L38/60,2),"--")</f>
        <v>--</v>
      </c>
      <c r="U38" s="896" t="str">
        <f>IF(D38="","","SI")</f>
        <v>SI</v>
      </c>
      <c r="V38" s="537">
        <f>IF(D38="","",SUM(Q38:T38)*IF(U38="SI",1,2))</f>
        <v>169.57728</v>
      </c>
      <c r="W38" s="6"/>
    </row>
    <row r="39" spans="2:23" s="5" customFormat="1" ht="16.5" customHeight="1">
      <c r="B39" s="50"/>
      <c r="C39" s="991" t="s">
        <v>167</v>
      </c>
      <c r="D39" s="521" t="s">
        <v>263</v>
      </c>
      <c r="E39" s="586" t="s">
        <v>265</v>
      </c>
      <c r="F39" s="992"/>
      <c r="G39" s="891">
        <v>132</v>
      </c>
      <c r="H39" s="138">
        <f aca="true" t="shared" si="0" ref="H39:H47">IF(G39=500,$M$19,IF(G39=220,$M$20,$M$21))</f>
        <v>39.254</v>
      </c>
      <c r="I39" s="892">
        <v>39380.30416666667</v>
      </c>
      <c r="J39" s="893">
        <v>39380.34930555556</v>
      </c>
      <c r="K39" s="531">
        <f aca="true" t="shared" si="1" ref="K39:K47">IF(D39="","",(J39-I39)*24)</f>
        <v>1.0833333333721384</v>
      </c>
      <c r="L39" s="532">
        <f aca="true" t="shared" si="2" ref="L39:L47">IF(D39="","",ROUND((J39-I39)*24*60,0))</f>
        <v>65</v>
      </c>
      <c r="M39" s="685" t="s">
        <v>187</v>
      </c>
      <c r="N39" s="622" t="str">
        <f aca="true" t="shared" si="3" ref="N39:N47">IF(D39="","",IF(OR(M39="P",M39="RP"),"--","NO"))</f>
        <v>--</v>
      </c>
      <c r="O39" s="593"/>
      <c r="P39" s="894">
        <f aca="true" t="shared" si="4" ref="P39:P47">IF(G39=500,$N$19,IF(G39=220,$N$20,$N$21))</f>
        <v>40</v>
      </c>
      <c r="Q39" s="895">
        <f aca="true" t="shared" si="5" ref="Q39:Q47">IF(M39="P",H39*P39*ROUND(L39/60,2)*0.1,"--")</f>
        <v>169.57728</v>
      </c>
      <c r="R39" s="209" t="str">
        <f aca="true" t="shared" si="6" ref="R39:R47">IF(AND(M39="F",N39="NO"),H39*P39,"--")</f>
        <v>--</v>
      </c>
      <c r="S39" s="525" t="str">
        <f aca="true" t="shared" si="7" ref="S39:S47">IF(M39="F",H39*P39*ROUND(L39/60,2),"--")</f>
        <v>--</v>
      </c>
      <c r="T39" s="526" t="str">
        <f aca="true" t="shared" si="8" ref="T39:T47">IF(M39="RF",H39*P39*ROUND(L39/60,2),"--")</f>
        <v>--</v>
      </c>
      <c r="U39" s="896" t="str">
        <f aca="true" t="shared" si="9" ref="U39:U47">IF(D39="","","SI")</f>
        <v>SI</v>
      </c>
      <c r="V39" s="537">
        <f aca="true" t="shared" si="10" ref="V39:V47">IF(D39="","",SUM(Q39:T39)*IF(U39="SI",1,2))</f>
        <v>169.57728</v>
      </c>
      <c r="W39" s="6"/>
    </row>
    <row r="40" spans="2:23" s="5" customFormat="1" ht="16.5" customHeight="1">
      <c r="B40" s="50"/>
      <c r="C40" s="991" t="s">
        <v>168</v>
      </c>
      <c r="D40" s="521" t="s">
        <v>263</v>
      </c>
      <c r="E40" s="586" t="s">
        <v>264</v>
      </c>
      <c r="F40" s="992"/>
      <c r="G40" s="891">
        <v>132</v>
      </c>
      <c r="H40" s="138">
        <f t="shared" si="0"/>
        <v>39.254</v>
      </c>
      <c r="I40" s="892">
        <v>39380.62291666667</v>
      </c>
      <c r="J40" s="893">
        <v>39380.7</v>
      </c>
      <c r="K40" s="531">
        <f t="shared" si="1"/>
        <v>1.8499999999185093</v>
      </c>
      <c r="L40" s="532">
        <f t="shared" si="2"/>
        <v>111</v>
      </c>
      <c r="M40" s="685" t="s">
        <v>187</v>
      </c>
      <c r="N40" s="622" t="str">
        <f t="shared" si="3"/>
        <v>--</v>
      </c>
      <c r="O40" s="593"/>
      <c r="P40" s="894">
        <f t="shared" si="4"/>
        <v>40</v>
      </c>
      <c r="Q40" s="895">
        <f t="shared" si="5"/>
        <v>290.4796</v>
      </c>
      <c r="R40" s="209" t="str">
        <f t="shared" si="6"/>
        <v>--</v>
      </c>
      <c r="S40" s="525" t="str">
        <f t="shared" si="7"/>
        <v>--</v>
      </c>
      <c r="T40" s="526" t="str">
        <f t="shared" si="8"/>
        <v>--</v>
      </c>
      <c r="U40" s="896" t="str">
        <f t="shared" si="9"/>
        <v>SI</v>
      </c>
      <c r="V40" s="537">
        <f t="shared" si="10"/>
        <v>290.4796</v>
      </c>
      <c r="W40" s="6"/>
    </row>
    <row r="41" spans="2:23" s="5" customFormat="1" ht="16.5" customHeight="1">
      <c r="B41" s="50"/>
      <c r="C41" s="991" t="s">
        <v>169</v>
      </c>
      <c r="D41" s="521" t="s">
        <v>263</v>
      </c>
      <c r="E41" s="586" t="s">
        <v>265</v>
      </c>
      <c r="F41" s="992"/>
      <c r="G41" s="891">
        <v>132</v>
      </c>
      <c r="H41" s="138">
        <f t="shared" si="0"/>
        <v>39.254</v>
      </c>
      <c r="I41" s="892">
        <v>39380.62569444445</v>
      </c>
      <c r="J41" s="893">
        <v>39380.7</v>
      </c>
      <c r="K41" s="531">
        <f t="shared" si="1"/>
        <v>1.783333333209157</v>
      </c>
      <c r="L41" s="532">
        <f t="shared" si="2"/>
        <v>107</v>
      </c>
      <c r="M41" s="685" t="s">
        <v>187</v>
      </c>
      <c r="N41" s="622" t="str">
        <f t="shared" si="3"/>
        <v>--</v>
      </c>
      <c r="O41" s="593"/>
      <c r="P41" s="894">
        <f t="shared" si="4"/>
        <v>40</v>
      </c>
      <c r="Q41" s="895">
        <f t="shared" si="5"/>
        <v>279.48848</v>
      </c>
      <c r="R41" s="209" t="str">
        <f t="shared" si="6"/>
        <v>--</v>
      </c>
      <c r="S41" s="525" t="str">
        <f t="shared" si="7"/>
        <v>--</v>
      </c>
      <c r="T41" s="526" t="str">
        <f t="shared" si="8"/>
        <v>--</v>
      </c>
      <c r="U41" s="896" t="str">
        <f t="shared" si="9"/>
        <v>SI</v>
      </c>
      <c r="V41" s="537">
        <f t="shared" si="10"/>
        <v>279.48848</v>
      </c>
      <c r="W41" s="6"/>
    </row>
    <row r="42" spans="2:23" s="5" customFormat="1" ht="16.5" customHeight="1">
      <c r="B42" s="50"/>
      <c r="C42" s="991" t="s">
        <v>170</v>
      </c>
      <c r="D42" s="521" t="s">
        <v>263</v>
      </c>
      <c r="E42" s="586" t="s">
        <v>264</v>
      </c>
      <c r="F42" s="992"/>
      <c r="G42" s="891">
        <v>132</v>
      </c>
      <c r="H42" s="138">
        <f t="shared" si="0"/>
        <v>39.254</v>
      </c>
      <c r="I42" s="892">
        <v>39381.3125</v>
      </c>
      <c r="J42" s="893">
        <v>39381.364583333336</v>
      </c>
      <c r="K42" s="531">
        <f t="shared" si="1"/>
        <v>1.2500000000582077</v>
      </c>
      <c r="L42" s="532">
        <f t="shared" si="2"/>
        <v>75</v>
      </c>
      <c r="M42" s="685" t="s">
        <v>187</v>
      </c>
      <c r="N42" s="622" t="str">
        <f t="shared" si="3"/>
        <v>--</v>
      </c>
      <c r="O42" s="593"/>
      <c r="P42" s="894">
        <f t="shared" si="4"/>
        <v>40</v>
      </c>
      <c r="Q42" s="895">
        <f t="shared" si="5"/>
        <v>196.26999999999998</v>
      </c>
      <c r="R42" s="209" t="str">
        <f t="shared" si="6"/>
        <v>--</v>
      </c>
      <c r="S42" s="525" t="str">
        <f t="shared" si="7"/>
        <v>--</v>
      </c>
      <c r="T42" s="526" t="str">
        <f t="shared" si="8"/>
        <v>--</v>
      </c>
      <c r="U42" s="896" t="str">
        <f t="shared" si="9"/>
        <v>SI</v>
      </c>
      <c r="V42" s="537">
        <f t="shared" si="10"/>
        <v>196.26999999999998</v>
      </c>
      <c r="W42" s="6"/>
    </row>
    <row r="43" spans="2:23" s="5" customFormat="1" ht="16.5" customHeight="1">
      <c r="B43" s="50"/>
      <c r="C43" s="991" t="s">
        <v>171</v>
      </c>
      <c r="D43" s="521" t="s">
        <v>263</v>
      </c>
      <c r="E43" s="586" t="s">
        <v>265</v>
      </c>
      <c r="F43" s="992"/>
      <c r="G43" s="891">
        <v>132</v>
      </c>
      <c r="H43" s="138">
        <f t="shared" si="0"/>
        <v>39.254</v>
      </c>
      <c r="I43" s="892">
        <v>39381.31319444445</v>
      </c>
      <c r="J43" s="893">
        <v>39381.364583333336</v>
      </c>
      <c r="K43" s="531">
        <f t="shared" si="1"/>
        <v>1.2333333333372138</v>
      </c>
      <c r="L43" s="532">
        <f t="shared" si="2"/>
        <v>74</v>
      </c>
      <c r="M43" s="685" t="s">
        <v>187</v>
      </c>
      <c r="N43" s="622" t="str">
        <f t="shared" si="3"/>
        <v>--</v>
      </c>
      <c r="O43" s="593"/>
      <c r="P43" s="894">
        <f t="shared" si="4"/>
        <v>40</v>
      </c>
      <c r="Q43" s="895">
        <f t="shared" si="5"/>
        <v>193.12968</v>
      </c>
      <c r="R43" s="209" t="str">
        <f t="shared" si="6"/>
        <v>--</v>
      </c>
      <c r="S43" s="525" t="str">
        <f t="shared" si="7"/>
        <v>--</v>
      </c>
      <c r="T43" s="526" t="str">
        <f t="shared" si="8"/>
        <v>--</v>
      </c>
      <c r="U43" s="896" t="str">
        <f t="shared" si="9"/>
        <v>SI</v>
      </c>
      <c r="V43" s="537">
        <f t="shared" si="10"/>
        <v>193.12968</v>
      </c>
      <c r="W43" s="6"/>
    </row>
    <row r="44" spans="2:23" s="5" customFormat="1" ht="16.5" customHeight="1">
      <c r="B44" s="50"/>
      <c r="C44" s="991" t="s">
        <v>172</v>
      </c>
      <c r="D44" s="521" t="s">
        <v>263</v>
      </c>
      <c r="E44" s="586" t="s">
        <v>264</v>
      </c>
      <c r="F44" s="992"/>
      <c r="G44" s="891">
        <v>132</v>
      </c>
      <c r="H44" s="138">
        <f t="shared" si="0"/>
        <v>39.254</v>
      </c>
      <c r="I44" s="892">
        <v>39382.29305555556</v>
      </c>
      <c r="J44" s="893">
        <v>39382.34722222222</v>
      </c>
      <c r="K44" s="531">
        <f t="shared" si="1"/>
        <v>1.2999999998719431</v>
      </c>
      <c r="L44" s="532">
        <f t="shared" si="2"/>
        <v>78</v>
      </c>
      <c r="M44" s="685" t="s">
        <v>187</v>
      </c>
      <c r="N44" s="622" t="str">
        <f t="shared" si="3"/>
        <v>--</v>
      </c>
      <c r="O44" s="593"/>
      <c r="P44" s="894">
        <f t="shared" si="4"/>
        <v>40</v>
      </c>
      <c r="Q44" s="895">
        <f t="shared" si="5"/>
        <v>204.1208</v>
      </c>
      <c r="R44" s="209" t="str">
        <f t="shared" si="6"/>
        <v>--</v>
      </c>
      <c r="S44" s="525" t="str">
        <f t="shared" si="7"/>
        <v>--</v>
      </c>
      <c r="T44" s="526" t="str">
        <f t="shared" si="8"/>
        <v>--</v>
      </c>
      <c r="U44" s="896" t="str">
        <f t="shared" si="9"/>
        <v>SI</v>
      </c>
      <c r="V44" s="537">
        <f t="shared" si="10"/>
        <v>204.1208</v>
      </c>
      <c r="W44" s="6"/>
    </row>
    <row r="45" spans="2:23" s="5" customFormat="1" ht="16.5" customHeight="1">
      <c r="B45" s="50"/>
      <c r="C45" s="991" t="s">
        <v>173</v>
      </c>
      <c r="D45" s="521" t="s">
        <v>263</v>
      </c>
      <c r="E45" s="586" t="s">
        <v>265</v>
      </c>
      <c r="F45" s="992"/>
      <c r="G45" s="891">
        <v>132</v>
      </c>
      <c r="H45" s="138">
        <f t="shared" si="0"/>
        <v>39.254</v>
      </c>
      <c r="I45" s="892">
        <v>39382.29305555556</v>
      </c>
      <c r="J45" s="893">
        <v>39382.34722222222</v>
      </c>
      <c r="K45" s="531">
        <f t="shared" si="1"/>
        <v>1.2999999998719431</v>
      </c>
      <c r="L45" s="532">
        <f t="shared" si="2"/>
        <v>78</v>
      </c>
      <c r="M45" s="685" t="s">
        <v>187</v>
      </c>
      <c r="N45" s="622" t="str">
        <f t="shared" si="3"/>
        <v>--</v>
      </c>
      <c r="O45" s="593"/>
      <c r="P45" s="894">
        <f t="shared" si="4"/>
        <v>40</v>
      </c>
      <c r="Q45" s="895">
        <f t="shared" si="5"/>
        <v>204.1208</v>
      </c>
      <c r="R45" s="209" t="str">
        <f t="shared" si="6"/>
        <v>--</v>
      </c>
      <c r="S45" s="525" t="str">
        <f t="shared" si="7"/>
        <v>--</v>
      </c>
      <c r="T45" s="526" t="str">
        <f t="shared" si="8"/>
        <v>--</v>
      </c>
      <c r="U45" s="896" t="str">
        <f t="shared" si="9"/>
        <v>SI</v>
      </c>
      <c r="V45" s="537">
        <f t="shared" si="10"/>
        <v>204.1208</v>
      </c>
      <c r="W45" s="6"/>
    </row>
    <row r="46" spans="2:23" s="5" customFormat="1" ht="16.5" customHeight="1">
      <c r="B46" s="50"/>
      <c r="C46" s="991"/>
      <c r="D46" s="521"/>
      <c r="E46" s="586"/>
      <c r="F46" s="992"/>
      <c r="G46" s="891"/>
      <c r="H46" s="138">
        <f t="shared" si="0"/>
        <v>39.254</v>
      </c>
      <c r="I46" s="892"/>
      <c r="J46" s="893"/>
      <c r="K46" s="531">
        <f t="shared" si="1"/>
      </c>
      <c r="L46" s="532">
        <f t="shared" si="2"/>
      </c>
      <c r="M46" s="685"/>
      <c r="N46" s="622">
        <f t="shared" si="3"/>
      </c>
      <c r="O46" s="593"/>
      <c r="P46" s="894">
        <f t="shared" si="4"/>
        <v>40</v>
      </c>
      <c r="Q46" s="895" t="str">
        <f t="shared" si="5"/>
        <v>--</v>
      </c>
      <c r="R46" s="209" t="str">
        <f t="shared" si="6"/>
        <v>--</v>
      </c>
      <c r="S46" s="525" t="str">
        <f t="shared" si="7"/>
        <v>--</v>
      </c>
      <c r="T46" s="526" t="str">
        <f t="shared" si="8"/>
        <v>--</v>
      </c>
      <c r="U46" s="896">
        <f t="shared" si="9"/>
      </c>
      <c r="V46" s="537">
        <f t="shared" si="10"/>
      </c>
      <c r="W46" s="6"/>
    </row>
    <row r="47" spans="2:23" s="5" customFormat="1" ht="16.5" customHeight="1">
      <c r="B47" s="50"/>
      <c r="C47" s="991"/>
      <c r="D47" s="521"/>
      <c r="E47" s="586"/>
      <c r="F47" s="992"/>
      <c r="G47" s="891"/>
      <c r="H47" s="138">
        <f t="shared" si="0"/>
        <v>39.254</v>
      </c>
      <c r="I47" s="892"/>
      <c r="J47" s="893"/>
      <c r="K47" s="531">
        <f t="shared" si="1"/>
      </c>
      <c r="L47" s="532">
        <f t="shared" si="2"/>
      </c>
      <c r="M47" s="685"/>
      <c r="N47" s="622">
        <f t="shared" si="3"/>
      </c>
      <c r="O47" s="593"/>
      <c r="P47" s="894">
        <f t="shared" si="4"/>
        <v>40</v>
      </c>
      <c r="Q47" s="895" t="str">
        <f t="shared" si="5"/>
        <v>--</v>
      </c>
      <c r="R47" s="209" t="str">
        <f t="shared" si="6"/>
        <v>--</v>
      </c>
      <c r="S47" s="525" t="str">
        <f t="shared" si="7"/>
        <v>--</v>
      </c>
      <c r="T47" s="526" t="str">
        <f t="shared" si="8"/>
        <v>--</v>
      </c>
      <c r="U47" s="896">
        <f t="shared" si="9"/>
      </c>
      <c r="V47" s="537">
        <f t="shared" si="10"/>
      </c>
      <c r="W47" s="6"/>
    </row>
    <row r="48" spans="2:28" s="5" customFormat="1" ht="16.5" customHeight="1" thickBot="1">
      <c r="B48" s="50"/>
      <c r="C48" s="897"/>
      <c r="D48" s="898"/>
      <c r="E48" s="1087"/>
      <c r="F48" s="1088"/>
      <c r="G48" s="899"/>
      <c r="H48" s="900"/>
      <c r="I48" s="901"/>
      <c r="J48" s="902"/>
      <c r="K48" s="903"/>
      <c r="L48" s="904"/>
      <c r="M48" s="905"/>
      <c r="N48" s="906"/>
      <c r="O48" s="905"/>
      <c r="P48" s="907"/>
      <c r="Q48" s="908"/>
      <c r="R48" s="909"/>
      <c r="S48" s="910"/>
      <c r="T48" s="911"/>
      <c r="U48" s="912"/>
      <c r="V48" s="913"/>
      <c r="W48" s="6"/>
      <c r="X48"/>
      <c r="Y48"/>
      <c r="Z48"/>
      <c r="AA48"/>
      <c r="AB48"/>
    </row>
    <row r="49" spans="1:23" ht="17.25" thickBot="1" thickTop="1">
      <c r="A49" s="32"/>
      <c r="B49" s="635"/>
      <c r="C49" s="638"/>
      <c r="D49" s="812"/>
      <c r="E49" s="813"/>
      <c r="F49" s="814"/>
      <c r="G49" s="815"/>
      <c r="H49" s="815"/>
      <c r="I49" s="813"/>
      <c r="J49" s="624"/>
      <c r="K49" s="624"/>
      <c r="L49" s="813"/>
      <c r="M49" s="813"/>
      <c r="N49" s="813"/>
      <c r="O49" s="816"/>
      <c r="P49" s="813"/>
      <c r="Q49" s="813"/>
      <c r="R49" s="817"/>
      <c r="S49" s="818"/>
      <c r="T49" s="818"/>
      <c r="U49" s="819"/>
      <c r="V49" s="808">
        <f>SUM(V38:V48)</f>
        <v>1706.7639199999999</v>
      </c>
      <c r="W49" s="820"/>
    </row>
    <row r="50" spans="1:23" ht="17.25" thickBot="1" thickTop="1">
      <c r="A50" s="32"/>
      <c r="B50" s="635"/>
      <c r="C50" s="638"/>
      <c r="D50" s="812"/>
      <c r="E50" s="813"/>
      <c r="F50" s="814"/>
      <c r="G50" s="815"/>
      <c r="H50" s="815"/>
      <c r="I50" s="648" t="s">
        <v>44</v>
      </c>
      <c r="J50" s="883">
        <f>+V49+V34</f>
        <v>1706.7639199999999</v>
      </c>
      <c r="L50" s="813"/>
      <c r="M50" s="813"/>
      <c r="N50" s="813"/>
      <c r="O50" s="816"/>
      <c r="P50" s="813"/>
      <c r="Q50" s="813"/>
      <c r="R50" s="817"/>
      <c r="S50" s="818"/>
      <c r="T50" s="818"/>
      <c r="U50" s="819"/>
      <c r="W50" s="820"/>
    </row>
    <row r="51" spans="1:23" ht="13.5" customHeight="1" thickTop="1">
      <c r="A51" s="32"/>
      <c r="B51" s="635"/>
      <c r="C51" s="638"/>
      <c r="D51" s="812"/>
      <c r="E51" s="813"/>
      <c r="F51" s="814"/>
      <c r="G51" s="815"/>
      <c r="H51" s="815"/>
      <c r="I51" s="813"/>
      <c r="J51" s="624"/>
      <c r="K51" s="624"/>
      <c r="L51" s="813"/>
      <c r="M51" s="813"/>
      <c r="N51" s="813"/>
      <c r="O51" s="816"/>
      <c r="P51" s="813"/>
      <c r="Q51" s="813"/>
      <c r="R51" s="817"/>
      <c r="S51" s="818"/>
      <c r="T51" s="818"/>
      <c r="U51" s="819"/>
      <c r="W51" s="820"/>
    </row>
    <row r="52" spans="1:23" ht="16.5" customHeight="1">
      <c r="A52" s="32"/>
      <c r="B52" s="635"/>
      <c r="C52" s="821" t="s">
        <v>109</v>
      </c>
      <c r="D52" s="822" t="s">
        <v>154</v>
      </c>
      <c r="E52" s="813"/>
      <c r="F52" s="814"/>
      <c r="G52" s="815"/>
      <c r="H52" s="815"/>
      <c r="I52" s="813"/>
      <c r="J52" s="624"/>
      <c r="K52" s="624"/>
      <c r="L52" s="813"/>
      <c r="M52" s="813"/>
      <c r="N52" s="813"/>
      <c r="O52" s="816"/>
      <c r="P52" s="813"/>
      <c r="Q52" s="813"/>
      <c r="R52" s="817"/>
      <c r="S52" s="818"/>
      <c r="T52" s="818"/>
      <c r="U52" s="819"/>
      <c r="W52" s="820"/>
    </row>
    <row r="53" spans="1:23" ht="16.5" customHeight="1">
      <c r="A53" s="32"/>
      <c r="B53" s="635"/>
      <c r="C53" s="821"/>
      <c r="D53" s="812"/>
      <c r="E53" s="813"/>
      <c r="F53" s="814"/>
      <c r="G53" s="815"/>
      <c r="H53" s="815"/>
      <c r="I53" s="813"/>
      <c r="J53" s="624"/>
      <c r="K53" s="624"/>
      <c r="L53" s="813"/>
      <c r="M53" s="813"/>
      <c r="N53" s="813"/>
      <c r="O53" s="816"/>
      <c r="P53" s="813"/>
      <c r="Q53" s="813"/>
      <c r="R53" s="813"/>
      <c r="S53" s="817"/>
      <c r="T53" s="818"/>
      <c r="W53" s="820"/>
    </row>
    <row r="54" spans="2:23" s="32" customFormat="1" ht="16.5" customHeight="1">
      <c r="B54" s="635"/>
      <c r="C54" s="638"/>
      <c r="D54" s="823" t="s">
        <v>123</v>
      </c>
      <c r="E54" s="720" t="s">
        <v>124</v>
      </c>
      <c r="F54" s="720" t="s">
        <v>45</v>
      </c>
      <c r="G54" s="824" t="s">
        <v>159</v>
      </c>
      <c r="H54"/>
      <c r="I54" s="150"/>
      <c r="J54" s="835" t="s">
        <v>51</v>
      </c>
      <c r="K54" s="835"/>
      <c r="L54" s="720" t="s">
        <v>45</v>
      </c>
      <c r="M54" t="s">
        <v>137</v>
      </c>
      <c r="O54" s="824" t="s">
        <v>161</v>
      </c>
      <c r="P54"/>
      <c r="Q54" s="828"/>
      <c r="R54" s="828"/>
      <c r="S54" s="33"/>
      <c r="T54"/>
      <c r="U54"/>
      <c r="V54"/>
      <c r="W54" s="820"/>
    </row>
    <row r="55" spans="2:23" s="32" customFormat="1" ht="16.5" customHeight="1">
      <c r="B55" s="635"/>
      <c r="C55" s="638"/>
      <c r="D55" s="155" t="s">
        <v>148</v>
      </c>
      <c r="E55" s="155">
        <v>300</v>
      </c>
      <c r="F55" s="916" t="s">
        <v>149</v>
      </c>
      <c r="G55" s="1094">
        <f>+E55*$F$20*$F$21</f>
        <v>54684</v>
      </c>
      <c r="H55" s="1094"/>
      <c r="I55" s="1094"/>
      <c r="J55" s="915" t="s">
        <v>150</v>
      </c>
      <c r="K55" s="915"/>
      <c r="L55" s="155">
        <v>132</v>
      </c>
      <c r="M55" s="155">
        <v>2</v>
      </c>
      <c r="O55" s="1094">
        <f>+M55*$F$20*$M$21</f>
        <v>58409.952</v>
      </c>
      <c r="P55" s="1094"/>
      <c r="Q55" s="1094"/>
      <c r="R55" s="1094"/>
      <c r="S55" s="1094"/>
      <c r="T55" s="1094"/>
      <c r="U55" s="1094"/>
      <c r="V55"/>
      <c r="W55" s="820"/>
    </row>
    <row r="56" spans="1:23" ht="16.5" customHeight="1">
      <c r="A56" s="32"/>
      <c r="B56" s="635"/>
      <c r="C56" s="638"/>
      <c r="D56" s="153"/>
      <c r="E56" s="154"/>
      <c r="F56" s="914"/>
      <c r="G56" s="1086">
        <f>+G55</f>
        <v>54684</v>
      </c>
      <c r="H56" s="1086"/>
      <c r="I56" s="1086"/>
      <c r="M56" s="155"/>
      <c r="O56" s="1086">
        <f>SUM(O55:P55)</f>
        <v>58409.952</v>
      </c>
      <c r="P56" s="1086"/>
      <c r="Q56" s="1086"/>
      <c r="R56" s="1086"/>
      <c r="S56" s="1086"/>
      <c r="T56" s="1086"/>
      <c r="U56" s="1086"/>
      <c r="W56" s="820"/>
    </row>
    <row r="57" spans="1:23" ht="16.5" customHeight="1">
      <c r="A57" s="32"/>
      <c r="B57" s="635"/>
      <c r="C57" s="638"/>
      <c r="D57" s="153"/>
      <c r="E57" s="154"/>
      <c r="F57" s="914"/>
      <c r="M57" s="155"/>
      <c r="N57" s="150"/>
      <c r="O57" s="150"/>
      <c r="P57" s="864"/>
      <c r="Q57" s="864"/>
      <c r="R57" s="864"/>
      <c r="S57" s="864"/>
      <c r="W57" s="820"/>
    </row>
    <row r="58" spans="1:23" ht="16.5" customHeight="1" thickBot="1">
      <c r="A58" s="32"/>
      <c r="B58" s="635"/>
      <c r="C58" s="638"/>
      <c r="D58" s="823"/>
      <c r="E58" s="836"/>
      <c r="F58" s="836"/>
      <c r="G58" s="720"/>
      <c r="I58" s="826"/>
      <c r="J58" s="824"/>
      <c r="L58" s="825"/>
      <c r="M58" s="826"/>
      <c r="N58" s="827"/>
      <c r="O58" s="828"/>
      <c r="P58" s="828"/>
      <c r="Q58" s="828"/>
      <c r="R58" s="828"/>
      <c r="S58" s="828"/>
      <c r="W58" s="820"/>
    </row>
    <row r="59" spans="1:23" ht="16.5" customHeight="1" thickBot="1" thickTop="1">
      <c r="A59" s="32"/>
      <c r="B59" s="635"/>
      <c r="C59" s="638"/>
      <c r="D59" s="720"/>
      <c r="E59" s="867"/>
      <c r="F59" s="867"/>
      <c r="G59" s="830"/>
      <c r="H59" s="188"/>
      <c r="I59" s="648" t="s">
        <v>46</v>
      </c>
      <c r="J59" s="883">
        <f>+G56+O56</f>
        <v>113093.95199999999</v>
      </c>
      <c r="L59" s="832"/>
      <c r="M59" s="188"/>
      <c r="N59" s="833"/>
      <c r="O59" s="864"/>
      <c r="P59" s="864"/>
      <c r="Q59" s="864"/>
      <c r="R59" s="864"/>
      <c r="S59" s="864"/>
      <c r="W59" s="820"/>
    </row>
    <row r="60" spans="1:23" ht="16.5" customHeight="1" thickTop="1">
      <c r="A60" s="32"/>
      <c r="B60" s="635"/>
      <c r="C60" s="638"/>
      <c r="D60" s="624"/>
      <c r="E60" s="643"/>
      <c r="F60" s="720"/>
      <c r="G60" s="720"/>
      <c r="H60" s="721"/>
      <c r="J60" s="720"/>
      <c r="L60" s="838"/>
      <c r="M60" s="827"/>
      <c r="N60" s="827"/>
      <c r="O60" s="828"/>
      <c r="P60" s="828"/>
      <c r="Q60" s="828"/>
      <c r="R60" s="828"/>
      <c r="S60" s="828"/>
      <c r="W60" s="820"/>
    </row>
    <row r="61" spans="2:23" ht="16.5" customHeight="1">
      <c r="B61" s="635"/>
      <c r="C61" s="821" t="s">
        <v>111</v>
      </c>
      <c r="D61" s="839" t="s">
        <v>112</v>
      </c>
      <c r="E61" s="720"/>
      <c r="F61" s="840"/>
      <c r="G61" s="719"/>
      <c r="H61" s="624"/>
      <c r="I61" s="624"/>
      <c r="J61" s="624"/>
      <c r="K61" s="720"/>
      <c r="L61" s="720"/>
      <c r="M61" s="624"/>
      <c r="N61" s="720"/>
      <c r="O61" s="624"/>
      <c r="P61" s="624"/>
      <c r="Q61" s="624"/>
      <c r="R61" s="624"/>
      <c r="S61" s="624"/>
      <c r="T61" s="624"/>
      <c r="U61" s="624"/>
      <c r="W61" s="820"/>
    </row>
    <row r="62" spans="2:23" s="32" customFormat="1" ht="16.5" customHeight="1">
      <c r="B62" s="635"/>
      <c r="C62" s="638"/>
      <c r="D62" s="823" t="s">
        <v>113</v>
      </c>
      <c r="E62" s="841">
        <f>10*J50*J25/J59</f>
        <v>682.7055679999999</v>
      </c>
      <c r="G62" s="719"/>
      <c r="L62" s="720"/>
      <c r="N62" s="720"/>
      <c r="O62" s="721"/>
      <c r="V62"/>
      <c r="W62" s="820"/>
    </row>
    <row r="63" spans="2:23" s="32" customFormat="1" ht="12.75" customHeight="1">
      <c r="B63" s="635"/>
      <c r="C63" s="638"/>
      <c r="E63" s="842"/>
      <c r="F63" s="647"/>
      <c r="G63" s="719"/>
      <c r="J63" s="719"/>
      <c r="K63" s="734"/>
      <c r="L63" s="720"/>
      <c r="M63" s="720"/>
      <c r="N63" s="720"/>
      <c r="O63" s="721"/>
      <c r="P63" s="720"/>
      <c r="Q63" s="720"/>
      <c r="R63" s="733"/>
      <c r="S63" s="733"/>
      <c r="T63" s="733"/>
      <c r="U63" s="843"/>
      <c r="V63"/>
      <c r="W63" s="820"/>
    </row>
    <row r="64" spans="2:23" ht="16.5" customHeight="1">
      <c r="B64" s="635"/>
      <c r="C64" s="638"/>
      <c r="D64" s="844" t="s">
        <v>151</v>
      </c>
      <c r="E64" s="845"/>
      <c r="F64" s="647"/>
      <c r="G64" s="719"/>
      <c r="H64" s="624"/>
      <c r="I64" s="624"/>
      <c r="N64" s="720"/>
      <c r="O64" s="721"/>
      <c r="P64" s="720"/>
      <c r="Q64" s="720"/>
      <c r="R64" s="826"/>
      <c r="S64" s="826"/>
      <c r="T64" s="826"/>
      <c r="U64" s="827"/>
      <c r="W64" s="820"/>
    </row>
    <row r="65" spans="2:23" ht="13.5" customHeight="1" thickBot="1">
      <c r="B65" s="635"/>
      <c r="C65" s="638"/>
      <c r="D65" s="844"/>
      <c r="E65" s="845"/>
      <c r="F65" s="647"/>
      <c r="G65" s="719"/>
      <c r="H65" s="624"/>
      <c r="I65" s="624"/>
      <c r="N65" s="720"/>
      <c r="O65" s="721"/>
      <c r="P65" s="720"/>
      <c r="Q65" s="720"/>
      <c r="R65" s="826"/>
      <c r="S65" s="826"/>
      <c r="T65" s="826"/>
      <c r="U65" s="827"/>
      <c r="W65" s="820"/>
    </row>
    <row r="66" spans="2:23" s="846" customFormat="1" ht="21" thickBot="1" thickTop="1">
      <c r="B66" s="847"/>
      <c r="C66" s="848"/>
      <c r="D66" s="849"/>
      <c r="E66" s="850"/>
      <c r="F66" s="851"/>
      <c r="G66" s="852"/>
      <c r="I66" s="853" t="s">
        <v>114</v>
      </c>
      <c r="J66" s="854">
        <f>IF(E62&gt;3*J25,J25*3,E62)</f>
        <v>682.7055679999999</v>
      </c>
      <c r="M66" s="855"/>
      <c r="N66" s="855"/>
      <c r="O66" s="856"/>
      <c r="P66" s="855"/>
      <c r="Q66" s="855"/>
      <c r="R66" s="857"/>
      <c r="S66" s="857"/>
      <c r="T66" s="857"/>
      <c r="U66" s="858"/>
      <c r="V66"/>
      <c r="W66" s="859"/>
    </row>
    <row r="67" spans="2:23" ht="16.5" customHeight="1" thickBot="1" thickTop="1">
      <c r="B67" s="5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217"/>
      <c r="W67" s="860"/>
    </row>
    <row r="68" spans="2:23" ht="16.5" customHeight="1" thickTop="1">
      <c r="B68" s="1"/>
      <c r="C68" s="73"/>
      <c r="W68" s="1"/>
    </row>
  </sheetData>
  <sheetProtection password="CC12"/>
  <mergeCells count="8">
    <mergeCell ref="E36:F36"/>
    <mergeCell ref="E37:F37"/>
    <mergeCell ref="O56:U56"/>
    <mergeCell ref="G56:I56"/>
    <mergeCell ref="G55:I55"/>
    <mergeCell ref="O55:U55"/>
    <mergeCell ref="N36:O36"/>
    <mergeCell ref="E48:F4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GM114"/>
  <sheetViews>
    <sheetView zoomScale="75" zoomScaleNormal="75" workbookViewId="0" topLeftCell="E97">
      <selection activeCell="N114" sqref="N114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21" width="8.7109375" style="5" customWidth="1"/>
    <col min="22" max="22" width="10.7109375" style="5" customWidth="1"/>
    <col min="23" max="16384" width="11.421875" style="5" customWidth="1"/>
  </cols>
  <sheetData>
    <row r="1" spans="22:23" ht="45" customHeight="1">
      <c r="V1" s="997"/>
      <c r="W1" s="998"/>
    </row>
    <row r="2" spans="2:23" s="18" customFormat="1" ht="26.25">
      <c r="B2" s="552" t="str">
        <f>'TOT-1007'!B2</f>
        <v>ANEXO V al Memorandum D.T.E.E. N° 1955 /2009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999"/>
    </row>
    <row r="3" spans="1:23" s="25" customFormat="1" ht="11.25">
      <c r="A3" s="23" t="s">
        <v>2</v>
      </c>
      <c r="B3" s="126"/>
      <c r="V3" s="1000"/>
      <c r="W3" s="1000"/>
    </row>
    <row r="4" spans="1:23" s="25" customFormat="1" ht="11.25">
      <c r="A4" s="23" t="s">
        <v>3</v>
      </c>
      <c r="B4" s="126"/>
      <c r="V4" s="126"/>
      <c r="W4" s="1000"/>
    </row>
    <row r="5" spans="22:23" ht="24" customHeight="1">
      <c r="V5" s="22"/>
      <c r="W5" s="998"/>
    </row>
    <row r="6" spans="2:179" s="1001" customFormat="1" ht="23.25">
      <c r="B6" s="623" t="s">
        <v>271</v>
      </c>
      <c r="C6" s="623"/>
      <c r="D6" s="1002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100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23"/>
      <c r="CD6" s="623"/>
      <c r="CE6" s="623"/>
      <c r="CF6" s="623"/>
      <c r="CG6" s="623"/>
      <c r="CH6" s="623"/>
      <c r="CI6" s="623"/>
      <c r="CJ6" s="623"/>
      <c r="CK6" s="623"/>
      <c r="CL6" s="623"/>
      <c r="CM6" s="623"/>
      <c r="CN6" s="623"/>
      <c r="CO6" s="623"/>
      <c r="CP6" s="623"/>
      <c r="CQ6" s="623"/>
      <c r="CR6" s="623"/>
      <c r="CS6" s="623"/>
      <c r="CT6" s="623"/>
      <c r="CU6" s="623"/>
      <c r="CV6" s="623"/>
      <c r="CW6" s="623"/>
      <c r="CX6" s="623"/>
      <c r="CY6" s="623"/>
      <c r="CZ6" s="623"/>
      <c r="DA6" s="623"/>
      <c r="DB6" s="623"/>
      <c r="DC6" s="623"/>
      <c r="DD6" s="623"/>
      <c r="DE6" s="623"/>
      <c r="DF6" s="623"/>
      <c r="DG6" s="623"/>
      <c r="DH6" s="623"/>
      <c r="DI6" s="623"/>
      <c r="DJ6" s="623"/>
      <c r="DK6" s="623"/>
      <c r="DL6" s="623"/>
      <c r="DM6" s="623"/>
      <c r="DN6" s="623"/>
      <c r="DO6" s="623"/>
      <c r="DP6" s="623"/>
      <c r="DQ6" s="623"/>
      <c r="DR6" s="623"/>
      <c r="DS6" s="623"/>
      <c r="DT6" s="623"/>
      <c r="DU6" s="623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3"/>
      <c r="EO6" s="623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3"/>
      <c r="FC6" s="623"/>
      <c r="FD6" s="623"/>
      <c r="FE6" s="623"/>
      <c r="FF6" s="623"/>
      <c r="FG6" s="623"/>
      <c r="FH6" s="623"/>
      <c r="FI6" s="623"/>
      <c r="FJ6" s="623"/>
      <c r="FK6" s="623"/>
      <c r="FL6" s="623"/>
      <c r="FM6" s="623"/>
      <c r="FN6" s="623"/>
      <c r="FO6" s="623"/>
      <c r="FP6" s="623"/>
      <c r="FQ6" s="623"/>
      <c r="FR6" s="623"/>
      <c r="FS6" s="623"/>
      <c r="FT6" s="623"/>
      <c r="FU6" s="623"/>
      <c r="FV6" s="623"/>
      <c r="FW6" s="623"/>
    </row>
    <row r="7" spans="2:179" s="32" customFormat="1" ht="14.25" customHeight="1"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1004"/>
      <c r="W7" s="1004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5"/>
      <c r="AM7" s="835"/>
      <c r="AN7" s="835"/>
      <c r="AO7" s="835"/>
      <c r="AP7" s="835"/>
      <c r="AQ7" s="835"/>
      <c r="AR7" s="835"/>
      <c r="AS7" s="835"/>
      <c r="AT7" s="835"/>
      <c r="AU7" s="835"/>
      <c r="AV7" s="835"/>
      <c r="AW7" s="835"/>
      <c r="AX7" s="835"/>
      <c r="AY7" s="835"/>
      <c r="AZ7" s="835"/>
      <c r="BA7" s="835"/>
      <c r="BB7" s="835"/>
      <c r="BC7" s="835"/>
      <c r="BD7" s="835"/>
      <c r="BE7" s="835"/>
      <c r="BF7" s="835"/>
      <c r="BG7" s="835"/>
      <c r="BH7" s="835"/>
      <c r="BI7" s="835"/>
      <c r="BJ7" s="835"/>
      <c r="BK7" s="835"/>
      <c r="BL7" s="835"/>
      <c r="BM7" s="835"/>
      <c r="BN7" s="835"/>
      <c r="BO7" s="835"/>
      <c r="BP7" s="835"/>
      <c r="BQ7" s="835"/>
      <c r="BR7" s="835"/>
      <c r="BS7" s="835"/>
      <c r="BT7" s="835"/>
      <c r="BU7" s="835"/>
      <c r="BV7" s="835"/>
      <c r="BW7" s="835"/>
      <c r="BX7" s="835"/>
      <c r="BY7" s="835"/>
      <c r="BZ7" s="835"/>
      <c r="CA7" s="835"/>
      <c r="CB7" s="835"/>
      <c r="CC7" s="835"/>
      <c r="CD7" s="835"/>
      <c r="CE7" s="835"/>
      <c r="CF7" s="835"/>
      <c r="CG7" s="835"/>
      <c r="CH7" s="835"/>
      <c r="CI7" s="835"/>
      <c r="CJ7" s="835"/>
      <c r="CK7" s="835"/>
      <c r="CL7" s="835"/>
      <c r="CM7" s="835"/>
      <c r="CN7" s="835"/>
      <c r="CO7" s="835"/>
      <c r="CP7" s="835"/>
      <c r="CQ7" s="835"/>
      <c r="CR7" s="835"/>
      <c r="CS7" s="835"/>
      <c r="CT7" s="835"/>
      <c r="CU7" s="835"/>
      <c r="CV7" s="835"/>
      <c r="CW7" s="835"/>
      <c r="CX7" s="835"/>
      <c r="CY7" s="835"/>
      <c r="CZ7" s="835"/>
      <c r="DA7" s="835"/>
      <c r="DB7" s="835"/>
      <c r="DC7" s="835"/>
      <c r="DD7" s="835"/>
      <c r="DE7" s="835"/>
      <c r="DF7" s="835"/>
      <c r="DG7" s="835"/>
      <c r="DH7" s="835"/>
      <c r="DI7" s="835"/>
      <c r="DJ7" s="835"/>
      <c r="DK7" s="835"/>
      <c r="DL7" s="835"/>
      <c r="DM7" s="835"/>
      <c r="DN7" s="835"/>
      <c r="DO7" s="835"/>
      <c r="DP7" s="835"/>
      <c r="DQ7" s="835"/>
      <c r="DR7" s="835"/>
      <c r="DS7" s="835"/>
      <c r="DT7" s="835"/>
      <c r="DU7" s="835"/>
      <c r="DV7" s="835"/>
      <c r="DW7" s="835"/>
      <c r="DX7" s="835"/>
      <c r="DY7" s="835"/>
      <c r="DZ7" s="835"/>
      <c r="EA7" s="835"/>
      <c r="EB7" s="835"/>
      <c r="EC7" s="835"/>
      <c r="ED7" s="835"/>
      <c r="EE7" s="835"/>
      <c r="EF7" s="835"/>
      <c r="EG7" s="835"/>
      <c r="EH7" s="835"/>
      <c r="EI7" s="835"/>
      <c r="EJ7" s="835"/>
      <c r="EK7" s="835"/>
      <c r="EL7" s="835"/>
      <c r="EM7" s="835"/>
      <c r="EN7" s="835"/>
      <c r="EO7" s="835"/>
      <c r="EP7" s="835"/>
      <c r="EQ7" s="835"/>
      <c r="ER7" s="835"/>
      <c r="ES7" s="835"/>
      <c r="ET7" s="835"/>
      <c r="EU7" s="835"/>
      <c r="EV7" s="835"/>
      <c r="EW7" s="835"/>
      <c r="EX7" s="835"/>
      <c r="EY7" s="835"/>
      <c r="EZ7" s="835"/>
      <c r="FA7" s="835"/>
      <c r="FB7" s="835"/>
      <c r="FC7" s="835"/>
      <c r="FD7" s="835"/>
      <c r="FE7" s="835"/>
      <c r="FF7" s="835"/>
      <c r="FG7" s="835"/>
      <c r="FH7" s="835"/>
      <c r="FI7" s="835"/>
      <c r="FJ7" s="835"/>
      <c r="FK7" s="835"/>
      <c r="FL7" s="835"/>
      <c r="FM7" s="835"/>
      <c r="FN7" s="835"/>
      <c r="FO7" s="835"/>
      <c r="FP7" s="835"/>
      <c r="FQ7" s="835"/>
      <c r="FR7" s="835"/>
      <c r="FS7" s="835"/>
      <c r="FT7" s="835"/>
      <c r="FU7" s="835"/>
      <c r="FV7" s="835"/>
      <c r="FW7" s="835"/>
    </row>
    <row r="8" spans="2:179" s="1005" customFormat="1" ht="23.25">
      <c r="B8" s="623" t="s">
        <v>52</v>
      </c>
      <c r="C8" s="1002"/>
      <c r="D8" s="1002"/>
      <c r="E8" s="1002"/>
      <c r="F8" s="1002"/>
      <c r="G8" s="1002"/>
      <c r="H8" s="1002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6"/>
      <c r="X8" s="1002"/>
      <c r="Y8" s="1002"/>
      <c r="Z8" s="1002"/>
      <c r="AA8" s="1002"/>
      <c r="AB8" s="1002"/>
      <c r="AC8" s="1002"/>
      <c r="AD8" s="1002"/>
      <c r="AE8" s="1002"/>
      <c r="AF8" s="1002"/>
      <c r="AG8" s="1002"/>
      <c r="AH8" s="1002"/>
      <c r="AI8" s="1002"/>
      <c r="AJ8" s="1002"/>
      <c r="AK8" s="1002"/>
      <c r="AL8" s="1002"/>
      <c r="AM8" s="1002"/>
      <c r="AN8" s="1002"/>
      <c r="AO8" s="1002"/>
      <c r="AP8" s="1002"/>
      <c r="AQ8" s="1002"/>
      <c r="AR8" s="1002"/>
      <c r="AS8" s="1002"/>
      <c r="AT8" s="1002"/>
      <c r="AU8" s="1002"/>
      <c r="AV8" s="1002"/>
      <c r="AW8" s="1002"/>
      <c r="AX8" s="1002"/>
      <c r="AY8" s="1002"/>
      <c r="AZ8" s="1002"/>
      <c r="BA8" s="1002"/>
      <c r="BB8" s="1002"/>
      <c r="BC8" s="1002"/>
      <c r="BD8" s="1002"/>
      <c r="BE8" s="1002"/>
      <c r="BF8" s="1002"/>
      <c r="BG8" s="1002"/>
      <c r="BH8" s="1002"/>
      <c r="BI8" s="1002"/>
      <c r="BJ8" s="1002"/>
      <c r="BK8" s="1002"/>
      <c r="BL8" s="1002"/>
      <c r="BM8" s="1002"/>
      <c r="BN8" s="1002"/>
      <c r="BO8" s="1002"/>
      <c r="BP8" s="1002"/>
      <c r="BQ8" s="1002"/>
      <c r="BR8" s="1002"/>
      <c r="BS8" s="1002"/>
      <c r="BT8" s="1002"/>
      <c r="BU8" s="1002"/>
      <c r="BV8" s="1002"/>
      <c r="BW8" s="1002"/>
      <c r="BX8" s="1002"/>
      <c r="BY8" s="1002"/>
      <c r="BZ8" s="1002"/>
      <c r="CA8" s="1002"/>
      <c r="CB8" s="1002"/>
      <c r="CC8" s="1002"/>
      <c r="CD8" s="1002"/>
      <c r="CE8" s="1002"/>
      <c r="CF8" s="1002"/>
      <c r="CG8" s="1002"/>
      <c r="CH8" s="1002"/>
      <c r="CI8" s="1002"/>
      <c r="CJ8" s="1002"/>
      <c r="CK8" s="1002"/>
      <c r="CL8" s="1002"/>
      <c r="CM8" s="1002"/>
      <c r="CN8" s="1002"/>
      <c r="CO8" s="1002"/>
      <c r="CP8" s="1002"/>
      <c r="CQ8" s="1002"/>
      <c r="CR8" s="1002"/>
      <c r="CS8" s="1002"/>
      <c r="CT8" s="1002"/>
      <c r="CU8" s="1002"/>
      <c r="CV8" s="1002"/>
      <c r="CW8" s="1002"/>
      <c r="CX8" s="1002"/>
      <c r="CY8" s="1002"/>
      <c r="CZ8" s="1002"/>
      <c r="DA8" s="1002"/>
      <c r="DB8" s="1002"/>
      <c r="DC8" s="1002"/>
      <c r="DD8" s="1002"/>
      <c r="DE8" s="1002"/>
      <c r="DF8" s="1002"/>
      <c r="DG8" s="1002"/>
      <c r="DH8" s="1002"/>
      <c r="DI8" s="1002"/>
      <c r="DJ8" s="1002"/>
      <c r="DK8" s="1002"/>
      <c r="DL8" s="1002"/>
      <c r="DM8" s="1002"/>
      <c r="DN8" s="1002"/>
      <c r="DO8" s="1002"/>
      <c r="DP8" s="1002"/>
      <c r="DQ8" s="1002"/>
      <c r="DR8" s="1002"/>
      <c r="DS8" s="1002"/>
      <c r="DT8" s="1002"/>
      <c r="DU8" s="1002"/>
      <c r="DV8" s="1002"/>
      <c r="DW8" s="1002"/>
      <c r="DX8" s="1002"/>
      <c r="DY8" s="1002"/>
      <c r="DZ8" s="1002"/>
      <c r="EA8" s="1002"/>
      <c r="EB8" s="1002"/>
      <c r="EC8" s="1002"/>
      <c r="ED8" s="1002"/>
      <c r="EE8" s="1002"/>
      <c r="EF8" s="1002"/>
      <c r="EG8" s="1002"/>
      <c r="EH8" s="1002"/>
      <c r="EI8" s="1002"/>
      <c r="EJ8" s="1002"/>
      <c r="EK8" s="1002"/>
      <c r="EL8" s="1002"/>
      <c r="EM8" s="1002"/>
      <c r="EN8" s="1002"/>
      <c r="EO8" s="1002"/>
      <c r="EP8" s="1002"/>
      <c r="EQ8" s="1002"/>
      <c r="ER8" s="1002"/>
      <c r="ES8" s="1002"/>
      <c r="ET8" s="1002"/>
      <c r="EU8" s="1002"/>
      <c r="EV8" s="1002"/>
      <c r="EW8" s="1002"/>
      <c r="EX8" s="1002"/>
      <c r="EY8" s="1002"/>
      <c r="EZ8" s="1002"/>
      <c r="FA8" s="1002"/>
      <c r="FB8" s="1002"/>
      <c r="FC8" s="1002"/>
      <c r="FD8" s="1002"/>
      <c r="FE8" s="1002"/>
      <c r="FF8" s="1002"/>
      <c r="FG8" s="1002"/>
      <c r="FH8" s="1002"/>
      <c r="FI8" s="1002"/>
      <c r="FJ8" s="1002"/>
      <c r="FK8" s="1002"/>
      <c r="FL8" s="1002"/>
      <c r="FM8" s="1002"/>
      <c r="FN8" s="1002"/>
      <c r="FO8" s="1002"/>
      <c r="FP8" s="1002"/>
      <c r="FQ8" s="1002"/>
      <c r="FR8" s="1002"/>
      <c r="FS8" s="1002"/>
      <c r="FT8" s="1002"/>
      <c r="FU8" s="1002"/>
      <c r="FV8" s="1002"/>
      <c r="FW8" s="1002"/>
    </row>
    <row r="9" spans="2:179" s="32" customFormat="1" ht="15.75">
      <c r="B9" s="835"/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1004"/>
      <c r="W9" s="1004"/>
      <c r="X9" s="835"/>
      <c r="Y9" s="835"/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  <c r="AR9" s="835"/>
      <c r="AS9" s="835"/>
      <c r="AT9" s="835"/>
      <c r="AU9" s="835"/>
      <c r="AV9" s="835"/>
      <c r="AW9" s="835"/>
      <c r="AX9" s="835"/>
      <c r="AY9" s="835"/>
      <c r="AZ9" s="835"/>
      <c r="BA9" s="835"/>
      <c r="BB9" s="835"/>
      <c r="BC9" s="835"/>
      <c r="BD9" s="835"/>
      <c r="BE9" s="835"/>
      <c r="BF9" s="835"/>
      <c r="BG9" s="835"/>
      <c r="BH9" s="835"/>
      <c r="BI9" s="835"/>
      <c r="BJ9" s="835"/>
      <c r="BK9" s="835"/>
      <c r="BL9" s="835"/>
      <c r="BM9" s="835"/>
      <c r="BN9" s="835"/>
      <c r="BO9" s="835"/>
      <c r="BP9" s="835"/>
      <c r="BQ9" s="835"/>
      <c r="BR9" s="835"/>
      <c r="BS9" s="835"/>
      <c r="BT9" s="835"/>
      <c r="BU9" s="835"/>
      <c r="BV9" s="835"/>
      <c r="BW9" s="835"/>
      <c r="BX9" s="835"/>
      <c r="BY9" s="835"/>
      <c r="BZ9" s="835"/>
      <c r="CA9" s="835"/>
      <c r="CB9" s="835"/>
      <c r="CC9" s="835"/>
      <c r="CD9" s="835"/>
      <c r="CE9" s="835"/>
      <c r="CF9" s="835"/>
      <c r="CG9" s="835"/>
      <c r="CH9" s="835"/>
      <c r="CI9" s="835"/>
      <c r="CJ9" s="835"/>
      <c r="CK9" s="835"/>
      <c r="CL9" s="835"/>
      <c r="CM9" s="835"/>
      <c r="CN9" s="835"/>
      <c r="CO9" s="835"/>
      <c r="CP9" s="835"/>
      <c r="CQ9" s="835"/>
      <c r="CR9" s="835"/>
      <c r="CS9" s="835"/>
      <c r="CT9" s="835"/>
      <c r="CU9" s="835"/>
      <c r="CV9" s="835"/>
      <c r="CW9" s="835"/>
      <c r="CX9" s="835"/>
      <c r="CY9" s="835"/>
      <c r="CZ9" s="835"/>
      <c r="DA9" s="835"/>
      <c r="DB9" s="835"/>
      <c r="DC9" s="835"/>
      <c r="DD9" s="835"/>
      <c r="DE9" s="835"/>
      <c r="DF9" s="835"/>
      <c r="DG9" s="835"/>
      <c r="DH9" s="835"/>
      <c r="DI9" s="835"/>
      <c r="DJ9" s="835"/>
      <c r="DK9" s="835"/>
      <c r="DL9" s="835"/>
      <c r="DM9" s="835"/>
      <c r="DN9" s="835"/>
      <c r="DO9" s="835"/>
      <c r="DP9" s="835"/>
      <c r="DQ9" s="835"/>
      <c r="DR9" s="835"/>
      <c r="DS9" s="835"/>
      <c r="DT9" s="835"/>
      <c r="DU9" s="835"/>
      <c r="DV9" s="835"/>
      <c r="DW9" s="835"/>
      <c r="DX9" s="835"/>
      <c r="DY9" s="835"/>
      <c r="DZ9" s="835"/>
      <c r="EA9" s="835"/>
      <c r="EB9" s="835"/>
      <c r="EC9" s="835"/>
      <c r="ED9" s="835"/>
      <c r="EE9" s="835"/>
      <c r="EF9" s="835"/>
      <c r="EG9" s="835"/>
      <c r="EH9" s="835"/>
      <c r="EI9" s="835"/>
      <c r="EJ9" s="835"/>
      <c r="EK9" s="835"/>
      <c r="EL9" s="835"/>
      <c r="EM9" s="835"/>
      <c r="EN9" s="835"/>
      <c r="EO9" s="835"/>
      <c r="EP9" s="835"/>
      <c r="EQ9" s="835"/>
      <c r="ER9" s="835"/>
      <c r="ES9" s="835"/>
      <c r="ET9" s="835"/>
      <c r="EU9" s="835"/>
      <c r="EV9" s="835"/>
      <c r="EW9" s="835"/>
      <c r="EX9" s="835"/>
      <c r="EY9" s="835"/>
      <c r="EZ9" s="835"/>
      <c r="FA9" s="835"/>
      <c r="FB9" s="835"/>
      <c r="FC9" s="835"/>
      <c r="FD9" s="835"/>
      <c r="FE9" s="835"/>
      <c r="FF9" s="835"/>
      <c r="FG9" s="835"/>
      <c r="FH9" s="835"/>
      <c r="FI9" s="835"/>
      <c r="FJ9" s="835"/>
      <c r="FK9" s="835"/>
      <c r="FL9" s="835"/>
      <c r="FM9" s="835"/>
      <c r="FN9" s="835"/>
      <c r="FO9" s="835"/>
      <c r="FP9" s="835"/>
      <c r="FQ9" s="835"/>
      <c r="FR9" s="835"/>
      <c r="FS9" s="835"/>
      <c r="FT9" s="835"/>
      <c r="FU9" s="835"/>
      <c r="FV9" s="835"/>
      <c r="FW9" s="835"/>
    </row>
    <row r="10" spans="2:179" s="1005" customFormat="1" ht="23.25">
      <c r="B10" s="623" t="s">
        <v>272</v>
      </c>
      <c r="C10" s="1002"/>
      <c r="D10" s="1002"/>
      <c r="E10" s="1002"/>
      <c r="F10" s="1002"/>
      <c r="G10" s="1002"/>
      <c r="H10" s="1002"/>
      <c r="I10" s="1002"/>
      <c r="J10" s="1002"/>
      <c r="K10" s="1002"/>
      <c r="L10" s="1002"/>
      <c r="M10" s="1002"/>
      <c r="N10" s="1002"/>
      <c r="O10" s="1002"/>
      <c r="P10" s="1002"/>
      <c r="Q10" s="1002"/>
      <c r="R10" s="1002"/>
      <c r="S10" s="1002"/>
      <c r="T10" s="1002"/>
      <c r="U10" s="1002"/>
      <c r="V10" s="1002"/>
      <c r="W10" s="1006"/>
      <c r="X10" s="1002"/>
      <c r="Y10" s="1002"/>
      <c r="Z10" s="1002"/>
      <c r="AA10" s="1002"/>
      <c r="AB10" s="1002"/>
      <c r="AC10" s="1002"/>
      <c r="AD10" s="1002"/>
      <c r="AE10" s="1002"/>
      <c r="AF10" s="1002"/>
      <c r="AG10" s="1002"/>
      <c r="AH10" s="1002"/>
      <c r="AI10" s="1002"/>
      <c r="AJ10" s="1002"/>
      <c r="AK10" s="1002"/>
      <c r="AL10" s="1002"/>
      <c r="AM10" s="1002"/>
      <c r="AN10" s="1002"/>
      <c r="AO10" s="1002"/>
      <c r="AP10" s="1002"/>
      <c r="AQ10" s="1002"/>
      <c r="AR10" s="1002"/>
      <c r="AS10" s="1002"/>
      <c r="AT10" s="1002"/>
      <c r="AU10" s="1002"/>
      <c r="AV10" s="1002"/>
      <c r="AW10" s="1002"/>
      <c r="AX10" s="1002"/>
      <c r="AY10" s="1002"/>
      <c r="AZ10" s="1002"/>
      <c r="BA10" s="1002"/>
      <c r="BB10" s="1002"/>
      <c r="BC10" s="1002"/>
      <c r="BD10" s="1002"/>
      <c r="BE10" s="1002"/>
      <c r="BF10" s="1002"/>
      <c r="BG10" s="1002"/>
      <c r="BH10" s="1002"/>
      <c r="BI10" s="1002"/>
      <c r="BJ10" s="1002"/>
      <c r="BK10" s="1002"/>
      <c r="BL10" s="1002"/>
      <c r="BM10" s="1002"/>
      <c r="BN10" s="1002"/>
      <c r="BO10" s="1002"/>
      <c r="BP10" s="1002"/>
      <c r="BQ10" s="1002"/>
      <c r="BR10" s="1002"/>
      <c r="BS10" s="1002"/>
      <c r="BT10" s="1002"/>
      <c r="BU10" s="1002"/>
      <c r="BV10" s="1002"/>
      <c r="BW10" s="1002"/>
      <c r="BX10" s="1002"/>
      <c r="BY10" s="1002"/>
      <c r="BZ10" s="1002"/>
      <c r="CA10" s="1002"/>
      <c r="CB10" s="1002"/>
      <c r="CC10" s="1002"/>
      <c r="CD10" s="1002"/>
      <c r="CE10" s="1002"/>
      <c r="CF10" s="1002"/>
      <c r="CG10" s="1002"/>
      <c r="CH10" s="1002"/>
      <c r="CI10" s="1002"/>
      <c r="CJ10" s="1002"/>
      <c r="CK10" s="1002"/>
      <c r="CL10" s="1002"/>
      <c r="CM10" s="1002"/>
      <c r="CN10" s="1002"/>
      <c r="CO10" s="1002"/>
      <c r="CP10" s="1002"/>
      <c r="CQ10" s="1002"/>
      <c r="CR10" s="1002"/>
      <c r="CS10" s="1002"/>
      <c r="CT10" s="1002"/>
      <c r="CU10" s="1002"/>
      <c r="CV10" s="1002"/>
      <c r="CW10" s="1002"/>
      <c r="CX10" s="1002"/>
      <c r="CY10" s="1002"/>
      <c r="CZ10" s="1002"/>
      <c r="DA10" s="1002"/>
      <c r="DB10" s="1002"/>
      <c r="DC10" s="1002"/>
      <c r="DD10" s="1002"/>
      <c r="DE10" s="1002"/>
      <c r="DF10" s="1002"/>
      <c r="DG10" s="1002"/>
      <c r="DH10" s="1002"/>
      <c r="DI10" s="1002"/>
      <c r="DJ10" s="1002"/>
      <c r="DK10" s="1002"/>
      <c r="DL10" s="1002"/>
      <c r="DM10" s="1002"/>
      <c r="DN10" s="1002"/>
      <c r="DO10" s="1002"/>
      <c r="DP10" s="1002"/>
      <c r="DQ10" s="1002"/>
      <c r="DR10" s="1002"/>
      <c r="DS10" s="1002"/>
      <c r="DT10" s="1002"/>
      <c r="DU10" s="1002"/>
      <c r="DV10" s="1002"/>
      <c r="DW10" s="1002"/>
      <c r="DX10" s="1002"/>
      <c r="DY10" s="1002"/>
      <c r="DZ10" s="1002"/>
      <c r="EA10" s="1002"/>
      <c r="EB10" s="1002"/>
      <c r="EC10" s="1002"/>
      <c r="ED10" s="1002"/>
      <c r="EE10" s="1002"/>
      <c r="EF10" s="1002"/>
      <c r="EG10" s="1002"/>
      <c r="EH10" s="1002"/>
      <c r="EI10" s="1002"/>
      <c r="EJ10" s="1002"/>
      <c r="EK10" s="1002"/>
      <c r="EL10" s="1002"/>
      <c r="EM10" s="1002"/>
      <c r="EN10" s="1002"/>
      <c r="EO10" s="1002"/>
      <c r="EP10" s="1002"/>
      <c r="EQ10" s="1002"/>
      <c r="ER10" s="1002"/>
      <c r="ES10" s="1002"/>
      <c r="ET10" s="1002"/>
      <c r="EU10" s="1002"/>
      <c r="EV10" s="1002"/>
      <c r="EW10" s="1002"/>
      <c r="EX10" s="1002"/>
      <c r="EY10" s="1002"/>
      <c r="EZ10" s="1002"/>
      <c r="FA10" s="1002"/>
      <c r="FB10" s="1002"/>
      <c r="FC10" s="1002"/>
      <c r="FD10" s="1002"/>
      <c r="FE10" s="1002"/>
      <c r="FF10" s="1002"/>
      <c r="FG10" s="1002"/>
      <c r="FH10" s="1002"/>
      <c r="FI10" s="1002"/>
      <c r="FJ10" s="1002"/>
      <c r="FK10" s="1002"/>
      <c r="FL10" s="1002"/>
      <c r="FM10" s="1002"/>
      <c r="FN10" s="1002"/>
      <c r="FO10" s="1002"/>
      <c r="FP10" s="1002"/>
      <c r="FQ10" s="1002"/>
      <c r="FR10" s="1002"/>
      <c r="FS10" s="1002"/>
      <c r="FT10" s="1002"/>
      <c r="FU10" s="1002"/>
      <c r="FV10" s="1002"/>
      <c r="FW10" s="1002"/>
    </row>
    <row r="11" spans="2:179" s="32" customFormat="1" ht="16.5" thickBot="1">
      <c r="B11" s="835"/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1004"/>
      <c r="W11" s="1004"/>
      <c r="X11" s="835"/>
      <c r="Y11" s="835"/>
      <c r="Z11" s="835"/>
      <c r="AA11" s="835"/>
      <c r="AB11" s="835"/>
      <c r="AC11" s="835"/>
      <c r="AD11" s="835"/>
      <c r="AE11" s="835"/>
      <c r="AF11" s="835"/>
      <c r="AG11" s="835"/>
      <c r="AH11" s="835"/>
      <c r="AI11" s="835"/>
      <c r="AJ11" s="835"/>
      <c r="AK11" s="835"/>
      <c r="AL11" s="835"/>
      <c r="AM11" s="835"/>
      <c r="AN11" s="835"/>
      <c r="AO11" s="835"/>
      <c r="AP11" s="835"/>
      <c r="AQ11" s="835"/>
      <c r="AR11" s="835"/>
      <c r="AS11" s="835"/>
      <c r="AT11" s="835"/>
      <c r="AU11" s="835"/>
      <c r="AV11" s="835"/>
      <c r="AW11" s="835"/>
      <c r="AX11" s="835"/>
      <c r="AY11" s="835"/>
      <c r="AZ11" s="835"/>
      <c r="BA11" s="835"/>
      <c r="BB11" s="835"/>
      <c r="BC11" s="835"/>
      <c r="BD11" s="835"/>
      <c r="BE11" s="835"/>
      <c r="BF11" s="835"/>
      <c r="BG11" s="835"/>
      <c r="BH11" s="835"/>
      <c r="BI11" s="835"/>
      <c r="BJ11" s="835"/>
      <c r="BK11" s="835"/>
      <c r="BL11" s="835"/>
      <c r="BM11" s="835"/>
      <c r="BN11" s="835"/>
      <c r="BO11" s="835"/>
      <c r="BP11" s="835"/>
      <c r="BQ11" s="835"/>
      <c r="BR11" s="835"/>
      <c r="BS11" s="835"/>
      <c r="BT11" s="835"/>
      <c r="BU11" s="835"/>
      <c r="BV11" s="835"/>
      <c r="BW11" s="835"/>
      <c r="BX11" s="835"/>
      <c r="BY11" s="835"/>
      <c r="BZ11" s="835"/>
      <c r="CA11" s="835"/>
      <c r="CB11" s="835"/>
      <c r="CC11" s="835"/>
      <c r="CD11" s="835"/>
      <c r="CE11" s="835"/>
      <c r="CF11" s="835"/>
      <c r="CG11" s="835"/>
      <c r="CH11" s="835"/>
      <c r="CI11" s="835"/>
      <c r="CJ11" s="835"/>
      <c r="CK11" s="835"/>
      <c r="CL11" s="835"/>
      <c r="CM11" s="835"/>
      <c r="CN11" s="835"/>
      <c r="CO11" s="835"/>
      <c r="CP11" s="835"/>
      <c r="CQ11" s="835"/>
      <c r="CR11" s="835"/>
      <c r="CS11" s="835"/>
      <c r="CT11" s="835"/>
      <c r="CU11" s="835"/>
      <c r="CV11" s="835"/>
      <c r="CW11" s="835"/>
      <c r="CX11" s="835"/>
      <c r="CY11" s="835"/>
      <c r="CZ11" s="835"/>
      <c r="DA11" s="835"/>
      <c r="DB11" s="835"/>
      <c r="DC11" s="835"/>
      <c r="DD11" s="835"/>
      <c r="DE11" s="835"/>
      <c r="DF11" s="835"/>
      <c r="DG11" s="835"/>
      <c r="DH11" s="835"/>
      <c r="DI11" s="835"/>
      <c r="DJ11" s="835"/>
      <c r="DK11" s="835"/>
      <c r="DL11" s="835"/>
      <c r="DM11" s="835"/>
      <c r="DN11" s="835"/>
      <c r="DO11" s="835"/>
      <c r="DP11" s="835"/>
      <c r="DQ11" s="835"/>
      <c r="DR11" s="835"/>
      <c r="DS11" s="835"/>
      <c r="DT11" s="835"/>
      <c r="DU11" s="835"/>
      <c r="DV11" s="835"/>
      <c r="DW11" s="835"/>
      <c r="DX11" s="835"/>
      <c r="DY11" s="835"/>
      <c r="DZ11" s="835"/>
      <c r="EA11" s="835"/>
      <c r="EB11" s="835"/>
      <c r="EC11" s="835"/>
      <c r="ED11" s="835"/>
      <c r="EE11" s="835"/>
      <c r="EF11" s="835"/>
      <c r="EG11" s="835"/>
      <c r="EH11" s="835"/>
      <c r="EI11" s="835"/>
      <c r="EJ11" s="835"/>
      <c r="EK11" s="835"/>
      <c r="EL11" s="835"/>
      <c r="EM11" s="835"/>
      <c r="EN11" s="835"/>
      <c r="EO11" s="835"/>
      <c r="EP11" s="835"/>
      <c r="EQ11" s="835"/>
      <c r="ER11" s="835"/>
      <c r="ES11" s="835"/>
      <c r="ET11" s="835"/>
      <c r="EU11" s="835"/>
      <c r="EV11" s="835"/>
      <c r="EW11" s="835"/>
      <c r="EX11" s="835"/>
      <c r="EY11" s="835"/>
      <c r="EZ11" s="835"/>
      <c r="FA11" s="835"/>
      <c r="FB11" s="835"/>
      <c r="FC11" s="835"/>
      <c r="FD11" s="835"/>
      <c r="FE11" s="835"/>
      <c r="FF11" s="835"/>
      <c r="FG11" s="835"/>
      <c r="FH11" s="835"/>
      <c r="FI11" s="835"/>
      <c r="FJ11" s="835"/>
      <c r="FK11" s="835"/>
      <c r="FL11" s="835"/>
      <c r="FM11" s="835"/>
      <c r="FN11" s="835"/>
      <c r="FO11" s="835"/>
      <c r="FP11" s="835"/>
      <c r="FQ11" s="835"/>
      <c r="FR11" s="835"/>
      <c r="FS11" s="835"/>
      <c r="FT11" s="835"/>
      <c r="FU11" s="835"/>
      <c r="FV11" s="835"/>
      <c r="FW11" s="835"/>
    </row>
    <row r="12" spans="2:179" s="32" customFormat="1" ht="16.5" thickTop="1">
      <c r="B12" s="1007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9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5"/>
      <c r="AW12" s="835"/>
      <c r="AX12" s="835"/>
      <c r="AY12" s="835"/>
      <c r="AZ12" s="835"/>
      <c r="BA12" s="835"/>
      <c r="BB12" s="835"/>
      <c r="BC12" s="835"/>
      <c r="BD12" s="835"/>
      <c r="BE12" s="835"/>
      <c r="BF12" s="835"/>
      <c r="BG12" s="835"/>
      <c r="BH12" s="835"/>
      <c r="BI12" s="835"/>
      <c r="BJ12" s="835"/>
      <c r="BK12" s="835"/>
      <c r="BL12" s="835"/>
      <c r="BM12" s="835"/>
      <c r="BN12" s="835"/>
      <c r="BO12" s="835"/>
      <c r="BP12" s="835"/>
      <c r="BQ12" s="835"/>
      <c r="BR12" s="835"/>
      <c r="BS12" s="835"/>
      <c r="BT12" s="835"/>
      <c r="BU12" s="835"/>
      <c r="BV12" s="835"/>
      <c r="BW12" s="835"/>
      <c r="BX12" s="835"/>
      <c r="BY12" s="835"/>
      <c r="BZ12" s="835"/>
      <c r="CA12" s="835"/>
      <c r="CB12" s="835"/>
      <c r="CC12" s="835"/>
      <c r="CD12" s="835"/>
      <c r="CE12" s="835"/>
      <c r="CF12" s="835"/>
      <c r="CG12" s="835"/>
      <c r="CH12" s="835"/>
      <c r="CI12" s="835"/>
      <c r="CJ12" s="835"/>
      <c r="CK12" s="835"/>
      <c r="CL12" s="835"/>
      <c r="CM12" s="835"/>
      <c r="CN12" s="835"/>
      <c r="CO12" s="835"/>
      <c r="CP12" s="835"/>
      <c r="CQ12" s="835"/>
      <c r="CR12" s="835"/>
      <c r="CS12" s="835"/>
      <c r="CT12" s="835"/>
      <c r="CU12" s="835"/>
      <c r="CV12" s="835"/>
      <c r="CW12" s="835"/>
      <c r="CX12" s="835"/>
      <c r="CY12" s="835"/>
      <c r="CZ12" s="835"/>
      <c r="DA12" s="835"/>
      <c r="DB12" s="835"/>
      <c r="DC12" s="835"/>
      <c r="DD12" s="835"/>
      <c r="DE12" s="835"/>
      <c r="DF12" s="835"/>
      <c r="DG12" s="835"/>
      <c r="DH12" s="835"/>
      <c r="DI12" s="835"/>
      <c r="DJ12" s="835"/>
      <c r="DK12" s="835"/>
      <c r="DL12" s="835"/>
      <c r="DM12" s="835"/>
      <c r="DN12" s="835"/>
      <c r="DO12" s="835"/>
      <c r="DP12" s="835"/>
      <c r="DQ12" s="835"/>
      <c r="DR12" s="835"/>
      <c r="DS12" s="835"/>
      <c r="DT12" s="835"/>
      <c r="DU12" s="835"/>
      <c r="DV12" s="835"/>
      <c r="DW12" s="835"/>
      <c r="DX12" s="835"/>
      <c r="DY12" s="835"/>
      <c r="DZ12" s="835"/>
      <c r="EA12" s="835"/>
      <c r="EB12" s="835"/>
      <c r="EC12" s="835"/>
      <c r="ED12" s="835"/>
      <c r="EE12" s="835"/>
      <c r="EF12" s="835"/>
      <c r="EG12" s="835"/>
      <c r="EH12" s="835"/>
      <c r="EI12" s="835"/>
      <c r="EJ12" s="835"/>
      <c r="EK12" s="835"/>
      <c r="EL12" s="835"/>
      <c r="EM12" s="835"/>
      <c r="EN12" s="835"/>
      <c r="EO12" s="835"/>
      <c r="EP12" s="835"/>
      <c r="EQ12" s="835"/>
      <c r="ER12" s="835"/>
      <c r="ES12" s="835"/>
      <c r="ET12" s="835"/>
      <c r="EU12" s="835"/>
      <c r="EV12" s="835"/>
      <c r="EW12" s="835"/>
      <c r="EX12" s="835"/>
      <c r="EY12" s="835"/>
      <c r="EZ12" s="835"/>
      <c r="FA12" s="835"/>
      <c r="FB12" s="835"/>
      <c r="FC12" s="835"/>
      <c r="FD12" s="835"/>
      <c r="FE12" s="835"/>
      <c r="FF12" s="835"/>
      <c r="FG12" s="835"/>
      <c r="FH12" s="835"/>
      <c r="FI12" s="835"/>
      <c r="FJ12" s="835"/>
      <c r="FK12" s="835"/>
      <c r="FL12" s="835"/>
      <c r="FM12" s="835"/>
      <c r="FN12" s="835"/>
      <c r="FO12" s="835"/>
      <c r="FP12" s="835"/>
      <c r="FQ12" s="835"/>
      <c r="FR12" s="835"/>
      <c r="FS12" s="835"/>
      <c r="FT12" s="835"/>
      <c r="FU12" s="835"/>
      <c r="FV12" s="835"/>
      <c r="FW12" s="835"/>
    </row>
    <row r="13" spans="2:179" s="32" customFormat="1" ht="19.5">
      <c r="B13" s="37" t="s">
        <v>280</v>
      </c>
      <c r="C13" s="1010"/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10"/>
      <c r="P13" s="1010"/>
      <c r="Q13" s="1010"/>
      <c r="R13" s="1010"/>
      <c r="S13" s="1010"/>
      <c r="T13" s="1010"/>
      <c r="U13" s="1010"/>
      <c r="V13" s="1011"/>
      <c r="W13" s="1004"/>
      <c r="X13" s="835"/>
      <c r="Y13" s="835"/>
      <c r="Z13" s="835"/>
      <c r="AA13" s="835"/>
      <c r="AB13" s="835"/>
      <c r="AC13" s="835"/>
      <c r="AD13" s="835"/>
      <c r="AE13" s="835"/>
      <c r="AF13" s="835"/>
      <c r="AG13" s="835"/>
      <c r="AH13" s="835"/>
      <c r="AI13" s="835"/>
      <c r="AJ13" s="835"/>
      <c r="AK13" s="835"/>
      <c r="AL13" s="835"/>
      <c r="AM13" s="835"/>
      <c r="AN13" s="835"/>
      <c r="AO13" s="835"/>
      <c r="AP13" s="835"/>
      <c r="AQ13" s="835"/>
      <c r="AR13" s="835"/>
      <c r="AS13" s="835"/>
      <c r="AT13" s="835"/>
      <c r="AU13" s="835"/>
      <c r="AV13" s="835"/>
      <c r="AW13" s="835"/>
      <c r="AX13" s="835"/>
      <c r="AY13" s="835"/>
      <c r="AZ13" s="835"/>
      <c r="BA13" s="835"/>
      <c r="BB13" s="835"/>
      <c r="BC13" s="835"/>
      <c r="BD13" s="835"/>
      <c r="BE13" s="835"/>
      <c r="BF13" s="835"/>
      <c r="BG13" s="835"/>
      <c r="BH13" s="835"/>
      <c r="BI13" s="835"/>
      <c r="BJ13" s="835"/>
      <c r="BK13" s="835"/>
      <c r="BL13" s="835"/>
      <c r="BM13" s="835"/>
      <c r="BN13" s="835"/>
      <c r="BO13" s="835"/>
      <c r="BP13" s="835"/>
      <c r="BQ13" s="835"/>
      <c r="BR13" s="835"/>
      <c r="BS13" s="835"/>
      <c r="BT13" s="835"/>
      <c r="BU13" s="835"/>
      <c r="BV13" s="835"/>
      <c r="BW13" s="835"/>
      <c r="BX13" s="835"/>
      <c r="BY13" s="835"/>
      <c r="BZ13" s="835"/>
      <c r="CA13" s="835"/>
      <c r="CB13" s="835"/>
      <c r="CC13" s="835"/>
      <c r="CD13" s="835"/>
      <c r="CE13" s="835"/>
      <c r="CF13" s="835"/>
      <c r="CG13" s="835"/>
      <c r="CH13" s="835"/>
      <c r="CI13" s="835"/>
      <c r="CJ13" s="835"/>
      <c r="CK13" s="835"/>
      <c r="CL13" s="835"/>
      <c r="CM13" s="835"/>
      <c r="CN13" s="835"/>
      <c r="CO13" s="835"/>
      <c r="CP13" s="835"/>
      <c r="CQ13" s="835"/>
      <c r="CR13" s="835"/>
      <c r="CS13" s="835"/>
      <c r="CT13" s="835"/>
      <c r="CU13" s="835"/>
      <c r="CV13" s="835"/>
      <c r="CW13" s="835"/>
      <c r="CX13" s="835"/>
      <c r="CY13" s="835"/>
      <c r="CZ13" s="835"/>
      <c r="DA13" s="835"/>
      <c r="DB13" s="835"/>
      <c r="DC13" s="835"/>
      <c r="DD13" s="835"/>
      <c r="DE13" s="835"/>
      <c r="DF13" s="835"/>
      <c r="DG13" s="835"/>
      <c r="DH13" s="835"/>
      <c r="DI13" s="835"/>
      <c r="DJ13" s="835"/>
      <c r="DK13" s="835"/>
      <c r="DL13" s="835"/>
      <c r="DM13" s="835"/>
      <c r="DN13" s="835"/>
      <c r="DO13" s="835"/>
      <c r="DP13" s="835"/>
      <c r="DQ13" s="835"/>
      <c r="DR13" s="835"/>
      <c r="DS13" s="835"/>
      <c r="DT13" s="835"/>
      <c r="DU13" s="835"/>
      <c r="DV13" s="835"/>
      <c r="DW13" s="835"/>
      <c r="DX13" s="835"/>
      <c r="DY13" s="835"/>
      <c r="DZ13" s="835"/>
      <c r="EA13" s="835"/>
      <c r="EB13" s="835"/>
      <c r="EC13" s="835"/>
      <c r="ED13" s="835"/>
      <c r="EE13" s="835"/>
      <c r="EF13" s="835"/>
      <c r="EG13" s="835"/>
      <c r="EH13" s="835"/>
      <c r="EI13" s="835"/>
      <c r="EJ13" s="835"/>
      <c r="EK13" s="835"/>
      <c r="EL13" s="835"/>
      <c r="EM13" s="835"/>
      <c r="EN13" s="835"/>
      <c r="EO13" s="835"/>
      <c r="EP13" s="835"/>
      <c r="EQ13" s="835"/>
      <c r="ER13" s="835"/>
      <c r="ES13" s="835"/>
      <c r="ET13" s="835"/>
      <c r="EU13" s="835"/>
      <c r="EV13" s="835"/>
      <c r="EW13" s="835"/>
      <c r="EX13" s="835"/>
      <c r="EY13" s="835"/>
      <c r="EZ13" s="835"/>
      <c r="FA13" s="835"/>
      <c r="FB13" s="835"/>
      <c r="FC13" s="835"/>
      <c r="FD13" s="835"/>
      <c r="FE13" s="835"/>
      <c r="FF13" s="835"/>
      <c r="FG13" s="835"/>
      <c r="FH13" s="835"/>
      <c r="FI13" s="835"/>
      <c r="FJ13" s="835"/>
      <c r="FK13" s="835"/>
      <c r="FL13" s="835"/>
      <c r="FM13" s="835"/>
      <c r="FN13" s="835"/>
      <c r="FO13" s="835"/>
      <c r="FP13" s="835"/>
      <c r="FQ13" s="835"/>
      <c r="FR13" s="835"/>
      <c r="FS13" s="835"/>
      <c r="FT13" s="835"/>
      <c r="FU13" s="835"/>
      <c r="FV13" s="835"/>
      <c r="FW13" s="835"/>
    </row>
    <row r="14" spans="2:22" s="32" customFormat="1" ht="16.5" thickBot="1">
      <c r="B14" s="6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012"/>
    </row>
    <row r="15" spans="2:22" s="625" customFormat="1" ht="33.75" customHeight="1" thickBot="1" thickTop="1">
      <c r="B15" s="626"/>
      <c r="C15" s="84"/>
      <c r="D15" s="84" t="s">
        <v>0</v>
      </c>
      <c r="E15" s="142" t="s">
        <v>14</v>
      </c>
      <c r="F15" s="142" t="s">
        <v>15</v>
      </c>
      <c r="G15" s="1013" t="s">
        <v>273</v>
      </c>
      <c r="H15" s="1013">
        <f>IF('[1]BASE'!FE15=0,"",'[1]BASE'!FE15)</f>
        <v>38961</v>
      </c>
      <c r="I15" s="1013">
        <f>IF('[1]BASE'!FF15=0,"",'[1]BASE'!FF15)</f>
        <v>38991</v>
      </c>
      <c r="J15" s="1013">
        <f>IF('[1]BASE'!FG15=0,"",'[1]BASE'!FG15)</f>
        <v>39022</v>
      </c>
      <c r="K15" s="1013">
        <f>IF('[1]BASE'!FH15=0,"",'[1]BASE'!FH15)</f>
        <v>39052</v>
      </c>
      <c r="L15" s="1013">
        <f>IF('[1]BASE'!FI15=0,"",'[1]BASE'!FI15)</f>
        <v>39083</v>
      </c>
      <c r="M15" s="1013">
        <v>39114</v>
      </c>
      <c r="N15" s="1013">
        <v>39142</v>
      </c>
      <c r="O15" s="1013">
        <v>39173</v>
      </c>
      <c r="P15" s="1013">
        <v>39203</v>
      </c>
      <c r="Q15" s="1013">
        <v>39234</v>
      </c>
      <c r="R15" s="1013">
        <v>39264</v>
      </c>
      <c r="S15" s="1013">
        <v>39295</v>
      </c>
      <c r="T15" s="1013">
        <v>39326</v>
      </c>
      <c r="U15" s="1013">
        <v>39356</v>
      </c>
      <c r="V15" s="1081"/>
    </row>
    <row r="16" spans="2:22" s="1014" customFormat="1" ht="19.5" customHeight="1" thickTop="1">
      <c r="B16" s="1015"/>
      <c r="C16" s="1016"/>
      <c r="D16" s="1017"/>
      <c r="E16" s="1017"/>
      <c r="F16" s="1017"/>
      <c r="G16" s="1017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1018"/>
      <c r="V16" s="1019"/>
    </row>
    <row r="17" spans="2:22" s="1014" customFormat="1" ht="19.5" customHeight="1">
      <c r="B17" s="1015"/>
      <c r="C17" s="1020">
        <f>IF('[1]BASE'!C17=0,"",'[1]BASE'!C17)</f>
        <v>1</v>
      </c>
      <c r="D17" s="1020" t="str">
        <f>IF('[1]BASE'!D17=0,"",'[1]BASE'!D17)</f>
        <v>ABASTO - OLAVARRIA 1</v>
      </c>
      <c r="E17" s="1020">
        <f>IF('[1]BASE'!E17=0,"",'[1]BASE'!E17)</f>
        <v>500</v>
      </c>
      <c r="F17" s="1020">
        <f>IF('[1]BASE'!F17=0,"",'[1]BASE'!F17)</f>
        <v>291</v>
      </c>
      <c r="G17" s="1021" t="str">
        <f>IF('[1]BASE'!G17=0,"",'[1]BASE'!G17)</f>
        <v>B</v>
      </c>
      <c r="H17" s="1022">
        <f>IF('[1]BASE'!FE17=0,"",'[1]BASE'!FE17)</f>
        <v>1</v>
      </c>
      <c r="I17" s="1022">
        <f>IF('[1]BASE'!FF17=0,"",'[1]BASE'!FF17)</f>
      </c>
      <c r="J17" s="1022">
        <f>IF('[1]BASE'!FG17=0,"",'[1]BASE'!FG17)</f>
      </c>
      <c r="K17" s="1022">
        <f>IF('[1]BASE'!FH17=0,"",'[1]BASE'!FH17)</f>
      </c>
      <c r="L17" s="1022">
        <f>IF('[1]BASE'!FI17=0,"",'[1]BASE'!FI17)</f>
      </c>
      <c r="M17" s="1022">
        <f>IF('[1]BASE'!FJ17=0,"",'[1]BASE'!FJ17)</f>
      </c>
      <c r="N17" s="1022">
        <f>IF('[1]BASE'!FK17=0,"",'[1]BASE'!FK17)</f>
        <v>1</v>
      </c>
      <c r="O17" s="1022">
        <f>IF('[1]BASE'!FL17=0,"",'[1]BASE'!FL17)</f>
      </c>
      <c r="P17" s="1022">
        <f>IF('[1]BASE'!FM17=0,"",'[1]BASE'!FM17)</f>
      </c>
      <c r="Q17" s="1022">
        <f>IF('[1]BASE'!FN17=0,"",'[1]BASE'!FN17)</f>
      </c>
      <c r="R17" s="1022">
        <f>IF('[1]BASE'!FO17=0,"",'[1]BASE'!FO17)</f>
      </c>
      <c r="S17" s="1022">
        <f>IF('[1]BASE'!FP17=0,"",'[1]BASE'!FP17)</f>
      </c>
      <c r="T17" s="1022">
        <f>IF('[1]BASE'!FQ17=0,"",'[1]BASE'!FQ17)</f>
      </c>
      <c r="U17" s="1022">
        <f>IF('[1]BASE'!FR17=0,"",'[1]BASE'!FR17)</f>
      </c>
      <c r="V17" s="1019"/>
    </row>
    <row r="18" spans="2:22" s="1014" customFormat="1" ht="19.5" customHeight="1">
      <c r="B18" s="1015"/>
      <c r="C18" s="1023">
        <f>IF('[1]BASE'!C18=0,"",'[1]BASE'!C18)</f>
        <v>2</v>
      </c>
      <c r="D18" s="1023" t="str">
        <f>IF('[1]BASE'!D18=0,"",'[1]BASE'!D18)</f>
        <v>ABASTO - OLAVARRIA 2</v>
      </c>
      <c r="E18" s="1023">
        <f>IF('[1]BASE'!E18=0,"",'[1]BASE'!E18)</f>
        <v>500</v>
      </c>
      <c r="F18" s="1023">
        <f>IF('[1]BASE'!F18=0,"",'[1]BASE'!F18)</f>
        <v>301.9</v>
      </c>
      <c r="G18" s="1024">
        <f>IF('[1]BASE'!G18=0,"",'[1]BASE'!G18)</f>
      </c>
      <c r="H18" s="1022">
        <f>IF('[1]BASE'!FE18=0,"",'[1]BASE'!FE18)</f>
        <v>1</v>
      </c>
      <c r="I18" s="1022">
        <f>IF('[1]BASE'!FF18=0,"",'[1]BASE'!FF18)</f>
      </c>
      <c r="J18" s="1022">
        <f>IF('[1]BASE'!FG18=0,"",'[1]BASE'!FG18)</f>
      </c>
      <c r="K18" s="1022">
        <f>IF('[1]BASE'!FH18=0,"",'[1]BASE'!FH18)</f>
      </c>
      <c r="L18" s="1022">
        <f>IF('[1]BASE'!FI18=0,"",'[1]BASE'!FI18)</f>
      </c>
      <c r="M18" s="1022">
        <f>IF('[1]BASE'!FJ18=0,"",'[1]BASE'!FJ18)</f>
      </c>
      <c r="N18" s="1022">
        <f>IF('[1]BASE'!FK18=0,"",'[1]BASE'!FK18)</f>
      </c>
      <c r="O18" s="1022">
        <f>IF('[1]BASE'!FL18=0,"",'[1]BASE'!FL18)</f>
      </c>
      <c r="P18" s="1022">
        <f>IF('[1]BASE'!FM18=0,"",'[1]BASE'!FM18)</f>
      </c>
      <c r="Q18" s="1022">
        <f>IF('[1]BASE'!FN18=0,"",'[1]BASE'!FN18)</f>
      </c>
      <c r="R18" s="1022">
        <f>IF('[1]BASE'!FO18=0,"",'[1]BASE'!FO18)</f>
      </c>
      <c r="S18" s="1022">
        <f>IF('[1]BASE'!FP18=0,"",'[1]BASE'!FP18)</f>
      </c>
      <c r="T18" s="1022">
        <f>IF('[1]BASE'!FQ18=0,"",'[1]BASE'!FQ18)</f>
      </c>
      <c r="U18" s="1022">
        <f>IF('[1]BASE'!FR18=0,"",'[1]BASE'!FR18)</f>
      </c>
      <c r="V18" s="1019"/>
    </row>
    <row r="19" spans="2:22" s="1014" customFormat="1" ht="19.5" customHeight="1">
      <c r="B19" s="1015"/>
      <c r="C19" s="1025">
        <f>IF('[1]BASE'!C19=0,"",'[1]BASE'!C19)</f>
        <v>3</v>
      </c>
      <c r="D19" s="1025" t="str">
        <f>IF('[1]BASE'!D19=0,"",'[1]BASE'!D19)</f>
        <v>AGUA DEL CAJON - CHOCON OESTE</v>
      </c>
      <c r="E19" s="1025">
        <f>IF('[1]BASE'!E19=0,"",'[1]BASE'!E19)</f>
        <v>500</v>
      </c>
      <c r="F19" s="1025">
        <f>IF('[1]BASE'!F19=0,"",'[1]BASE'!F19)</f>
        <v>52</v>
      </c>
      <c r="G19" s="1026">
        <f>IF('[1]BASE'!G19=0,"",'[1]BASE'!G19)</f>
      </c>
      <c r="H19" s="1022">
        <f>IF('[1]BASE'!FE19=0,"",'[1]BASE'!FE19)</f>
      </c>
      <c r="I19" s="1022">
        <f>IF('[1]BASE'!FF19=0,"",'[1]BASE'!FF19)</f>
      </c>
      <c r="J19" s="1022">
        <f>IF('[1]BASE'!FG19=0,"",'[1]BASE'!FG19)</f>
      </c>
      <c r="K19" s="1022">
        <f>IF('[1]BASE'!FH19=0,"",'[1]BASE'!FH19)</f>
      </c>
      <c r="L19" s="1022">
        <f>IF('[1]BASE'!FI19=0,"",'[1]BASE'!FI19)</f>
      </c>
      <c r="M19" s="1022">
        <f>IF('[1]BASE'!FJ19=0,"",'[1]BASE'!FJ19)</f>
      </c>
      <c r="N19" s="1022">
        <f>IF('[1]BASE'!FK19=0,"",'[1]BASE'!FK19)</f>
      </c>
      <c r="O19" s="1022">
        <f>IF('[1]BASE'!FL19=0,"",'[1]BASE'!FL19)</f>
      </c>
      <c r="P19" s="1022">
        <f>IF('[1]BASE'!FM19=0,"",'[1]BASE'!FM19)</f>
      </c>
      <c r="Q19" s="1022">
        <f>IF('[1]BASE'!FN19=0,"",'[1]BASE'!FN19)</f>
      </c>
      <c r="R19" s="1022">
        <f>IF('[1]BASE'!FO19=0,"",'[1]BASE'!FO19)</f>
      </c>
      <c r="S19" s="1022">
        <f>IF('[1]BASE'!FP19=0,"",'[1]BASE'!FP19)</f>
      </c>
      <c r="T19" s="1022">
        <f>IF('[1]BASE'!FQ19=0,"",'[1]BASE'!FQ19)</f>
      </c>
      <c r="U19" s="1022">
        <f>IF('[1]BASE'!FR19=0,"",'[1]BASE'!FR19)</f>
      </c>
      <c r="V19" s="1019"/>
    </row>
    <row r="20" spans="2:22" s="1014" customFormat="1" ht="19.5" customHeight="1">
      <c r="B20" s="1015"/>
      <c r="C20" s="1023">
        <f>IF('[1]BASE'!C20=0,"",'[1]BASE'!C20)</f>
        <v>4</v>
      </c>
      <c r="D20" s="1023" t="str">
        <f>IF('[1]BASE'!D20=0,"",'[1]BASE'!D20)</f>
        <v>ALICURA - E.T. P.del A. 1 (5LG1)</v>
      </c>
      <c r="E20" s="1023">
        <f>IF('[1]BASE'!E20=0,"",'[1]BASE'!E20)</f>
        <v>500</v>
      </c>
      <c r="F20" s="1023">
        <f>IF('[1]BASE'!F20=0,"",'[1]BASE'!F20)</f>
        <v>76</v>
      </c>
      <c r="G20" s="1024" t="str">
        <f>IF('[1]BASE'!G20=0,"",'[1]BASE'!G20)</f>
        <v>C</v>
      </c>
      <c r="H20" s="1022">
        <f>IF('[1]BASE'!FE20=0,"",'[1]BASE'!FE20)</f>
      </c>
      <c r="I20" s="1022">
        <f>IF('[1]BASE'!FF20=0,"",'[1]BASE'!FF20)</f>
      </c>
      <c r="J20" s="1022">
        <f>IF('[1]BASE'!FG20=0,"",'[1]BASE'!FG20)</f>
      </c>
      <c r="K20" s="1022">
        <f>IF('[1]BASE'!FH20=0,"",'[1]BASE'!FH20)</f>
      </c>
      <c r="L20" s="1022">
        <f>IF('[1]BASE'!FI20=0,"",'[1]BASE'!FI20)</f>
      </c>
      <c r="M20" s="1022">
        <f>IF('[1]BASE'!FJ20=0,"",'[1]BASE'!FJ20)</f>
      </c>
      <c r="N20" s="1022">
        <f>IF('[1]BASE'!FK20=0,"",'[1]BASE'!FK20)</f>
      </c>
      <c r="O20" s="1022">
        <f>IF('[1]BASE'!FL20=0,"",'[1]BASE'!FL20)</f>
      </c>
      <c r="P20" s="1022">
        <f>IF('[1]BASE'!FM20=0,"",'[1]BASE'!FM20)</f>
      </c>
      <c r="Q20" s="1022">
        <f>IF('[1]BASE'!FN20=0,"",'[1]BASE'!FN20)</f>
      </c>
      <c r="R20" s="1022">
        <f>IF('[1]BASE'!FO20=0,"",'[1]BASE'!FO20)</f>
      </c>
      <c r="S20" s="1022">
        <f>IF('[1]BASE'!FP20=0,"",'[1]BASE'!FP20)</f>
      </c>
      <c r="T20" s="1022">
        <f>IF('[1]BASE'!FQ20=0,"",'[1]BASE'!FQ20)</f>
      </c>
      <c r="U20" s="1022">
        <f>IF('[1]BASE'!FR20=0,"",'[1]BASE'!FR20)</f>
      </c>
      <c r="V20" s="1019"/>
    </row>
    <row r="21" spans="2:22" s="1014" customFormat="1" ht="19.5" customHeight="1">
      <c r="B21" s="1015"/>
      <c r="C21" s="1025">
        <f>IF('[1]BASE'!C21=0,"",'[1]BASE'!C21)</f>
        <v>5</v>
      </c>
      <c r="D21" s="1025" t="str">
        <f>IF('[1]BASE'!D21=0,"",'[1]BASE'!D21)</f>
        <v>ALICURA - E.T. P.del A. 2 (5LG2)</v>
      </c>
      <c r="E21" s="1025">
        <f>IF('[1]BASE'!E21=0,"",'[1]BASE'!E21)</f>
        <v>500</v>
      </c>
      <c r="F21" s="1025">
        <f>IF('[1]BASE'!F21=0,"",'[1]BASE'!F21)</f>
        <v>76</v>
      </c>
      <c r="G21" s="1026" t="str">
        <f>IF('[1]BASE'!G21=0,"",'[1]BASE'!G21)</f>
        <v>C</v>
      </c>
      <c r="H21" s="1022">
        <f>IF('[1]BASE'!FE21=0,"",'[1]BASE'!FE21)</f>
      </c>
      <c r="I21" s="1022">
        <f>IF('[1]BASE'!FF21=0,"",'[1]BASE'!FF21)</f>
      </c>
      <c r="J21" s="1022">
        <f>IF('[1]BASE'!FG21=0,"",'[1]BASE'!FG21)</f>
      </c>
      <c r="K21" s="1022">
        <f>IF('[1]BASE'!FH21=0,"",'[1]BASE'!FH21)</f>
      </c>
      <c r="L21" s="1022">
        <f>IF('[1]BASE'!FI21=0,"",'[1]BASE'!FI21)</f>
      </c>
      <c r="M21" s="1022">
        <f>IF('[1]BASE'!FJ21=0,"",'[1]BASE'!FJ21)</f>
      </c>
      <c r="N21" s="1022">
        <f>IF('[1]BASE'!FK21=0,"",'[1]BASE'!FK21)</f>
      </c>
      <c r="O21" s="1022">
        <f>IF('[1]BASE'!FL21=0,"",'[1]BASE'!FL21)</f>
      </c>
      <c r="P21" s="1022">
        <f>IF('[1]BASE'!FM21=0,"",'[1]BASE'!FM21)</f>
      </c>
      <c r="Q21" s="1022">
        <f>IF('[1]BASE'!FN21=0,"",'[1]BASE'!FN21)</f>
      </c>
      <c r="R21" s="1022">
        <f>IF('[1]BASE'!FO21=0,"",'[1]BASE'!FO21)</f>
      </c>
      <c r="S21" s="1022">
        <f>IF('[1]BASE'!FP21=0,"",'[1]BASE'!FP21)</f>
      </c>
      <c r="T21" s="1022">
        <f>IF('[1]BASE'!FQ21=0,"",'[1]BASE'!FQ21)</f>
      </c>
      <c r="U21" s="1022">
        <f>IF('[1]BASE'!FR21=0,"",'[1]BASE'!FR21)</f>
      </c>
      <c r="V21" s="1019"/>
    </row>
    <row r="22" spans="2:22" s="1014" customFormat="1" ht="19.5" customHeight="1">
      <c r="B22" s="1015"/>
      <c r="C22" s="1023">
        <f>IF('[1]BASE'!C22=0,"",'[1]BASE'!C22)</f>
        <v>6</v>
      </c>
      <c r="D22" s="1023" t="str">
        <f>IF('[1]BASE'!D22=0,"",'[1]BASE'!D22)</f>
        <v>ALMAFUERTE - EMBALSE </v>
      </c>
      <c r="E22" s="1023">
        <f>IF('[1]BASE'!E22=0,"",'[1]BASE'!E22)</f>
        <v>500</v>
      </c>
      <c r="F22" s="1023">
        <f>IF('[1]BASE'!F22=0,"",'[1]BASE'!F22)</f>
        <v>12</v>
      </c>
      <c r="G22" s="1024" t="str">
        <f>IF('[1]BASE'!G22=0,"",'[1]BASE'!G22)</f>
        <v>A</v>
      </c>
      <c r="H22" s="1022">
        <f>IF('[1]BASE'!FE22=0,"",'[1]BASE'!FE22)</f>
      </c>
      <c r="I22" s="1022">
        <f>IF('[1]BASE'!FF22=0,"",'[1]BASE'!FF22)</f>
      </c>
      <c r="J22" s="1022">
        <f>IF('[1]BASE'!FG22=0,"",'[1]BASE'!FG22)</f>
      </c>
      <c r="K22" s="1022">
        <f>IF('[1]BASE'!FH22=0,"",'[1]BASE'!FH22)</f>
      </c>
      <c r="L22" s="1022">
        <f>IF('[1]BASE'!FI22=0,"",'[1]BASE'!FI22)</f>
      </c>
      <c r="M22" s="1022">
        <f>IF('[1]BASE'!FJ22=0,"",'[1]BASE'!FJ22)</f>
      </c>
      <c r="N22" s="1022">
        <f>IF('[1]BASE'!FK22=0,"",'[1]BASE'!FK22)</f>
      </c>
      <c r="O22" s="1022">
        <f>IF('[1]BASE'!FL22=0,"",'[1]BASE'!FL22)</f>
      </c>
      <c r="P22" s="1022">
        <f>IF('[1]BASE'!FM22=0,"",'[1]BASE'!FM22)</f>
      </c>
      <c r="Q22" s="1022">
        <f>IF('[1]BASE'!FN22=0,"",'[1]BASE'!FN22)</f>
      </c>
      <c r="R22" s="1022">
        <f>IF('[1]BASE'!FO22=0,"",'[1]BASE'!FO22)</f>
      </c>
      <c r="S22" s="1022">
        <f>IF('[1]BASE'!FP22=0,"",'[1]BASE'!FP22)</f>
      </c>
      <c r="T22" s="1022">
        <f>IF('[1]BASE'!FQ22=0,"",'[1]BASE'!FQ22)</f>
      </c>
      <c r="U22" s="1022">
        <f>IF('[1]BASE'!FR22=0,"",'[1]BASE'!FR22)</f>
      </c>
      <c r="V22" s="1019"/>
    </row>
    <row r="23" spans="2:22" s="1014" customFormat="1" ht="19.5" customHeight="1">
      <c r="B23" s="1015"/>
      <c r="C23" s="1025">
        <f>IF('[1]BASE'!C23=0,"",'[1]BASE'!C23)</f>
        <v>7</v>
      </c>
      <c r="D23" s="1025" t="str">
        <f>IF('[1]BASE'!D23=0,"",'[1]BASE'!D23)</f>
        <v> ALMAFUERTE - ROSARIO OESTE</v>
      </c>
      <c r="E23" s="1025">
        <f>IF('[1]BASE'!E23=0,"",'[1]BASE'!E23)</f>
        <v>500</v>
      </c>
      <c r="F23" s="1025">
        <f>IF('[1]BASE'!F23=0,"",'[1]BASE'!F23)</f>
        <v>345</v>
      </c>
      <c r="G23" s="1026" t="str">
        <f>IF('[1]BASE'!G23=0,"",'[1]BASE'!G23)</f>
        <v>B</v>
      </c>
      <c r="H23" s="1022">
        <f>IF('[1]BASE'!FE23=0,"",'[1]BASE'!FE23)</f>
      </c>
      <c r="I23" s="1022">
        <f>IF('[1]BASE'!FF23=0,"",'[1]BASE'!FF23)</f>
      </c>
      <c r="J23" s="1022">
        <f>IF('[1]BASE'!FG23=0,"",'[1]BASE'!FG23)</f>
      </c>
      <c r="K23" s="1022">
        <f>IF('[1]BASE'!FH23=0,"",'[1]BASE'!FH23)</f>
      </c>
      <c r="L23" s="1022">
        <f>IF('[1]BASE'!FI23=0,"",'[1]BASE'!FI23)</f>
      </c>
      <c r="M23" s="1022">
        <f>IF('[1]BASE'!FJ23=0,"",'[1]BASE'!FJ23)</f>
      </c>
      <c r="N23" s="1022">
        <f>IF('[1]BASE'!FK23=0,"",'[1]BASE'!FK23)</f>
      </c>
      <c r="O23" s="1022">
        <f>IF('[1]BASE'!FL23=0,"",'[1]BASE'!FL23)</f>
        <v>1</v>
      </c>
      <c r="P23" s="1022">
        <f>IF('[1]BASE'!FM23=0,"",'[1]BASE'!FM23)</f>
      </c>
      <c r="Q23" s="1022">
        <f>IF('[1]BASE'!FN23=0,"",'[1]BASE'!FN23)</f>
      </c>
      <c r="R23" s="1022">
        <f>IF('[1]BASE'!FO23=0,"",'[1]BASE'!FO23)</f>
      </c>
      <c r="S23" s="1022">
        <f>IF('[1]BASE'!FP23=0,"",'[1]BASE'!FP23)</f>
      </c>
      <c r="T23" s="1022">
        <f>IF('[1]BASE'!FQ23=0,"",'[1]BASE'!FQ23)</f>
      </c>
      <c r="U23" s="1022">
        <f>IF('[1]BASE'!FR23=0,"",'[1]BASE'!FR23)</f>
      </c>
      <c r="V23" s="1019"/>
    </row>
    <row r="24" spans="2:22" s="1014" customFormat="1" ht="19.5" customHeight="1">
      <c r="B24" s="1015"/>
      <c r="C24" s="1023">
        <f>IF('[1]BASE'!C24=0,"",'[1]BASE'!C24)</f>
        <v>8</v>
      </c>
      <c r="D24" s="1023" t="str">
        <f>IF('[1]BASE'!D24=0,"",'[1]BASE'!D24)</f>
        <v>BAHIA BLANCA - CHOELE CHOEL 1</v>
      </c>
      <c r="E24" s="1023">
        <f>IF('[1]BASE'!E24=0,"",'[1]BASE'!E24)</f>
        <v>500</v>
      </c>
      <c r="F24" s="1023">
        <f>IF('[1]BASE'!F24=0,"",'[1]BASE'!F24)</f>
        <v>346</v>
      </c>
      <c r="G24" s="1024" t="str">
        <f>IF('[1]BASE'!G24=0,"",'[1]BASE'!G24)</f>
        <v>B</v>
      </c>
      <c r="H24" s="1022">
        <f>IF('[1]BASE'!FE24=0,"",'[1]BASE'!FE24)</f>
        <v>1</v>
      </c>
      <c r="I24" s="1022">
        <f>IF('[1]BASE'!FF24=0,"",'[1]BASE'!FF24)</f>
      </c>
      <c r="J24" s="1022">
        <f>IF('[1]BASE'!FG24=0,"",'[1]BASE'!FG24)</f>
      </c>
      <c r="K24" s="1022">
        <f>IF('[1]BASE'!FH24=0,"",'[1]BASE'!FH24)</f>
      </c>
      <c r="L24" s="1022">
        <f>IF('[1]BASE'!FI24=0,"",'[1]BASE'!FI24)</f>
      </c>
      <c r="M24" s="1022">
        <f>IF('[1]BASE'!FJ24=0,"",'[1]BASE'!FJ24)</f>
      </c>
      <c r="N24" s="1022">
        <f>IF('[1]BASE'!FK24=0,"",'[1]BASE'!FK24)</f>
      </c>
      <c r="O24" s="1022">
        <f>IF('[1]BASE'!FL24=0,"",'[1]BASE'!FL24)</f>
      </c>
      <c r="P24" s="1022">
        <f>IF('[1]BASE'!FM24=0,"",'[1]BASE'!FM24)</f>
      </c>
      <c r="Q24" s="1022">
        <f>IF('[1]BASE'!FN24=0,"",'[1]BASE'!FN24)</f>
      </c>
      <c r="R24" s="1022">
        <f>IF('[1]BASE'!FO24=0,"",'[1]BASE'!FO24)</f>
      </c>
      <c r="S24" s="1022">
        <f>IF('[1]BASE'!FP24=0,"",'[1]BASE'!FP24)</f>
        <v>1</v>
      </c>
      <c r="T24" s="1022">
        <f>IF('[1]BASE'!FQ24=0,"",'[1]BASE'!FQ24)</f>
      </c>
      <c r="U24" s="1022">
        <f>IF('[1]BASE'!FR24=0,"",'[1]BASE'!FR24)</f>
      </c>
      <c r="V24" s="1019"/>
    </row>
    <row r="25" spans="2:22" s="1014" customFormat="1" ht="19.5" customHeight="1">
      <c r="B25" s="1015"/>
      <c r="C25" s="1025">
        <f>IF('[1]BASE'!C25=0,"",'[1]BASE'!C25)</f>
        <v>9</v>
      </c>
      <c r="D25" s="1025" t="str">
        <f>IF('[1]BASE'!D25=0,"",'[1]BASE'!D25)</f>
        <v>BAHIA BLANCA - CHOELE CHOEL 2</v>
      </c>
      <c r="E25" s="1025">
        <f>IF('[1]BASE'!E25=0,"",'[1]BASE'!E25)</f>
        <v>500</v>
      </c>
      <c r="F25" s="1025">
        <f>IF('[1]BASE'!F25=0,"",'[1]BASE'!F25)</f>
        <v>348.4</v>
      </c>
      <c r="G25" s="1026">
        <f>IF('[1]BASE'!G25=0,"",'[1]BASE'!G25)</f>
      </c>
      <c r="H25" s="1022">
        <f>IF('[1]BASE'!FE25=0,"",'[1]BASE'!FE25)</f>
      </c>
      <c r="I25" s="1022">
        <f>IF('[1]BASE'!FF25=0,"",'[1]BASE'!FF25)</f>
      </c>
      <c r="J25" s="1022">
        <f>IF('[1]BASE'!FG25=0,"",'[1]BASE'!FG25)</f>
      </c>
      <c r="K25" s="1022">
        <f>IF('[1]BASE'!FH25=0,"",'[1]BASE'!FH25)</f>
      </c>
      <c r="L25" s="1022">
        <f>IF('[1]BASE'!FI25=0,"",'[1]BASE'!FI25)</f>
      </c>
      <c r="M25" s="1022">
        <f>IF('[1]BASE'!FJ25=0,"",'[1]BASE'!FJ25)</f>
      </c>
      <c r="N25" s="1022">
        <f>IF('[1]BASE'!FK25=0,"",'[1]BASE'!FK25)</f>
      </c>
      <c r="O25" s="1022">
        <f>IF('[1]BASE'!FL25=0,"",'[1]BASE'!FL25)</f>
      </c>
      <c r="P25" s="1022">
        <f>IF('[1]BASE'!FM25=0,"",'[1]BASE'!FM25)</f>
      </c>
      <c r="Q25" s="1022">
        <f>IF('[1]BASE'!FN25=0,"",'[1]BASE'!FN25)</f>
      </c>
      <c r="R25" s="1022">
        <f>IF('[1]BASE'!FO25=0,"",'[1]BASE'!FO25)</f>
      </c>
      <c r="S25" s="1022">
        <f>IF('[1]BASE'!FP25=0,"",'[1]BASE'!FP25)</f>
      </c>
      <c r="T25" s="1022">
        <f>IF('[1]BASE'!FQ25=0,"",'[1]BASE'!FQ25)</f>
      </c>
      <c r="U25" s="1022">
        <f>IF('[1]BASE'!FR25=0,"",'[1]BASE'!FR25)</f>
      </c>
      <c r="V25" s="1019"/>
    </row>
    <row r="26" spans="2:22" s="1014" customFormat="1" ht="19.5" customHeight="1">
      <c r="B26" s="1015"/>
      <c r="C26" s="1023">
        <f>IF('[1]BASE'!C26=0,"",'[1]BASE'!C26)</f>
        <v>10</v>
      </c>
      <c r="D26" s="1023" t="str">
        <f>IF('[1]BASE'!D26=0,"",'[1]BASE'!D26)</f>
        <v>CERR. de la CTA - P.BAND. (A3)</v>
      </c>
      <c r="E26" s="1023">
        <f>IF('[1]BASE'!E26=0,"",'[1]BASE'!E26)</f>
        <v>500</v>
      </c>
      <c r="F26" s="1023">
        <f>IF('[1]BASE'!F26=0,"",'[1]BASE'!F26)</f>
        <v>27</v>
      </c>
      <c r="G26" s="1024" t="str">
        <f>IF('[1]BASE'!G26=0,"",'[1]BASE'!G26)</f>
        <v>C</v>
      </c>
      <c r="H26" s="1022">
        <f>IF('[1]BASE'!FE26=0,"",'[1]BASE'!FE26)</f>
      </c>
      <c r="I26" s="1022">
        <f>IF('[1]BASE'!FF26=0,"",'[1]BASE'!FF26)</f>
      </c>
      <c r="J26" s="1022">
        <f>IF('[1]BASE'!FG26=0,"",'[1]BASE'!FG26)</f>
      </c>
      <c r="K26" s="1022">
        <f>IF('[1]BASE'!FH26=0,"",'[1]BASE'!FH26)</f>
      </c>
      <c r="L26" s="1022">
        <f>IF('[1]BASE'!FI26=0,"",'[1]BASE'!FI26)</f>
      </c>
      <c r="M26" s="1022">
        <f>IF('[1]BASE'!FJ26=0,"",'[1]BASE'!FJ26)</f>
      </c>
      <c r="N26" s="1022">
        <f>IF('[1]BASE'!FK26=0,"",'[1]BASE'!FK26)</f>
        <v>1</v>
      </c>
      <c r="O26" s="1022">
        <f>IF('[1]BASE'!FL26=0,"",'[1]BASE'!FL26)</f>
      </c>
      <c r="P26" s="1022">
        <f>IF('[1]BASE'!FM26=0,"",'[1]BASE'!FM26)</f>
      </c>
      <c r="Q26" s="1022">
        <f>IF('[1]BASE'!FN26=0,"",'[1]BASE'!FN26)</f>
      </c>
      <c r="R26" s="1022">
        <f>IF('[1]BASE'!FO26=0,"",'[1]BASE'!FO26)</f>
      </c>
      <c r="S26" s="1022">
        <f>IF('[1]BASE'!FP26=0,"",'[1]BASE'!FP26)</f>
      </c>
      <c r="T26" s="1022">
        <f>IF('[1]BASE'!FQ26=0,"",'[1]BASE'!FQ26)</f>
      </c>
      <c r="U26" s="1022">
        <f>IF('[1]BASE'!FR26=0,"",'[1]BASE'!FR26)</f>
      </c>
      <c r="V26" s="1019"/>
    </row>
    <row r="27" spans="2:22" s="1014" customFormat="1" ht="19.5" customHeight="1">
      <c r="B27" s="1015"/>
      <c r="C27" s="1025">
        <f>IF('[1]BASE'!C27=0,"",'[1]BASE'!C27)</f>
        <v>11</v>
      </c>
      <c r="D27" s="1025" t="str">
        <f>IF('[1]BASE'!D27=0,"",'[1]BASE'!D27)</f>
        <v>COLONIA ELIA - CAMPANA</v>
      </c>
      <c r="E27" s="1025">
        <f>IF('[1]BASE'!E27=0,"",'[1]BASE'!E27)</f>
        <v>500</v>
      </c>
      <c r="F27" s="1025">
        <f>IF('[1]BASE'!F27=0,"",'[1]BASE'!F27)</f>
        <v>194</v>
      </c>
      <c r="G27" s="1026" t="str">
        <f>IF('[1]BASE'!G27=0,"",'[1]BASE'!G27)</f>
        <v>C</v>
      </c>
      <c r="H27" s="1022">
        <f>IF('[1]BASE'!FE27=0,"",'[1]BASE'!FE27)</f>
      </c>
      <c r="I27" s="1022">
        <f>IF('[1]BASE'!FF27=0,"",'[1]BASE'!FF27)</f>
      </c>
      <c r="J27" s="1022">
        <f>IF('[1]BASE'!FG27=0,"",'[1]BASE'!FG27)</f>
      </c>
      <c r="K27" s="1022">
        <f>IF('[1]BASE'!FH27=0,"",'[1]BASE'!FH27)</f>
      </c>
      <c r="L27" s="1022">
        <f>IF('[1]BASE'!FI27=0,"",'[1]BASE'!FI27)</f>
      </c>
      <c r="M27" s="1022">
        <f>IF('[1]BASE'!FJ27=0,"",'[1]BASE'!FJ27)</f>
      </c>
      <c r="N27" s="1022">
        <f>IF('[1]BASE'!FK27=0,"",'[1]BASE'!FK27)</f>
      </c>
      <c r="O27" s="1022">
        <f>IF('[1]BASE'!FL27=0,"",'[1]BASE'!FL27)</f>
      </c>
      <c r="P27" s="1022">
        <f>IF('[1]BASE'!FM27=0,"",'[1]BASE'!FM27)</f>
      </c>
      <c r="Q27" s="1022">
        <f>IF('[1]BASE'!FN27=0,"",'[1]BASE'!FN27)</f>
      </c>
      <c r="R27" s="1022">
        <f>IF('[1]BASE'!FO27=0,"",'[1]BASE'!FO27)</f>
      </c>
      <c r="S27" s="1022">
        <f>IF('[1]BASE'!FP27=0,"",'[1]BASE'!FP27)</f>
      </c>
      <c r="T27" s="1022">
        <f>IF('[1]BASE'!FQ27=0,"",'[1]BASE'!FQ27)</f>
      </c>
      <c r="U27" s="1022">
        <f>IF('[1]BASE'!FR27=0,"",'[1]BASE'!FR27)</f>
      </c>
      <c r="V27" s="1019"/>
    </row>
    <row r="28" spans="2:22" s="1014" customFormat="1" ht="19.5" customHeight="1">
      <c r="B28" s="1015"/>
      <c r="C28" s="1023">
        <f>IF('[1]BASE'!C28=0,"",'[1]BASE'!C28)</f>
        <v>12</v>
      </c>
      <c r="D28" s="1023" t="str">
        <f>IF('[1]BASE'!D28=0,"",'[1]BASE'!D28)</f>
        <v>CHO. W. - CHOELE CHOEL (5WH1)</v>
      </c>
      <c r="E28" s="1023">
        <f>IF('[1]BASE'!E28=0,"",'[1]BASE'!E28)</f>
        <v>500</v>
      </c>
      <c r="F28" s="1023">
        <f>IF('[1]BASE'!F28=0,"",'[1]BASE'!F28)</f>
        <v>269</v>
      </c>
      <c r="G28" s="1024" t="str">
        <f>IF('[1]BASE'!G28=0,"",'[1]BASE'!G28)</f>
        <v>B</v>
      </c>
      <c r="H28" s="1022">
        <f>IF('[1]BASE'!FE28=0,"",'[1]BASE'!FE28)</f>
      </c>
      <c r="I28" s="1022">
        <f>IF('[1]BASE'!FF28=0,"",'[1]BASE'!FF28)</f>
      </c>
      <c r="J28" s="1022">
        <f>IF('[1]BASE'!FG28=0,"",'[1]BASE'!FG28)</f>
      </c>
      <c r="K28" s="1022">
        <f>IF('[1]BASE'!FH28=0,"",'[1]BASE'!FH28)</f>
      </c>
      <c r="L28" s="1022">
        <f>IF('[1]BASE'!FI28=0,"",'[1]BASE'!FI28)</f>
      </c>
      <c r="M28" s="1022">
        <f>IF('[1]BASE'!FJ28=0,"",'[1]BASE'!FJ28)</f>
      </c>
      <c r="N28" s="1022">
        <f>IF('[1]BASE'!FK28=0,"",'[1]BASE'!FK28)</f>
      </c>
      <c r="O28" s="1022">
        <f>IF('[1]BASE'!FL28=0,"",'[1]BASE'!FL28)</f>
        <v>1</v>
      </c>
      <c r="P28" s="1022">
        <f>IF('[1]BASE'!FM28=0,"",'[1]BASE'!FM28)</f>
      </c>
      <c r="Q28" s="1022">
        <f>IF('[1]BASE'!FN28=0,"",'[1]BASE'!FN28)</f>
      </c>
      <c r="R28" s="1022">
        <f>IF('[1]BASE'!FO28=0,"",'[1]BASE'!FO28)</f>
      </c>
      <c r="S28" s="1022">
        <f>IF('[1]BASE'!FP28=0,"",'[1]BASE'!FP28)</f>
      </c>
      <c r="T28" s="1022">
        <f>IF('[1]BASE'!FQ28=0,"",'[1]BASE'!FQ28)</f>
      </c>
      <c r="U28" s="1022">
        <f>IF('[1]BASE'!FR28=0,"",'[1]BASE'!FR28)</f>
      </c>
      <c r="V28" s="1019"/>
    </row>
    <row r="29" spans="2:22" s="1014" customFormat="1" ht="19.5" customHeight="1">
      <c r="B29" s="1015"/>
      <c r="C29" s="1025">
        <f>IF('[1]BASE'!C29=0,"",'[1]BASE'!C29)</f>
        <v>13</v>
      </c>
      <c r="D29" s="1025" t="str">
        <f>IF('[1]BASE'!D29=0,"",'[1]BASE'!D29)</f>
        <v>CHO.W. - CHO. 1 (5WC1)</v>
      </c>
      <c r="E29" s="1025">
        <f>IF('[1]BASE'!E29=0,"",'[1]BASE'!E29)</f>
        <v>500</v>
      </c>
      <c r="F29" s="1025">
        <f>IF('[1]BASE'!F29=0,"",'[1]BASE'!F29)</f>
        <v>4.5</v>
      </c>
      <c r="G29" s="1026" t="str">
        <f>IF('[1]BASE'!G29=0,"",'[1]BASE'!G29)</f>
        <v>C</v>
      </c>
      <c r="H29" s="1022">
        <f>IF('[1]BASE'!FE29=0,"",'[1]BASE'!FE29)</f>
      </c>
      <c r="I29" s="1022">
        <f>IF('[1]BASE'!FF29=0,"",'[1]BASE'!FF29)</f>
      </c>
      <c r="J29" s="1022">
        <f>IF('[1]BASE'!FG29=0,"",'[1]BASE'!FG29)</f>
      </c>
      <c r="K29" s="1022">
        <f>IF('[1]BASE'!FH29=0,"",'[1]BASE'!FH29)</f>
      </c>
      <c r="L29" s="1022">
        <f>IF('[1]BASE'!FI29=0,"",'[1]BASE'!FI29)</f>
      </c>
      <c r="M29" s="1022">
        <f>IF('[1]BASE'!FJ29=0,"",'[1]BASE'!FJ29)</f>
      </c>
      <c r="N29" s="1022">
        <f>IF('[1]BASE'!FK29=0,"",'[1]BASE'!FK29)</f>
      </c>
      <c r="O29" s="1022">
        <f>IF('[1]BASE'!FL29=0,"",'[1]BASE'!FL29)</f>
      </c>
      <c r="P29" s="1022">
        <f>IF('[1]BASE'!FM29=0,"",'[1]BASE'!FM29)</f>
      </c>
      <c r="Q29" s="1022">
        <f>IF('[1]BASE'!FN29=0,"",'[1]BASE'!FN29)</f>
      </c>
      <c r="R29" s="1022">
        <f>IF('[1]BASE'!FO29=0,"",'[1]BASE'!FO29)</f>
      </c>
      <c r="S29" s="1022">
        <f>IF('[1]BASE'!FP29=0,"",'[1]BASE'!FP29)</f>
      </c>
      <c r="T29" s="1022">
        <f>IF('[1]BASE'!FQ29=0,"",'[1]BASE'!FQ29)</f>
      </c>
      <c r="U29" s="1022">
        <f>IF('[1]BASE'!FR29=0,"",'[1]BASE'!FR29)</f>
      </c>
      <c r="V29" s="1019"/>
    </row>
    <row r="30" spans="2:22" s="1014" customFormat="1" ht="19.5" customHeight="1">
      <c r="B30" s="1015"/>
      <c r="C30" s="1023">
        <f>IF('[1]BASE'!C30=0,"",'[1]BASE'!C30)</f>
        <v>14</v>
      </c>
      <c r="D30" s="1023" t="str">
        <f>IF('[1]BASE'!D30=0,"",'[1]BASE'!D30)</f>
        <v>CHO.W. - CHO. 2 (5WC2)</v>
      </c>
      <c r="E30" s="1023">
        <f>IF('[1]BASE'!E30=0,"",'[1]BASE'!E30)</f>
        <v>500</v>
      </c>
      <c r="F30" s="1023">
        <f>IF('[1]BASE'!F30=0,"",'[1]BASE'!F30)</f>
        <v>4.5</v>
      </c>
      <c r="G30" s="1024" t="str">
        <f>IF('[1]BASE'!G30=0,"",'[1]BASE'!G30)</f>
        <v>C</v>
      </c>
      <c r="H30" s="1022">
        <f>IF('[1]BASE'!FE30=0,"",'[1]BASE'!FE30)</f>
      </c>
      <c r="I30" s="1022">
        <f>IF('[1]BASE'!FF30=0,"",'[1]BASE'!FF30)</f>
      </c>
      <c r="J30" s="1022">
        <f>IF('[1]BASE'!FG30=0,"",'[1]BASE'!FG30)</f>
      </c>
      <c r="K30" s="1022">
        <f>IF('[1]BASE'!FH30=0,"",'[1]BASE'!FH30)</f>
      </c>
      <c r="L30" s="1022">
        <f>IF('[1]BASE'!FI30=0,"",'[1]BASE'!FI30)</f>
      </c>
      <c r="M30" s="1022">
        <f>IF('[1]BASE'!FJ30=0,"",'[1]BASE'!FJ30)</f>
      </c>
      <c r="N30" s="1022">
        <f>IF('[1]BASE'!FK30=0,"",'[1]BASE'!FK30)</f>
      </c>
      <c r="O30" s="1022">
        <f>IF('[1]BASE'!FL30=0,"",'[1]BASE'!FL30)</f>
      </c>
      <c r="P30" s="1022">
        <f>IF('[1]BASE'!FM30=0,"",'[1]BASE'!FM30)</f>
      </c>
      <c r="Q30" s="1022">
        <f>IF('[1]BASE'!FN30=0,"",'[1]BASE'!FN30)</f>
      </c>
      <c r="R30" s="1022">
        <f>IF('[1]BASE'!FO30=0,"",'[1]BASE'!FO30)</f>
      </c>
      <c r="S30" s="1022">
        <f>IF('[1]BASE'!FP30=0,"",'[1]BASE'!FP30)</f>
      </c>
      <c r="T30" s="1022">
        <f>IF('[1]BASE'!FQ30=0,"",'[1]BASE'!FQ30)</f>
      </c>
      <c r="U30" s="1022">
        <f>IF('[1]BASE'!FR30=0,"",'[1]BASE'!FR30)</f>
      </c>
      <c r="V30" s="1019"/>
    </row>
    <row r="31" spans="2:22" s="1014" customFormat="1" ht="19.5" customHeight="1">
      <c r="B31" s="1015"/>
      <c r="C31" s="1025">
        <f>IF('[1]BASE'!C31=0,"",'[1]BASE'!C31)</f>
        <v>15</v>
      </c>
      <c r="D31" s="1025" t="str">
        <f>IF('[1]BASE'!D31=0,"",'[1]BASE'!D31)</f>
        <v>CHOCON - C.H. CHOCON 1</v>
      </c>
      <c r="E31" s="1025">
        <f>IF('[1]BASE'!E31=0,"",'[1]BASE'!E31)</f>
        <v>500</v>
      </c>
      <c r="F31" s="1025">
        <f>IF('[1]BASE'!F31=0,"",'[1]BASE'!F31)</f>
        <v>3</v>
      </c>
      <c r="G31" s="1026" t="str">
        <f>IF('[1]BASE'!G31=0,"",'[1]BASE'!G31)</f>
        <v>C</v>
      </c>
      <c r="H31" s="1022">
        <f>IF('[1]BASE'!FE31=0,"",'[1]BASE'!FE31)</f>
      </c>
      <c r="I31" s="1022">
        <f>IF('[1]BASE'!FF31=0,"",'[1]BASE'!FF31)</f>
      </c>
      <c r="J31" s="1022">
        <f>IF('[1]BASE'!FG31=0,"",'[1]BASE'!FG31)</f>
      </c>
      <c r="K31" s="1022">
        <f>IF('[1]BASE'!FH31=0,"",'[1]BASE'!FH31)</f>
      </c>
      <c r="L31" s="1022">
        <f>IF('[1]BASE'!FI31=0,"",'[1]BASE'!FI31)</f>
      </c>
      <c r="M31" s="1022">
        <f>IF('[1]BASE'!FJ31=0,"",'[1]BASE'!FJ31)</f>
      </c>
      <c r="N31" s="1022">
        <f>IF('[1]BASE'!FK31=0,"",'[1]BASE'!FK31)</f>
      </c>
      <c r="O31" s="1022">
        <f>IF('[1]BASE'!FL31=0,"",'[1]BASE'!FL31)</f>
      </c>
      <c r="P31" s="1022">
        <f>IF('[1]BASE'!FM31=0,"",'[1]BASE'!FM31)</f>
      </c>
      <c r="Q31" s="1022">
        <f>IF('[1]BASE'!FN31=0,"",'[1]BASE'!FN31)</f>
      </c>
      <c r="R31" s="1022">
        <f>IF('[1]BASE'!FO31=0,"",'[1]BASE'!FO31)</f>
      </c>
      <c r="S31" s="1022">
        <f>IF('[1]BASE'!FP31=0,"",'[1]BASE'!FP31)</f>
      </c>
      <c r="T31" s="1022">
        <f>IF('[1]BASE'!FQ31=0,"",'[1]BASE'!FQ31)</f>
      </c>
      <c r="U31" s="1022">
        <f>IF('[1]BASE'!FR31=0,"",'[1]BASE'!FR31)</f>
      </c>
      <c r="V31" s="1019"/>
    </row>
    <row r="32" spans="2:22" s="1014" customFormat="1" ht="19.5" customHeight="1">
      <c r="B32" s="1015"/>
      <c r="C32" s="1023">
        <f>IF('[1]BASE'!C32=0,"",'[1]BASE'!C32)</f>
        <v>16</v>
      </c>
      <c r="D32" s="1023" t="str">
        <f>IF('[1]BASE'!D32=0,"",'[1]BASE'!D32)</f>
        <v>CHOCON - C.H. CHOCON 2</v>
      </c>
      <c r="E32" s="1023">
        <f>IF('[1]BASE'!E32=0,"",'[1]BASE'!E32)</f>
        <v>500</v>
      </c>
      <c r="F32" s="1023">
        <f>IF('[1]BASE'!F32=0,"",'[1]BASE'!F32)</f>
        <v>3</v>
      </c>
      <c r="G32" s="1024" t="str">
        <f>IF('[1]BASE'!G32=0,"",'[1]BASE'!G32)</f>
        <v>C</v>
      </c>
      <c r="H32" s="1022">
        <f>IF('[1]BASE'!FE32=0,"",'[1]BASE'!FE32)</f>
      </c>
      <c r="I32" s="1022">
        <f>IF('[1]BASE'!FF32=0,"",'[1]BASE'!FF32)</f>
      </c>
      <c r="J32" s="1022">
        <f>IF('[1]BASE'!FG32=0,"",'[1]BASE'!FG32)</f>
      </c>
      <c r="K32" s="1022">
        <f>IF('[1]BASE'!FH32=0,"",'[1]BASE'!FH32)</f>
      </c>
      <c r="L32" s="1022">
        <f>IF('[1]BASE'!FI32=0,"",'[1]BASE'!FI32)</f>
      </c>
      <c r="M32" s="1022">
        <f>IF('[1]BASE'!FJ32=0,"",'[1]BASE'!FJ32)</f>
      </c>
      <c r="N32" s="1022">
        <f>IF('[1]BASE'!FK32=0,"",'[1]BASE'!FK32)</f>
      </c>
      <c r="O32" s="1022">
        <f>IF('[1]BASE'!FL32=0,"",'[1]BASE'!FL32)</f>
      </c>
      <c r="P32" s="1022">
        <f>IF('[1]BASE'!FM32=0,"",'[1]BASE'!FM32)</f>
      </c>
      <c r="Q32" s="1022">
        <f>IF('[1]BASE'!FN32=0,"",'[1]BASE'!FN32)</f>
      </c>
      <c r="R32" s="1022">
        <f>IF('[1]BASE'!FO32=0,"",'[1]BASE'!FO32)</f>
      </c>
      <c r="S32" s="1022">
        <f>IF('[1]BASE'!FP32=0,"",'[1]BASE'!FP32)</f>
      </c>
      <c r="T32" s="1022">
        <f>IF('[1]BASE'!FQ32=0,"",'[1]BASE'!FQ32)</f>
      </c>
      <c r="U32" s="1022">
        <f>IF('[1]BASE'!FR32=0,"",'[1]BASE'!FR32)</f>
      </c>
      <c r="V32" s="1019"/>
    </row>
    <row r="33" spans="2:22" s="1014" customFormat="1" ht="19.5" customHeight="1">
      <c r="B33" s="1015"/>
      <c r="C33" s="1025">
        <f>IF('[1]BASE'!C33=0,"",'[1]BASE'!C33)</f>
        <v>17</v>
      </c>
      <c r="D33" s="1025" t="str">
        <f>IF('[1]BASE'!D33=0,"",'[1]BASE'!D33)</f>
        <v>CHOCON - C.H. CHOCON 3</v>
      </c>
      <c r="E33" s="1025">
        <f>IF('[1]BASE'!E33=0,"",'[1]BASE'!E33)</f>
        <v>500</v>
      </c>
      <c r="F33" s="1025">
        <f>IF('[1]BASE'!F33=0,"",'[1]BASE'!F33)</f>
        <v>3</v>
      </c>
      <c r="G33" s="1026" t="str">
        <f>IF('[1]BASE'!G33=0,"",'[1]BASE'!G33)</f>
        <v>C</v>
      </c>
      <c r="H33" s="1022">
        <f>IF('[1]BASE'!FE33=0,"",'[1]BASE'!FE33)</f>
      </c>
      <c r="I33" s="1022">
        <f>IF('[1]BASE'!FF33=0,"",'[1]BASE'!FF33)</f>
      </c>
      <c r="J33" s="1022">
        <f>IF('[1]BASE'!FG33=0,"",'[1]BASE'!FG33)</f>
      </c>
      <c r="K33" s="1022">
        <f>IF('[1]BASE'!FH33=0,"",'[1]BASE'!FH33)</f>
      </c>
      <c r="L33" s="1022">
        <f>IF('[1]BASE'!FI33=0,"",'[1]BASE'!FI33)</f>
      </c>
      <c r="M33" s="1022">
        <f>IF('[1]BASE'!FJ33=0,"",'[1]BASE'!FJ33)</f>
      </c>
      <c r="N33" s="1022">
        <f>IF('[1]BASE'!FK33=0,"",'[1]BASE'!FK33)</f>
      </c>
      <c r="O33" s="1022">
        <f>IF('[1]BASE'!FL33=0,"",'[1]BASE'!FL33)</f>
      </c>
      <c r="P33" s="1022">
        <f>IF('[1]BASE'!FM33=0,"",'[1]BASE'!FM33)</f>
      </c>
      <c r="Q33" s="1022">
        <f>IF('[1]BASE'!FN33=0,"",'[1]BASE'!FN33)</f>
      </c>
      <c r="R33" s="1022">
        <f>IF('[1]BASE'!FO33=0,"",'[1]BASE'!FO33)</f>
      </c>
      <c r="S33" s="1022">
        <f>IF('[1]BASE'!FP33=0,"",'[1]BASE'!FP33)</f>
      </c>
      <c r="T33" s="1022">
        <f>IF('[1]BASE'!FQ33=0,"",'[1]BASE'!FQ33)</f>
      </c>
      <c r="U33" s="1022">
        <f>IF('[1]BASE'!FR33=0,"",'[1]BASE'!FR33)</f>
      </c>
      <c r="V33" s="1019"/>
    </row>
    <row r="34" spans="2:22" s="1014" customFormat="1" ht="19.5" customHeight="1">
      <c r="B34" s="1015"/>
      <c r="C34" s="1023">
        <f>IF('[1]BASE'!C34=0,"",'[1]BASE'!C34)</f>
        <v>18</v>
      </c>
      <c r="D34" s="1023" t="str">
        <f>IF('[1]BASE'!D34=0,"",'[1]BASE'!D34)</f>
        <v>CHOCON - PUELCHES 1</v>
      </c>
      <c r="E34" s="1023">
        <f>IF('[1]BASE'!E34=0,"",'[1]BASE'!E34)</f>
        <v>500</v>
      </c>
      <c r="F34" s="1023">
        <f>IF('[1]BASE'!F34=0,"",'[1]BASE'!F34)</f>
        <v>304</v>
      </c>
      <c r="G34" s="1024" t="str">
        <f>IF('[1]BASE'!G34=0,"",'[1]BASE'!G34)</f>
        <v>A</v>
      </c>
      <c r="H34" s="1022">
        <f>IF('[1]BASE'!FE34=0,"",'[1]BASE'!FE34)</f>
      </c>
      <c r="I34" s="1022">
        <f>IF('[1]BASE'!FF34=0,"",'[1]BASE'!FF34)</f>
      </c>
      <c r="J34" s="1022">
        <f>IF('[1]BASE'!FG34=0,"",'[1]BASE'!FG34)</f>
      </c>
      <c r="K34" s="1022">
        <f>IF('[1]BASE'!FH34=0,"",'[1]BASE'!FH34)</f>
      </c>
      <c r="L34" s="1022">
        <f>IF('[1]BASE'!FI34=0,"",'[1]BASE'!FI34)</f>
      </c>
      <c r="M34" s="1022">
        <f>IF('[1]BASE'!FJ34=0,"",'[1]BASE'!FJ34)</f>
      </c>
      <c r="N34" s="1022">
        <f>IF('[1]BASE'!FK34=0,"",'[1]BASE'!FK34)</f>
      </c>
      <c r="O34" s="1022">
        <f>IF('[1]BASE'!FL34=0,"",'[1]BASE'!FL34)</f>
      </c>
      <c r="P34" s="1022">
        <f>IF('[1]BASE'!FM34=0,"",'[1]BASE'!FM34)</f>
      </c>
      <c r="Q34" s="1022">
        <f>IF('[1]BASE'!FN34=0,"",'[1]BASE'!FN34)</f>
      </c>
      <c r="R34" s="1022">
        <f>IF('[1]BASE'!FO34=0,"",'[1]BASE'!FO34)</f>
      </c>
      <c r="S34" s="1022">
        <f>IF('[1]BASE'!FP34=0,"",'[1]BASE'!FP34)</f>
      </c>
      <c r="T34" s="1022">
        <f>IF('[1]BASE'!FQ34=0,"",'[1]BASE'!FQ34)</f>
      </c>
      <c r="U34" s="1022">
        <f>IF('[1]BASE'!FR34=0,"",'[1]BASE'!FR34)</f>
      </c>
      <c r="V34" s="1019"/>
    </row>
    <row r="35" spans="2:22" s="1014" customFormat="1" ht="19.5" customHeight="1">
      <c r="B35" s="1015"/>
      <c r="C35" s="1025">
        <f>IF('[1]BASE'!C35=0,"",'[1]BASE'!C35)</f>
        <v>19</v>
      </c>
      <c r="D35" s="1025" t="str">
        <f>IF('[1]BASE'!D35=0,"",'[1]BASE'!D35)</f>
        <v>CHOCON - PUELCHES 2</v>
      </c>
      <c r="E35" s="1025">
        <f>IF('[1]BASE'!E35=0,"",'[1]BASE'!E35)</f>
        <v>500</v>
      </c>
      <c r="F35" s="1025">
        <f>IF('[1]BASE'!F35=0,"",'[1]BASE'!F35)</f>
        <v>304</v>
      </c>
      <c r="G35" s="1026" t="str">
        <f>IF('[1]BASE'!G35=0,"",'[1]BASE'!G35)</f>
        <v>A</v>
      </c>
      <c r="H35" s="1022">
        <f>IF('[1]BASE'!FE35=0,"",'[1]BASE'!FE35)</f>
      </c>
      <c r="I35" s="1022">
        <f>IF('[1]BASE'!FF35=0,"",'[1]BASE'!FF35)</f>
      </c>
      <c r="J35" s="1022">
        <f>IF('[1]BASE'!FG35=0,"",'[1]BASE'!FG35)</f>
      </c>
      <c r="K35" s="1022">
        <f>IF('[1]BASE'!FH35=0,"",'[1]BASE'!FH35)</f>
      </c>
      <c r="L35" s="1022">
        <f>IF('[1]BASE'!FI35=0,"",'[1]BASE'!FI35)</f>
      </c>
      <c r="M35" s="1022">
        <f>IF('[1]BASE'!FJ35=0,"",'[1]BASE'!FJ35)</f>
      </c>
      <c r="N35" s="1022">
        <f>IF('[1]BASE'!FK35=0,"",'[1]BASE'!FK35)</f>
      </c>
      <c r="O35" s="1022">
        <f>IF('[1]BASE'!FL35=0,"",'[1]BASE'!FL35)</f>
      </c>
      <c r="P35" s="1022">
        <f>IF('[1]BASE'!FM35=0,"",'[1]BASE'!FM35)</f>
      </c>
      <c r="Q35" s="1022">
        <f>IF('[1]BASE'!FN35=0,"",'[1]BASE'!FN35)</f>
      </c>
      <c r="R35" s="1022">
        <f>IF('[1]BASE'!FO35=0,"",'[1]BASE'!FO35)</f>
      </c>
      <c r="S35" s="1022">
        <f>IF('[1]BASE'!FP35=0,"",'[1]BASE'!FP35)</f>
      </c>
      <c r="T35" s="1022">
        <f>IF('[1]BASE'!FQ35=0,"",'[1]BASE'!FQ35)</f>
      </c>
      <c r="U35" s="1022">
        <f>IF('[1]BASE'!FR35=0,"",'[1]BASE'!FR35)</f>
      </c>
      <c r="V35" s="1019"/>
    </row>
    <row r="36" spans="2:22" s="1014" customFormat="1" ht="19.5" customHeight="1">
      <c r="B36" s="1015"/>
      <c r="C36" s="1023">
        <f>IF('[1]BASE'!C36=0,"",'[1]BASE'!C36)</f>
        <v>20</v>
      </c>
      <c r="D36" s="1023" t="str">
        <f>IF('[1]BASE'!D36=0,"",'[1]BASE'!D36)</f>
        <v>E.T.P.del AGUILA - CENTRAL P.del A. 1</v>
      </c>
      <c r="E36" s="1023">
        <f>IF('[1]BASE'!E36=0,"",'[1]BASE'!E36)</f>
        <v>500</v>
      </c>
      <c r="F36" s="1023">
        <f>IF('[1]BASE'!F36=0,"",'[1]BASE'!F36)</f>
        <v>5.6</v>
      </c>
      <c r="G36" s="1024" t="str">
        <f>IF('[1]BASE'!G36=0,"",'[1]BASE'!G36)</f>
        <v>C</v>
      </c>
      <c r="H36" s="1022">
        <f>IF('[1]BASE'!FE36=0,"",'[1]BASE'!FE36)</f>
      </c>
      <c r="I36" s="1022">
        <f>IF('[1]BASE'!FF36=0,"",'[1]BASE'!FF36)</f>
      </c>
      <c r="J36" s="1022">
        <f>IF('[1]BASE'!FG36=0,"",'[1]BASE'!FG36)</f>
      </c>
      <c r="K36" s="1022">
        <f>IF('[1]BASE'!FH36=0,"",'[1]BASE'!FH36)</f>
      </c>
      <c r="L36" s="1022">
        <f>IF('[1]BASE'!FI36=0,"",'[1]BASE'!FI36)</f>
      </c>
      <c r="M36" s="1022">
        <f>IF('[1]BASE'!FJ36=0,"",'[1]BASE'!FJ36)</f>
      </c>
      <c r="N36" s="1022">
        <f>IF('[1]BASE'!FK36=0,"",'[1]BASE'!FK36)</f>
      </c>
      <c r="O36" s="1022">
        <f>IF('[1]BASE'!FL36=0,"",'[1]BASE'!FL36)</f>
      </c>
      <c r="P36" s="1022">
        <f>IF('[1]BASE'!FM36=0,"",'[1]BASE'!FM36)</f>
      </c>
      <c r="Q36" s="1022">
        <f>IF('[1]BASE'!FN36=0,"",'[1]BASE'!FN36)</f>
      </c>
      <c r="R36" s="1022">
        <f>IF('[1]BASE'!FO36=0,"",'[1]BASE'!FO36)</f>
      </c>
      <c r="S36" s="1022">
        <f>IF('[1]BASE'!FP36=0,"",'[1]BASE'!FP36)</f>
      </c>
      <c r="T36" s="1022">
        <f>IF('[1]BASE'!FQ36=0,"",'[1]BASE'!FQ36)</f>
      </c>
      <c r="U36" s="1022">
        <f>IF('[1]BASE'!FR36=0,"",'[1]BASE'!FR36)</f>
      </c>
      <c r="V36" s="1019"/>
    </row>
    <row r="37" spans="2:22" s="1014" customFormat="1" ht="19.5" customHeight="1">
      <c r="B37" s="1015"/>
      <c r="C37" s="1025">
        <f>IF('[1]BASE'!C37=0,"",'[1]BASE'!C37)</f>
        <v>21</v>
      </c>
      <c r="D37" s="1025" t="str">
        <f>IF('[1]BASE'!D37=0,"",'[1]BASE'!D37)</f>
        <v>E.T.P.del AGUILA - CENTRAL P.del A. 2</v>
      </c>
      <c r="E37" s="1025">
        <f>IF('[1]BASE'!E37=0,"",'[1]BASE'!E37)</f>
        <v>500</v>
      </c>
      <c r="F37" s="1025">
        <f>IF('[1]BASE'!F37=0,"",'[1]BASE'!F37)</f>
        <v>5.6</v>
      </c>
      <c r="G37" s="1026" t="str">
        <f>IF('[1]BASE'!G37=0,"",'[1]BASE'!G37)</f>
        <v>C</v>
      </c>
      <c r="H37" s="1022">
        <f>IF('[1]BASE'!FE37=0,"",'[1]BASE'!FE37)</f>
      </c>
      <c r="I37" s="1022">
        <f>IF('[1]BASE'!FF37=0,"",'[1]BASE'!FF37)</f>
      </c>
      <c r="J37" s="1022">
        <f>IF('[1]BASE'!FG37=0,"",'[1]BASE'!FG37)</f>
      </c>
      <c r="K37" s="1022">
        <f>IF('[1]BASE'!FH37=0,"",'[1]BASE'!FH37)</f>
      </c>
      <c r="L37" s="1022">
        <f>IF('[1]BASE'!FI37=0,"",'[1]BASE'!FI37)</f>
      </c>
      <c r="M37" s="1022">
        <f>IF('[1]BASE'!FJ37=0,"",'[1]BASE'!FJ37)</f>
      </c>
      <c r="N37" s="1022">
        <f>IF('[1]BASE'!FK37=0,"",'[1]BASE'!FK37)</f>
      </c>
      <c r="O37" s="1022">
        <f>IF('[1]BASE'!FL37=0,"",'[1]BASE'!FL37)</f>
      </c>
      <c r="P37" s="1022">
        <f>IF('[1]BASE'!FM37=0,"",'[1]BASE'!FM37)</f>
      </c>
      <c r="Q37" s="1022">
        <f>IF('[1]BASE'!FN37=0,"",'[1]BASE'!FN37)</f>
      </c>
      <c r="R37" s="1022">
        <f>IF('[1]BASE'!FO37=0,"",'[1]BASE'!FO37)</f>
      </c>
      <c r="S37" s="1022">
        <f>IF('[1]BASE'!FP37=0,"",'[1]BASE'!FP37)</f>
      </c>
      <c r="T37" s="1022">
        <f>IF('[1]BASE'!FQ37=0,"",'[1]BASE'!FQ37)</f>
      </c>
      <c r="U37" s="1022">
        <f>IF('[1]BASE'!FR37=0,"",'[1]BASE'!FR37)</f>
      </c>
      <c r="V37" s="1019"/>
    </row>
    <row r="38" spans="2:22" s="1014" customFormat="1" ht="19.5" customHeight="1">
      <c r="B38" s="1015"/>
      <c r="C38" s="1023">
        <f>IF('[1]BASE'!C38=0,"",'[1]BASE'!C38)</f>
        <v>22</v>
      </c>
      <c r="D38" s="1023" t="str">
        <f>IF('[1]BASE'!D38=0,"",'[1]BASE'!D38)</f>
        <v>EL BRACHO - RECREO(5)</v>
      </c>
      <c r="E38" s="1023">
        <f>IF('[1]BASE'!E38=0,"",'[1]BASE'!E38)</f>
        <v>500</v>
      </c>
      <c r="F38" s="1023">
        <f>IF('[1]BASE'!F38=0,"",'[1]BASE'!F38)</f>
        <v>255</v>
      </c>
      <c r="G38" s="1024" t="str">
        <f>IF('[1]BASE'!G38=0,"",'[1]BASE'!G38)</f>
        <v>C</v>
      </c>
      <c r="H38" s="1022">
        <f>IF('[1]BASE'!FE38=0,"",'[1]BASE'!FE38)</f>
      </c>
      <c r="I38" s="1022">
        <f>IF('[1]BASE'!FF38=0,"",'[1]BASE'!FF38)</f>
      </c>
      <c r="J38" s="1022">
        <f>IF('[1]BASE'!FG38=0,"",'[1]BASE'!FG38)</f>
      </c>
      <c r="K38" s="1022">
        <f>IF('[1]BASE'!FH38=0,"",'[1]BASE'!FH38)</f>
      </c>
      <c r="L38" s="1022">
        <f>IF('[1]BASE'!FI38=0,"",'[1]BASE'!FI38)</f>
      </c>
      <c r="M38" s="1022">
        <f>IF('[1]BASE'!FJ38=0,"",'[1]BASE'!FJ38)</f>
      </c>
      <c r="N38" s="1022">
        <f>IF('[1]BASE'!FK38=0,"",'[1]BASE'!FK38)</f>
      </c>
      <c r="O38" s="1022">
        <f>IF('[1]BASE'!FL38=0,"",'[1]BASE'!FL38)</f>
      </c>
      <c r="P38" s="1022">
        <f>IF('[1]BASE'!FM38=0,"",'[1]BASE'!FM38)</f>
      </c>
      <c r="Q38" s="1022">
        <f>IF('[1]BASE'!FN38=0,"",'[1]BASE'!FN38)</f>
      </c>
      <c r="R38" s="1022">
        <f>IF('[1]BASE'!FO38=0,"",'[1]BASE'!FO38)</f>
      </c>
      <c r="S38" s="1022">
        <f>IF('[1]BASE'!FP38=0,"",'[1]BASE'!FP38)</f>
      </c>
      <c r="T38" s="1022">
        <f>IF('[1]BASE'!FQ38=0,"",'[1]BASE'!FQ38)</f>
      </c>
      <c r="U38" s="1022">
        <f>IF('[1]BASE'!FR38=0,"",'[1]BASE'!FR38)</f>
      </c>
      <c r="V38" s="1019"/>
    </row>
    <row r="39" spans="2:22" s="1014" customFormat="1" ht="19.5" customHeight="1">
      <c r="B39" s="1015"/>
      <c r="C39" s="1025">
        <f>IF('[1]BASE'!C39=0,"",'[1]BASE'!C39)</f>
        <v>23</v>
      </c>
      <c r="D39" s="1025" t="str">
        <f>IF('[1]BASE'!D39=0,"",'[1]BASE'!D39)</f>
        <v>EZEIZA - ABASTO 1</v>
      </c>
      <c r="E39" s="1025">
        <f>IF('[1]BASE'!E39=0,"",'[1]BASE'!E39)</f>
        <v>500</v>
      </c>
      <c r="F39" s="1025">
        <f>IF('[1]BASE'!F39=0,"",'[1]BASE'!F39)</f>
        <v>58</v>
      </c>
      <c r="G39" s="1026" t="str">
        <f>IF('[1]BASE'!G39=0,"",'[1]BASE'!G39)</f>
        <v>C</v>
      </c>
      <c r="H39" s="1022">
        <f>IF('[1]BASE'!FE39=0,"",'[1]BASE'!FE39)</f>
      </c>
      <c r="I39" s="1022">
        <f>IF('[1]BASE'!FF39=0,"",'[1]BASE'!FF39)</f>
      </c>
      <c r="J39" s="1022">
        <f>IF('[1]BASE'!FG39=0,"",'[1]BASE'!FG39)</f>
      </c>
      <c r="K39" s="1022">
        <f>IF('[1]BASE'!FH39=0,"",'[1]BASE'!FH39)</f>
      </c>
      <c r="L39" s="1022">
        <f>IF('[1]BASE'!FI39=0,"",'[1]BASE'!FI39)</f>
      </c>
      <c r="M39" s="1022">
        <f>IF('[1]BASE'!FJ39=0,"",'[1]BASE'!FJ39)</f>
      </c>
      <c r="N39" s="1022">
        <f>IF('[1]BASE'!FK39=0,"",'[1]BASE'!FK39)</f>
      </c>
      <c r="O39" s="1022">
        <f>IF('[1]BASE'!FL39=0,"",'[1]BASE'!FL39)</f>
      </c>
      <c r="P39" s="1022">
        <f>IF('[1]BASE'!FM39=0,"",'[1]BASE'!FM39)</f>
      </c>
      <c r="Q39" s="1022">
        <f>IF('[1]BASE'!FN39=0,"",'[1]BASE'!FN39)</f>
      </c>
      <c r="R39" s="1022">
        <f>IF('[1]BASE'!FO39=0,"",'[1]BASE'!FO39)</f>
      </c>
      <c r="S39" s="1022">
        <f>IF('[1]BASE'!FP39=0,"",'[1]BASE'!FP39)</f>
      </c>
      <c r="T39" s="1022">
        <f>IF('[1]BASE'!FQ39=0,"",'[1]BASE'!FQ39)</f>
      </c>
      <c r="U39" s="1022">
        <f>IF('[1]BASE'!FR39=0,"",'[1]BASE'!FR39)</f>
      </c>
      <c r="V39" s="1019"/>
    </row>
    <row r="40" spans="2:22" s="1014" customFormat="1" ht="19.5" customHeight="1">
      <c r="B40" s="1015"/>
      <c r="C40" s="1023">
        <f>IF('[1]BASE'!C40=0,"",'[1]BASE'!C40)</f>
        <v>24</v>
      </c>
      <c r="D40" s="1023" t="str">
        <f>IF('[1]BASE'!D40=0,"",'[1]BASE'!D40)</f>
        <v>EZEIZA - ABASTO 2</v>
      </c>
      <c r="E40" s="1023">
        <f>IF('[1]BASE'!E40=0,"",'[1]BASE'!E40)</f>
        <v>500</v>
      </c>
      <c r="F40" s="1023">
        <f>IF('[1]BASE'!F40=0,"",'[1]BASE'!F40)</f>
        <v>58</v>
      </c>
      <c r="G40" s="1024" t="str">
        <f>IF('[1]BASE'!G40=0,"",'[1]BASE'!G40)</f>
        <v>C</v>
      </c>
      <c r="H40" s="1022">
        <f>IF('[1]BASE'!FE40=0,"",'[1]BASE'!FE40)</f>
      </c>
      <c r="I40" s="1022">
        <f>IF('[1]BASE'!FF40=0,"",'[1]BASE'!FF40)</f>
      </c>
      <c r="J40" s="1022">
        <f>IF('[1]BASE'!FG40=0,"",'[1]BASE'!FG40)</f>
      </c>
      <c r="K40" s="1022">
        <f>IF('[1]BASE'!FH40=0,"",'[1]BASE'!FH40)</f>
      </c>
      <c r="L40" s="1022">
        <f>IF('[1]BASE'!FI40=0,"",'[1]BASE'!FI40)</f>
      </c>
      <c r="M40" s="1022">
        <f>IF('[1]BASE'!FJ40=0,"",'[1]BASE'!FJ40)</f>
      </c>
      <c r="N40" s="1022">
        <f>IF('[1]BASE'!FK40=0,"",'[1]BASE'!FK40)</f>
      </c>
      <c r="O40" s="1022">
        <f>IF('[1]BASE'!FL40=0,"",'[1]BASE'!FL40)</f>
      </c>
      <c r="P40" s="1022">
        <f>IF('[1]BASE'!FM40=0,"",'[1]BASE'!FM40)</f>
      </c>
      <c r="Q40" s="1022">
        <f>IF('[1]BASE'!FN40=0,"",'[1]BASE'!FN40)</f>
      </c>
      <c r="R40" s="1022">
        <f>IF('[1]BASE'!FO40=0,"",'[1]BASE'!FO40)</f>
      </c>
      <c r="S40" s="1022">
        <f>IF('[1]BASE'!FP40=0,"",'[1]BASE'!FP40)</f>
      </c>
      <c r="T40" s="1022">
        <f>IF('[1]BASE'!FQ40=0,"",'[1]BASE'!FQ40)</f>
      </c>
      <c r="U40" s="1022">
        <f>IF('[1]BASE'!FR40=0,"",'[1]BASE'!FR40)</f>
      </c>
      <c r="V40" s="1019"/>
    </row>
    <row r="41" spans="2:22" s="1014" customFormat="1" ht="19.5" customHeight="1">
      <c r="B41" s="1015"/>
      <c r="C41" s="1025">
        <f>IF('[1]BASE'!C41=0,"",'[1]BASE'!C41)</f>
        <v>25</v>
      </c>
      <c r="D41" s="1025" t="str">
        <f>IF('[1]BASE'!D41=0,"",'[1]BASE'!D41)</f>
        <v>EZEIZA - RODRIGUEZ 1</v>
      </c>
      <c r="E41" s="1025">
        <f>IF('[1]BASE'!E41=0,"",'[1]BASE'!E41)</f>
        <v>500</v>
      </c>
      <c r="F41" s="1025">
        <f>IF('[1]BASE'!F41=0,"",'[1]BASE'!F41)</f>
        <v>53</v>
      </c>
      <c r="G41" s="1026" t="str">
        <f>IF('[1]BASE'!G41=0,"",'[1]BASE'!G41)</f>
        <v>C</v>
      </c>
      <c r="H41" s="1022">
        <f>IF('[1]BASE'!FE41=0,"",'[1]BASE'!FE41)</f>
      </c>
      <c r="I41" s="1022">
        <f>IF('[1]BASE'!FF41=0,"",'[1]BASE'!FF41)</f>
      </c>
      <c r="J41" s="1022">
        <f>IF('[1]BASE'!FG41=0,"",'[1]BASE'!FG41)</f>
      </c>
      <c r="K41" s="1022">
        <f>IF('[1]BASE'!FH41=0,"",'[1]BASE'!FH41)</f>
      </c>
      <c r="L41" s="1022">
        <f>IF('[1]BASE'!FI41=0,"",'[1]BASE'!FI41)</f>
      </c>
      <c r="M41" s="1022">
        <f>IF('[1]BASE'!FJ41=0,"",'[1]BASE'!FJ41)</f>
      </c>
      <c r="N41" s="1022">
        <f>IF('[1]BASE'!FK41=0,"",'[1]BASE'!FK41)</f>
      </c>
      <c r="O41" s="1022">
        <f>IF('[1]BASE'!FL41=0,"",'[1]BASE'!FL41)</f>
      </c>
      <c r="P41" s="1022">
        <f>IF('[1]BASE'!FM41=0,"",'[1]BASE'!FM41)</f>
      </c>
      <c r="Q41" s="1022">
        <f>IF('[1]BASE'!FN41=0,"",'[1]BASE'!FN41)</f>
      </c>
      <c r="R41" s="1022">
        <f>IF('[1]BASE'!FO41=0,"",'[1]BASE'!FO41)</f>
      </c>
      <c r="S41" s="1022">
        <f>IF('[1]BASE'!FP41=0,"",'[1]BASE'!FP41)</f>
      </c>
      <c r="T41" s="1022">
        <f>IF('[1]BASE'!FQ41=0,"",'[1]BASE'!FQ41)</f>
      </c>
      <c r="U41" s="1022">
        <f>IF('[1]BASE'!FR41=0,"",'[1]BASE'!FR41)</f>
      </c>
      <c r="V41" s="1019"/>
    </row>
    <row r="42" spans="2:22" s="1014" customFormat="1" ht="19.5" customHeight="1">
      <c r="B42" s="1015"/>
      <c r="C42" s="1023">
        <f>IF('[1]BASE'!C42=0,"",'[1]BASE'!C42)</f>
        <v>26</v>
      </c>
      <c r="D42" s="1023" t="str">
        <f>IF('[1]BASE'!D42=0,"",'[1]BASE'!D42)</f>
        <v>EZEIZA - RODRIGUEZ 2</v>
      </c>
      <c r="E42" s="1023">
        <f>IF('[1]BASE'!E42=0,"",'[1]BASE'!E42)</f>
        <v>500</v>
      </c>
      <c r="F42" s="1023">
        <f>IF('[1]BASE'!F42=0,"",'[1]BASE'!F42)</f>
        <v>53</v>
      </c>
      <c r="G42" s="1024" t="str">
        <f>IF('[1]BASE'!G42=0,"",'[1]BASE'!G42)</f>
        <v>C</v>
      </c>
      <c r="H42" s="1022">
        <f>IF('[1]BASE'!FE42=0,"",'[1]BASE'!FE42)</f>
      </c>
      <c r="I42" s="1022">
        <f>IF('[1]BASE'!FF42=0,"",'[1]BASE'!FF42)</f>
      </c>
      <c r="J42" s="1022">
        <f>IF('[1]BASE'!FG42=0,"",'[1]BASE'!FG42)</f>
      </c>
      <c r="K42" s="1022">
        <f>IF('[1]BASE'!FH42=0,"",'[1]BASE'!FH42)</f>
      </c>
      <c r="L42" s="1022">
        <f>IF('[1]BASE'!FI42=0,"",'[1]BASE'!FI42)</f>
      </c>
      <c r="M42" s="1022">
        <f>IF('[1]BASE'!FJ42=0,"",'[1]BASE'!FJ42)</f>
      </c>
      <c r="N42" s="1022">
        <f>IF('[1]BASE'!FK42=0,"",'[1]BASE'!FK42)</f>
      </c>
      <c r="O42" s="1022">
        <f>IF('[1]BASE'!FL42=0,"",'[1]BASE'!FL42)</f>
      </c>
      <c r="P42" s="1022">
        <f>IF('[1]BASE'!FM42=0,"",'[1]BASE'!FM42)</f>
      </c>
      <c r="Q42" s="1022">
        <f>IF('[1]BASE'!FN42=0,"",'[1]BASE'!FN42)</f>
      </c>
      <c r="R42" s="1022">
        <f>IF('[1]BASE'!FO42=0,"",'[1]BASE'!FO42)</f>
      </c>
      <c r="S42" s="1022">
        <f>IF('[1]BASE'!FP42=0,"",'[1]BASE'!FP42)</f>
      </c>
      <c r="T42" s="1022">
        <f>IF('[1]BASE'!FQ42=0,"",'[1]BASE'!FQ42)</f>
      </c>
      <c r="U42" s="1022">
        <f>IF('[1]BASE'!FR42=0,"",'[1]BASE'!FR42)</f>
      </c>
      <c r="V42" s="1019"/>
    </row>
    <row r="43" spans="2:22" s="1014" customFormat="1" ht="19.5" customHeight="1">
      <c r="B43" s="1015"/>
      <c r="C43" s="1025">
        <f>IF('[1]BASE'!C43=0,"",'[1]BASE'!C43)</f>
        <v>27</v>
      </c>
      <c r="D43" s="1025" t="str">
        <f>IF('[1]BASE'!D43=0,"",'[1]BASE'!D43)</f>
        <v>EZEIZA- HENDERSON 1</v>
      </c>
      <c r="E43" s="1025">
        <f>IF('[1]BASE'!E43=0,"",'[1]BASE'!E43)</f>
        <v>500</v>
      </c>
      <c r="F43" s="1025">
        <f>IF('[1]BASE'!F43=0,"",'[1]BASE'!F43)</f>
        <v>313</v>
      </c>
      <c r="G43" s="1026" t="str">
        <f>IF('[1]BASE'!G43=0,"",'[1]BASE'!G43)</f>
        <v>A</v>
      </c>
      <c r="H43" s="1022">
        <f>IF('[1]BASE'!FE43=0,"",'[1]BASE'!FE43)</f>
      </c>
      <c r="I43" s="1022">
        <f>IF('[1]BASE'!FF43=0,"",'[1]BASE'!FF43)</f>
      </c>
      <c r="J43" s="1022">
        <f>IF('[1]BASE'!FG43=0,"",'[1]BASE'!FG43)</f>
      </c>
      <c r="K43" s="1022">
        <f>IF('[1]BASE'!FH43=0,"",'[1]BASE'!FH43)</f>
      </c>
      <c r="L43" s="1022">
        <f>IF('[1]BASE'!FI43=0,"",'[1]BASE'!FI43)</f>
      </c>
      <c r="M43" s="1022">
        <f>IF('[1]BASE'!FJ43=0,"",'[1]BASE'!FJ43)</f>
      </c>
      <c r="N43" s="1022">
        <f>IF('[1]BASE'!FK43=0,"",'[1]BASE'!FK43)</f>
      </c>
      <c r="O43" s="1022">
        <f>IF('[1]BASE'!FL43=0,"",'[1]BASE'!FL43)</f>
      </c>
      <c r="P43" s="1022">
        <f>IF('[1]BASE'!FM43=0,"",'[1]BASE'!FM43)</f>
        <v>1</v>
      </c>
      <c r="Q43" s="1022">
        <f>IF('[1]BASE'!FN43=0,"",'[1]BASE'!FN43)</f>
      </c>
      <c r="R43" s="1022">
        <f>IF('[1]BASE'!FO43=0,"",'[1]BASE'!FO43)</f>
      </c>
      <c r="S43" s="1022">
        <f>IF('[1]BASE'!FP43=0,"",'[1]BASE'!FP43)</f>
      </c>
      <c r="T43" s="1022">
        <f>IF('[1]BASE'!FQ43=0,"",'[1]BASE'!FQ43)</f>
      </c>
      <c r="U43" s="1022">
        <f>IF('[1]BASE'!FR43=0,"",'[1]BASE'!FR43)</f>
      </c>
      <c r="V43" s="1019"/>
    </row>
    <row r="44" spans="2:22" s="1014" customFormat="1" ht="19.5" customHeight="1">
      <c r="B44" s="1015"/>
      <c r="C44" s="1023">
        <f>IF('[1]BASE'!C44=0,"",'[1]BASE'!C44)</f>
        <v>28</v>
      </c>
      <c r="D44" s="1023" t="str">
        <f>IF('[1]BASE'!D44=0,"",'[1]BASE'!D44)</f>
        <v>EZEIZA - HENDERSON 2</v>
      </c>
      <c r="E44" s="1023">
        <f>IF('[1]BASE'!E44=0,"",'[1]BASE'!E44)</f>
        <v>500</v>
      </c>
      <c r="F44" s="1023">
        <f>IF('[1]BASE'!F44=0,"",'[1]BASE'!F44)</f>
        <v>313</v>
      </c>
      <c r="G44" s="1024" t="str">
        <f>IF('[1]BASE'!G44=0,"",'[1]BASE'!G44)</f>
        <v>A</v>
      </c>
      <c r="H44" s="1022">
        <f>IF('[1]BASE'!FE44=0,"",'[1]BASE'!FE44)</f>
      </c>
      <c r="I44" s="1022">
        <f>IF('[1]BASE'!FF44=0,"",'[1]BASE'!FF44)</f>
      </c>
      <c r="J44" s="1022">
        <f>IF('[1]BASE'!FG44=0,"",'[1]BASE'!FG44)</f>
      </c>
      <c r="K44" s="1022">
        <f>IF('[1]BASE'!FH44=0,"",'[1]BASE'!FH44)</f>
      </c>
      <c r="L44" s="1022">
        <f>IF('[1]BASE'!FI44=0,"",'[1]BASE'!FI44)</f>
      </c>
      <c r="M44" s="1022">
        <f>IF('[1]BASE'!FJ44=0,"",'[1]BASE'!FJ44)</f>
      </c>
      <c r="N44" s="1022">
        <f>IF('[1]BASE'!FK44=0,"",'[1]BASE'!FK44)</f>
      </c>
      <c r="O44" s="1022">
        <f>IF('[1]BASE'!FL44=0,"",'[1]BASE'!FL44)</f>
      </c>
      <c r="P44" s="1022">
        <f>IF('[1]BASE'!FM44=0,"",'[1]BASE'!FM44)</f>
        <v>1</v>
      </c>
      <c r="Q44" s="1022">
        <f>IF('[1]BASE'!FN44=0,"",'[1]BASE'!FN44)</f>
      </c>
      <c r="R44" s="1022">
        <f>IF('[1]BASE'!FO44=0,"",'[1]BASE'!FO44)</f>
        <v>1</v>
      </c>
      <c r="S44" s="1022">
        <f>IF('[1]BASE'!FP44=0,"",'[1]BASE'!FP44)</f>
      </c>
      <c r="T44" s="1022">
        <f>IF('[1]BASE'!FQ44=0,"",'[1]BASE'!FQ44)</f>
      </c>
      <c r="U44" s="1022">
        <f>IF('[1]BASE'!FR44=0,"",'[1]BASE'!FR44)</f>
      </c>
      <c r="V44" s="1019"/>
    </row>
    <row r="45" spans="2:22" s="1014" customFormat="1" ht="19.5" customHeight="1">
      <c r="B45" s="1015"/>
      <c r="C45" s="1025">
        <f>IF('[1]BASE'!C45=0,"",'[1]BASE'!C45)</f>
        <v>29</v>
      </c>
      <c r="D45" s="1025" t="str">
        <f>IF('[1]BASE'!D45=0,"",'[1]BASE'!D45)</f>
        <v>GRAL. RODRIGUEZ - CAMPANA </v>
      </c>
      <c r="E45" s="1025">
        <f>IF('[1]BASE'!E45=0,"",'[1]BASE'!E45)</f>
        <v>500</v>
      </c>
      <c r="F45" s="1025">
        <f>IF('[1]BASE'!F45=0,"",'[1]BASE'!F45)</f>
        <v>42</v>
      </c>
      <c r="G45" s="1026" t="str">
        <f>IF('[1]BASE'!G45=0,"",'[1]BASE'!G45)</f>
        <v>B</v>
      </c>
      <c r="H45" s="1022">
        <f>IF('[1]BASE'!FE45=0,"",'[1]BASE'!FE45)</f>
      </c>
      <c r="I45" s="1022">
        <f>IF('[1]BASE'!FF45=0,"",'[1]BASE'!FF45)</f>
      </c>
      <c r="J45" s="1022">
        <f>IF('[1]BASE'!FG45=0,"",'[1]BASE'!FG45)</f>
      </c>
      <c r="K45" s="1022">
        <f>IF('[1]BASE'!FH45=0,"",'[1]BASE'!FH45)</f>
      </c>
      <c r="L45" s="1022">
        <f>IF('[1]BASE'!FI45=0,"",'[1]BASE'!FI45)</f>
      </c>
      <c r="M45" s="1022">
        <f>IF('[1]BASE'!FJ45=0,"",'[1]BASE'!FJ45)</f>
      </c>
      <c r="N45" s="1022">
        <f>IF('[1]BASE'!FK45=0,"",'[1]BASE'!FK45)</f>
      </c>
      <c r="O45" s="1022">
        <f>IF('[1]BASE'!FL45=0,"",'[1]BASE'!FL45)</f>
      </c>
      <c r="P45" s="1022">
        <f>IF('[1]BASE'!FM45=0,"",'[1]BASE'!FM45)</f>
      </c>
      <c r="Q45" s="1022">
        <f>IF('[1]BASE'!FN45=0,"",'[1]BASE'!FN45)</f>
      </c>
      <c r="R45" s="1022">
        <f>IF('[1]BASE'!FO45=0,"",'[1]BASE'!FO45)</f>
      </c>
      <c r="S45" s="1022">
        <f>IF('[1]BASE'!FP45=0,"",'[1]BASE'!FP45)</f>
        <v>1</v>
      </c>
      <c r="T45" s="1022">
        <f>IF('[1]BASE'!FQ45=0,"",'[1]BASE'!FQ45)</f>
      </c>
      <c r="U45" s="1022">
        <f>IF('[1]BASE'!FR45=0,"",'[1]BASE'!FR45)</f>
      </c>
      <c r="V45" s="1019"/>
    </row>
    <row r="46" spans="2:22" s="1014" customFormat="1" ht="19.5" customHeight="1">
      <c r="B46" s="1015"/>
      <c r="C46" s="1023">
        <f>IF('[1]BASE'!C46=0,"",'[1]BASE'!C46)</f>
        <v>30</v>
      </c>
      <c r="D46" s="1023" t="str">
        <f>IF('[1]BASE'!D46=0,"",'[1]BASE'!D46)</f>
        <v>GRAL. RODRIGUEZ- ROSARIO OESTE </v>
      </c>
      <c r="E46" s="1023">
        <f>IF('[1]BASE'!E46=0,"",'[1]BASE'!E46)</f>
        <v>500</v>
      </c>
      <c r="F46" s="1023">
        <f>IF('[1]BASE'!F46=0,"",'[1]BASE'!F46)</f>
        <v>258</v>
      </c>
      <c r="G46" s="1024" t="str">
        <f>IF('[1]BASE'!G46=0,"",'[1]BASE'!G46)</f>
        <v>C</v>
      </c>
      <c r="H46" s="1022" t="str">
        <f>IF('[1]BASE'!FE46=0,"",'[1]BASE'!FE46)</f>
        <v>XXXX</v>
      </c>
      <c r="I46" s="1022" t="str">
        <f>IF('[1]BASE'!FF46=0,"",'[1]BASE'!FF46)</f>
        <v>XXXX</v>
      </c>
      <c r="J46" s="1022" t="str">
        <f>IF('[1]BASE'!FG46=0,"",'[1]BASE'!FG46)</f>
        <v>XXXX</v>
      </c>
      <c r="K46" s="1022" t="str">
        <f>IF('[1]BASE'!FH46=0,"",'[1]BASE'!FH46)</f>
        <v>XXXX</v>
      </c>
      <c r="L46" s="1022" t="str">
        <f>IF('[1]BASE'!FI46=0,"",'[1]BASE'!FI46)</f>
        <v>XXXX</v>
      </c>
      <c r="M46" s="1022" t="str">
        <f>IF('[1]BASE'!FJ46=0,"",'[1]BASE'!FJ46)</f>
        <v>XXXX</v>
      </c>
      <c r="N46" s="1022" t="str">
        <f>IF('[1]BASE'!FK46=0,"",'[1]BASE'!FK46)</f>
        <v>XXXX</v>
      </c>
      <c r="O46" s="1022" t="str">
        <f>IF('[1]BASE'!FL46=0,"",'[1]BASE'!FL46)</f>
        <v>XXXX</v>
      </c>
      <c r="P46" s="1022" t="str">
        <f>IF('[1]BASE'!FM46=0,"",'[1]BASE'!FM46)</f>
        <v>XXXX</v>
      </c>
      <c r="Q46" s="1022" t="str">
        <f>IF('[1]BASE'!FN46=0,"",'[1]BASE'!FN46)</f>
        <v>XXXX</v>
      </c>
      <c r="R46" s="1022" t="str">
        <f>IF('[1]BASE'!FO46=0,"",'[1]BASE'!FO46)</f>
        <v>XXXX</v>
      </c>
      <c r="S46" s="1022" t="str">
        <f>IF('[1]BASE'!FP46=0,"",'[1]BASE'!FP46)</f>
        <v>XXXX</v>
      </c>
      <c r="T46" s="1022" t="str">
        <f>IF('[1]BASE'!FQ46=0,"",'[1]BASE'!FQ46)</f>
        <v>XXXX</v>
      </c>
      <c r="U46" s="1022" t="str">
        <f>IF('[1]BASE'!FR46=0,"",'[1]BASE'!FR46)</f>
        <v>XXXX</v>
      </c>
      <c r="V46" s="1019"/>
    </row>
    <row r="47" spans="2:22" s="1014" customFormat="1" ht="19.5" customHeight="1">
      <c r="B47" s="1015"/>
      <c r="C47" s="1025">
        <f>IF('[1]BASE'!C47=0,"",'[1]BASE'!C47)</f>
        <v>31</v>
      </c>
      <c r="D47" s="1025" t="str">
        <f>IF('[1]BASE'!D47=0,"",'[1]BASE'!D47)</f>
        <v>MALVINAS ARG. - ALMAFUERTE </v>
      </c>
      <c r="E47" s="1025">
        <f>IF('[1]BASE'!E47=0,"",'[1]BASE'!E47)</f>
        <v>500</v>
      </c>
      <c r="F47" s="1025">
        <f>IF('[1]BASE'!F47=0,"",'[1]BASE'!F47)</f>
        <v>105</v>
      </c>
      <c r="G47" s="1026" t="str">
        <f>IF('[1]BASE'!G47=0,"",'[1]BASE'!G47)</f>
        <v>B</v>
      </c>
      <c r="H47" s="1022">
        <f>IF('[1]BASE'!FE47=0,"",'[1]BASE'!FE47)</f>
      </c>
      <c r="I47" s="1022">
        <f>IF('[1]BASE'!FF47=0,"",'[1]BASE'!FF47)</f>
      </c>
      <c r="J47" s="1022">
        <f>IF('[1]BASE'!FG47=0,"",'[1]BASE'!FG47)</f>
        <v>1</v>
      </c>
      <c r="K47" s="1022">
        <f>IF('[1]BASE'!FH47=0,"",'[1]BASE'!FH47)</f>
      </c>
      <c r="L47" s="1022">
        <f>IF('[1]BASE'!FI47=0,"",'[1]BASE'!FI47)</f>
      </c>
      <c r="M47" s="1022">
        <f>IF('[1]BASE'!FJ47=0,"",'[1]BASE'!FJ47)</f>
      </c>
      <c r="N47" s="1022">
        <f>IF('[1]BASE'!FK47=0,"",'[1]BASE'!FK47)</f>
      </c>
      <c r="O47" s="1022">
        <f>IF('[1]BASE'!FL47=0,"",'[1]BASE'!FL47)</f>
      </c>
      <c r="P47" s="1022">
        <f>IF('[1]BASE'!FM47=0,"",'[1]BASE'!FM47)</f>
      </c>
      <c r="Q47" s="1022">
        <f>IF('[1]BASE'!FN47=0,"",'[1]BASE'!FN47)</f>
      </c>
      <c r="R47" s="1022">
        <f>IF('[1]BASE'!FO47=0,"",'[1]BASE'!FO47)</f>
      </c>
      <c r="S47" s="1022">
        <f>IF('[1]BASE'!FP47=0,"",'[1]BASE'!FP47)</f>
      </c>
      <c r="T47" s="1022">
        <f>IF('[1]BASE'!FQ47=0,"",'[1]BASE'!FQ47)</f>
      </c>
      <c r="U47" s="1022">
        <f>IF('[1]BASE'!FR47=0,"",'[1]BASE'!FR47)</f>
        <v>1</v>
      </c>
      <c r="V47" s="1019"/>
    </row>
    <row r="48" spans="2:22" s="1014" customFormat="1" ht="19.5" customHeight="1">
      <c r="B48" s="1015"/>
      <c r="C48" s="1023">
        <f>IF('[1]BASE'!C48=0,"",'[1]BASE'!C48)</f>
        <v>32</v>
      </c>
      <c r="D48" s="1023" t="str">
        <f>IF('[1]BASE'!D48=0,"",'[1]BASE'!D48)</f>
        <v>OLAVARRIA - BAHIA BLANCA 1</v>
      </c>
      <c r="E48" s="1023">
        <f>IF('[1]BASE'!E48=0,"",'[1]BASE'!E48)</f>
        <v>500</v>
      </c>
      <c r="F48" s="1023">
        <f>IF('[1]BASE'!F48=0,"",'[1]BASE'!F48)</f>
        <v>255</v>
      </c>
      <c r="G48" s="1024" t="str">
        <f>IF('[1]BASE'!G48=0,"",'[1]BASE'!G48)</f>
        <v>B</v>
      </c>
      <c r="H48" s="1022">
        <f>IF('[1]BASE'!FE48=0,"",'[1]BASE'!FE48)</f>
      </c>
      <c r="I48" s="1022">
        <f>IF('[1]BASE'!FF48=0,"",'[1]BASE'!FF48)</f>
      </c>
      <c r="J48" s="1022">
        <f>IF('[1]BASE'!FG48=0,"",'[1]BASE'!FG48)</f>
        <v>1</v>
      </c>
      <c r="K48" s="1022">
        <f>IF('[1]BASE'!FH48=0,"",'[1]BASE'!FH48)</f>
      </c>
      <c r="L48" s="1022">
        <f>IF('[1]BASE'!FI48=0,"",'[1]BASE'!FI48)</f>
      </c>
      <c r="M48" s="1022">
        <f>IF('[1]BASE'!FJ48=0,"",'[1]BASE'!FJ48)</f>
      </c>
      <c r="N48" s="1022">
        <f>IF('[1]BASE'!FK48=0,"",'[1]BASE'!FK48)</f>
      </c>
      <c r="O48" s="1022">
        <f>IF('[1]BASE'!FL48=0,"",'[1]BASE'!FL48)</f>
      </c>
      <c r="P48" s="1022">
        <f>IF('[1]BASE'!FM48=0,"",'[1]BASE'!FM48)</f>
      </c>
      <c r="Q48" s="1022">
        <f>IF('[1]BASE'!FN48=0,"",'[1]BASE'!FN48)</f>
      </c>
      <c r="R48" s="1022">
        <f>IF('[1]BASE'!FO48=0,"",'[1]BASE'!FO48)</f>
      </c>
      <c r="S48" s="1022">
        <f>IF('[1]BASE'!FP48=0,"",'[1]BASE'!FP48)</f>
      </c>
      <c r="T48" s="1022">
        <f>IF('[1]BASE'!FQ48=0,"",'[1]BASE'!FQ48)</f>
      </c>
      <c r="U48" s="1022">
        <f>IF('[1]BASE'!FR48=0,"",'[1]BASE'!FR48)</f>
      </c>
      <c r="V48" s="1019"/>
    </row>
    <row r="49" spans="2:22" s="1014" customFormat="1" ht="19.5" customHeight="1">
      <c r="B49" s="1015"/>
      <c r="C49" s="1025">
        <f>IF('[1]BASE'!C49=0,"",'[1]BASE'!C49)</f>
        <v>33</v>
      </c>
      <c r="D49" s="1025" t="str">
        <f>IF('[1]BASE'!D49=0,"",'[1]BASE'!D49)</f>
        <v>OLAVARRIA - BAHIA BLANCA 2</v>
      </c>
      <c r="E49" s="1025">
        <f>IF('[1]BASE'!E49=0,"",'[1]BASE'!E49)</f>
        <v>500</v>
      </c>
      <c r="F49" s="1025">
        <f>IF('[1]BASE'!F49=0,"",'[1]BASE'!F49)</f>
        <v>254.8</v>
      </c>
      <c r="G49" s="1026">
        <f>IF('[1]BASE'!G49=0,"",'[1]BASE'!G49)</f>
      </c>
      <c r="H49" s="1022">
        <f>IF('[1]BASE'!FE49=0,"",'[1]BASE'!FE49)</f>
      </c>
      <c r="I49" s="1022">
        <f>IF('[1]BASE'!FF49=0,"",'[1]BASE'!FF49)</f>
      </c>
      <c r="J49" s="1022">
        <f>IF('[1]BASE'!FG49=0,"",'[1]BASE'!FG49)</f>
      </c>
      <c r="K49" s="1022">
        <f>IF('[1]BASE'!FH49=0,"",'[1]BASE'!FH49)</f>
      </c>
      <c r="L49" s="1022">
        <f>IF('[1]BASE'!FI49=0,"",'[1]BASE'!FI49)</f>
      </c>
      <c r="M49" s="1022">
        <f>IF('[1]BASE'!FJ49=0,"",'[1]BASE'!FJ49)</f>
      </c>
      <c r="N49" s="1022">
        <f>IF('[1]BASE'!FK49=0,"",'[1]BASE'!FK49)</f>
      </c>
      <c r="O49" s="1022">
        <f>IF('[1]BASE'!FL49=0,"",'[1]BASE'!FL49)</f>
      </c>
      <c r="P49" s="1022">
        <f>IF('[1]BASE'!FM49=0,"",'[1]BASE'!FM49)</f>
      </c>
      <c r="Q49" s="1022">
        <f>IF('[1]BASE'!FN49=0,"",'[1]BASE'!FN49)</f>
      </c>
      <c r="R49" s="1022">
        <f>IF('[1]BASE'!FO49=0,"",'[1]BASE'!FO49)</f>
      </c>
      <c r="S49" s="1022">
        <f>IF('[1]BASE'!FP49=0,"",'[1]BASE'!FP49)</f>
      </c>
      <c r="T49" s="1022">
        <f>IF('[1]BASE'!FQ49=0,"",'[1]BASE'!FQ49)</f>
      </c>
      <c r="U49" s="1022">
        <f>IF('[1]BASE'!FR49=0,"",'[1]BASE'!FR49)</f>
      </c>
      <c r="V49" s="1019"/>
    </row>
    <row r="50" spans="2:22" s="1014" customFormat="1" ht="19.5" customHeight="1">
      <c r="B50" s="1015"/>
      <c r="C50" s="1023">
        <f>IF('[1]BASE'!C50=0,"",'[1]BASE'!C50)</f>
        <v>34</v>
      </c>
      <c r="D50" s="1023" t="str">
        <f>IF('[1]BASE'!D50=0,"",'[1]BASE'!D50)</f>
        <v>P.del AGUILA  - CHOELE CHOEL</v>
      </c>
      <c r="E50" s="1023">
        <f>IF('[1]BASE'!E50=0,"",'[1]BASE'!E50)</f>
        <v>500</v>
      </c>
      <c r="F50" s="1023">
        <f>IF('[1]BASE'!F50=0,"",'[1]BASE'!F50)</f>
        <v>386.7</v>
      </c>
      <c r="G50" s="1024">
        <f>IF('[1]BASE'!G50=0,"",'[1]BASE'!G50)</f>
      </c>
      <c r="H50" s="1022">
        <f>IF('[1]BASE'!FE50=0,"",'[1]BASE'!FE50)</f>
      </c>
      <c r="I50" s="1022">
        <f>IF('[1]BASE'!FF50=0,"",'[1]BASE'!FF50)</f>
      </c>
      <c r="J50" s="1022">
        <f>IF('[1]BASE'!FG50=0,"",'[1]BASE'!FG50)</f>
      </c>
      <c r="K50" s="1022">
        <f>IF('[1]BASE'!FH50=0,"",'[1]BASE'!FH50)</f>
      </c>
      <c r="L50" s="1022">
        <f>IF('[1]BASE'!FI50=0,"",'[1]BASE'!FI50)</f>
      </c>
      <c r="M50" s="1022">
        <f>IF('[1]BASE'!FJ50=0,"",'[1]BASE'!FJ50)</f>
      </c>
      <c r="N50" s="1022">
        <f>IF('[1]BASE'!FK50=0,"",'[1]BASE'!FK50)</f>
      </c>
      <c r="O50" s="1022">
        <f>IF('[1]BASE'!FL50=0,"",'[1]BASE'!FL50)</f>
      </c>
      <c r="P50" s="1022">
        <f>IF('[1]BASE'!FM50=0,"",'[1]BASE'!FM50)</f>
      </c>
      <c r="Q50" s="1022">
        <f>IF('[1]BASE'!FN50=0,"",'[1]BASE'!FN50)</f>
      </c>
      <c r="R50" s="1022">
        <f>IF('[1]BASE'!FO50=0,"",'[1]BASE'!FO50)</f>
      </c>
      <c r="S50" s="1022">
        <f>IF('[1]BASE'!FP50=0,"",'[1]BASE'!FP50)</f>
      </c>
      <c r="T50" s="1022">
        <f>IF('[1]BASE'!FQ50=0,"",'[1]BASE'!FQ50)</f>
      </c>
      <c r="U50" s="1022">
        <f>IF('[1]BASE'!FR50=0,"",'[1]BASE'!FR50)</f>
      </c>
      <c r="V50" s="1019"/>
    </row>
    <row r="51" spans="2:22" s="1014" customFormat="1" ht="19.5" customHeight="1">
      <c r="B51" s="1015"/>
      <c r="C51" s="1025">
        <f>IF('[1]BASE'!C51=0,"",'[1]BASE'!C51)</f>
        <v>35</v>
      </c>
      <c r="D51" s="1025" t="str">
        <f>IF('[1]BASE'!D51=0,"",'[1]BASE'!D51)</f>
        <v>P.del AGUILA  - CHO. W. 1 (5GW1)</v>
      </c>
      <c r="E51" s="1025">
        <f>IF('[1]BASE'!E51=0,"",'[1]BASE'!E51)</f>
        <v>500</v>
      </c>
      <c r="F51" s="1025">
        <f>IF('[1]BASE'!F51=0,"",'[1]BASE'!F51)</f>
        <v>165</v>
      </c>
      <c r="G51" s="1026" t="str">
        <f>IF('[1]BASE'!G51=0,"",'[1]BASE'!G51)</f>
        <v>A</v>
      </c>
      <c r="H51" s="1022">
        <f>IF('[1]BASE'!FE51=0,"",'[1]BASE'!FE51)</f>
      </c>
      <c r="I51" s="1022">
        <f>IF('[1]BASE'!FF51=0,"",'[1]BASE'!FF51)</f>
      </c>
      <c r="J51" s="1022">
        <f>IF('[1]BASE'!FG51=0,"",'[1]BASE'!FG51)</f>
      </c>
      <c r="K51" s="1022">
        <f>IF('[1]BASE'!FH51=0,"",'[1]BASE'!FH51)</f>
      </c>
      <c r="L51" s="1022">
        <f>IF('[1]BASE'!FI51=0,"",'[1]BASE'!FI51)</f>
      </c>
      <c r="M51" s="1022">
        <f>IF('[1]BASE'!FJ51=0,"",'[1]BASE'!FJ51)</f>
      </c>
      <c r="N51" s="1022">
        <f>IF('[1]BASE'!FK51=0,"",'[1]BASE'!FK51)</f>
      </c>
      <c r="O51" s="1022">
        <f>IF('[1]BASE'!FL51=0,"",'[1]BASE'!FL51)</f>
      </c>
      <c r="P51" s="1022">
        <f>IF('[1]BASE'!FM51=0,"",'[1]BASE'!FM51)</f>
      </c>
      <c r="Q51" s="1022">
        <f>IF('[1]BASE'!FN51=0,"",'[1]BASE'!FN51)</f>
      </c>
      <c r="R51" s="1022">
        <f>IF('[1]BASE'!FO51=0,"",'[1]BASE'!FO51)</f>
      </c>
      <c r="S51" s="1022">
        <f>IF('[1]BASE'!FP51=0,"",'[1]BASE'!FP51)</f>
      </c>
      <c r="T51" s="1022">
        <f>IF('[1]BASE'!FQ51=0,"",'[1]BASE'!FQ51)</f>
      </c>
      <c r="U51" s="1022">
        <f>IF('[1]BASE'!FR51=0,"",'[1]BASE'!FR51)</f>
      </c>
      <c r="V51" s="1019"/>
    </row>
    <row r="52" spans="2:22" s="1014" customFormat="1" ht="19.5" customHeight="1">
      <c r="B52" s="1015"/>
      <c r="C52" s="1023">
        <f>IF('[1]BASE'!C52=0,"",'[1]BASE'!C52)</f>
        <v>36</v>
      </c>
      <c r="D52" s="1023" t="str">
        <f>IF('[1]BASE'!D52=0,"",'[1]BASE'!D52)</f>
        <v>P.del AGUILA  - CHO. W. 2 (5GW2)</v>
      </c>
      <c r="E52" s="1023">
        <f>IF('[1]BASE'!E52=0,"",'[1]BASE'!E52)</f>
        <v>500</v>
      </c>
      <c r="F52" s="1023">
        <f>IF('[1]BASE'!F52=0,"",'[1]BASE'!F52)</f>
        <v>170</v>
      </c>
      <c r="G52" s="1024" t="str">
        <f>IF('[1]BASE'!G52=0,"",'[1]BASE'!G52)</f>
        <v>A</v>
      </c>
      <c r="H52" s="1022">
        <f>IF('[1]BASE'!FE52=0,"",'[1]BASE'!FE52)</f>
      </c>
      <c r="I52" s="1022">
        <f>IF('[1]BASE'!FF52=0,"",'[1]BASE'!FF52)</f>
      </c>
      <c r="J52" s="1022">
        <f>IF('[1]BASE'!FG52=0,"",'[1]BASE'!FG52)</f>
      </c>
      <c r="K52" s="1022">
        <f>IF('[1]BASE'!FH52=0,"",'[1]BASE'!FH52)</f>
      </c>
      <c r="L52" s="1022">
        <f>IF('[1]BASE'!FI52=0,"",'[1]BASE'!FI52)</f>
      </c>
      <c r="M52" s="1022">
        <f>IF('[1]BASE'!FJ52=0,"",'[1]BASE'!FJ52)</f>
      </c>
      <c r="N52" s="1022">
        <f>IF('[1]BASE'!FK52=0,"",'[1]BASE'!FK52)</f>
      </c>
      <c r="O52" s="1022">
        <f>IF('[1]BASE'!FL52=0,"",'[1]BASE'!FL52)</f>
      </c>
      <c r="P52" s="1022">
        <f>IF('[1]BASE'!FM52=0,"",'[1]BASE'!FM52)</f>
      </c>
      <c r="Q52" s="1022">
        <f>IF('[1]BASE'!FN52=0,"",'[1]BASE'!FN52)</f>
      </c>
      <c r="R52" s="1022">
        <f>IF('[1]BASE'!FO52=0,"",'[1]BASE'!FO52)</f>
        <v>1</v>
      </c>
      <c r="S52" s="1022">
        <f>IF('[1]BASE'!FP52=0,"",'[1]BASE'!FP52)</f>
      </c>
      <c r="T52" s="1022">
        <f>IF('[1]BASE'!FQ52=0,"",'[1]BASE'!FQ52)</f>
      </c>
      <c r="U52" s="1022">
        <f>IF('[1]BASE'!FR52=0,"",'[1]BASE'!FR52)</f>
      </c>
      <c r="V52" s="1019"/>
    </row>
    <row r="53" spans="2:22" s="1014" customFormat="1" ht="19.5" customHeight="1">
      <c r="B53" s="1015"/>
      <c r="C53" s="1025">
        <f>IF('[1]BASE'!C53=0,"",'[1]BASE'!C53)</f>
        <v>37</v>
      </c>
      <c r="D53" s="1025" t="str">
        <f>IF('[1]BASE'!D53=0,"",'[1]BASE'!D53)</f>
        <v>PUELCHES - HENDERSON 1 (B1)</v>
      </c>
      <c r="E53" s="1025">
        <f>IF('[1]BASE'!E53=0,"",'[1]BASE'!E53)</f>
        <v>500</v>
      </c>
      <c r="F53" s="1025">
        <f>IF('[1]BASE'!F53=0,"",'[1]BASE'!F53)</f>
        <v>421</v>
      </c>
      <c r="G53" s="1026" t="str">
        <f>IF('[1]BASE'!G53=0,"",'[1]BASE'!G53)</f>
        <v>A</v>
      </c>
      <c r="H53" s="1022">
        <f>IF('[1]BASE'!FE53=0,"",'[1]BASE'!FE53)</f>
      </c>
      <c r="I53" s="1022">
        <f>IF('[1]BASE'!FF53=0,"",'[1]BASE'!FF53)</f>
      </c>
      <c r="J53" s="1022">
        <f>IF('[1]BASE'!FG53=0,"",'[1]BASE'!FG53)</f>
      </c>
      <c r="K53" s="1022">
        <f>IF('[1]BASE'!FH53=0,"",'[1]BASE'!FH53)</f>
      </c>
      <c r="L53" s="1022">
        <f>IF('[1]BASE'!FI53=0,"",'[1]BASE'!FI53)</f>
      </c>
      <c r="M53" s="1022">
        <f>IF('[1]BASE'!FJ53=0,"",'[1]BASE'!FJ53)</f>
      </c>
      <c r="N53" s="1022">
        <f>IF('[1]BASE'!FK53=0,"",'[1]BASE'!FK53)</f>
      </c>
      <c r="O53" s="1022">
        <f>IF('[1]BASE'!FL53=0,"",'[1]BASE'!FL53)</f>
      </c>
      <c r="P53" s="1022">
        <f>IF('[1]BASE'!FM53=0,"",'[1]BASE'!FM53)</f>
      </c>
      <c r="Q53" s="1022">
        <f>IF('[1]BASE'!FN53=0,"",'[1]BASE'!FN53)</f>
      </c>
      <c r="R53" s="1022">
        <f>IF('[1]BASE'!FO53=0,"",'[1]BASE'!FO53)</f>
      </c>
      <c r="S53" s="1022">
        <f>IF('[1]BASE'!FP53=0,"",'[1]BASE'!FP53)</f>
      </c>
      <c r="T53" s="1022">
        <f>IF('[1]BASE'!FQ53=0,"",'[1]BASE'!FQ53)</f>
      </c>
      <c r="U53" s="1022">
        <f>IF('[1]BASE'!FR53=0,"",'[1]BASE'!FR53)</f>
        <v>1</v>
      </c>
      <c r="V53" s="1019"/>
    </row>
    <row r="54" spans="2:22" s="1014" customFormat="1" ht="19.5" customHeight="1">
      <c r="B54" s="1015"/>
      <c r="C54" s="1023">
        <f>IF('[1]BASE'!C54=0,"",'[1]BASE'!C54)</f>
        <v>38</v>
      </c>
      <c r="D54" s="1023" t="str">
        <f>IF('[1]BASE'!D54=0,"",'[1]BASE'!D54)</f>
        <v>PUELCHES - HENDERSON 2 (B2)</v>
      </c>
      <c r="E54" s="1023">
        <f>IF('[1]BASE'!E54=0,"",'[1]BASE'!E54)</f>
        <v>500</v>
      </c>
      <c r="F54" s="1023">
        <f>IF('[1]BASE'!F54=0,"",'[1]BASE'!F54)</f>
        <v>421</v>
      </c>
      <c r="G54" s="1024" t="str">
        <f>IF('[1]BASE'!G54=0,"",'[1]BASE'!G54)</f>
        <v>A</v>
      </c>
      <c r="H54" s="1022" t="str">
        <f>IF('[1]BASE'!FE54=0,"",'[1]BASE'!FE54)</f>
        <v>XXXX</v>
      </c>
      <c r="I54" s="1022" t="str">
        <f>IF('[1]BASE'!FF54=0,"",'[1]BASE'!FF54)</f>
        <v>XXXX</v>
      </c>
      <c r="J54" s="1022" t="str">
        <f>IF('[1]BASE'!FG54=0,"",'[1]BASE'!FG54)</f>
        <v>XXXX</v>
      </c>
      <c r="K54" s="1022" t="str">
        <f>IF('[1]BASE'!FH54=0,"",'[1]BASE'!FH54)</f>
        <v>XXXX</v>
      </c>
      <c r="L54" s="1022" t="str">
        <f>IF('[1]BASE'!FI54=0,"",'[1]BASE'!FI54)</f>
        <v>XXXX</v>
      </c>
      <c r="M54" s="1022" t="str">
        <f>IF('[1]BASE'!FJ54=0,"",'[1]BASE'!FJ54)</f>
        <v>XXXX</v>
      </c>
      <c r="N54" s="1022" t="str">
        <f>IF('[1]BASE'!FK54=0,"",'[1]BASE'!FK54)</f>
        <v>XXXX</v>
      </c>
      <c r="O54" s="1022" t="str">
        <f>IF('[1]BASE'!FL54=0,"",'[1]BASE'!FL54)</f>
        <v>XXXX</v>
      </c>
      <c r="P54" s="1022" t="str">
        <f>IF('[1]BASE'!FM54=0,"",'[1]BASE'!FM54)</f>
        <v>XXXX</v>
      </c>
      <c r="Q54" s="1022" t="str">
        <f>IF('[1]BASE'!FN54=0,"",'[1]BASE'!FN54)</f>
        <v>XXXX</v>
      </c>
      <c r="R54" s="1022" t="str">
        <f>IF('[1]BASE'!FO54=0,"",'[1]BASE'!FO54)</f>
        <v>XXXX</v>
      </c>
      <c r="S54" s="1022" t="str">
        <f>IF('[1]BASE'!FP54=0,"",'[1]BASE'!FP54)</f>
        <v>XXXX</v>
      </c>
      <c r="T54" s="1022" t="str">
        <f>IF('[1]BASE'!FQ54=0,"",'[1]BASE'!FQ54)</f>
        <v>XXXX</v>
      </c>
      <c r="U54" s="1022" t="str">
        <f>IF('[1]BASE'!FR54=0,"",'[1]BASE'!FR54)</f>
        <v>XXXX</v>
      </c>
      <c r="V54" s="1019"/>
    </row>
    <row r="55" spans="2:22" s="1014" customFormat="1" ht="19.5" customHeight="1">
      <c r="B55" s="1015"/>
      <c r="C55" s="1025">
        <f>IF('[1]BASE'!C55=0,"",'[1]BASE'!C55)</f>
        <v>39</v>
      </c>
      <c r="D55" s="1025" t="str">
        <f>IF('[1]BASE'!D55=0,"",'[1]BASE'!D55)</f>
        <v>RECREO - MALVINAS ARG. </v>
      </c>
      <c r="E55" s="1025">
        <f>IF('[1]BASE'!E55=0,"",'[1]BASE'!E55)</f>
        <v>500</v>
      </c>
      <c r="F55" s="1025">
        <f>IF('[1]BASE'!F55=0,"",'[1]BASE'!F55)</f>
        <v>259</v>
      </c>
      <c r="G55" s="1026" t="str">
        <f>IF('[1]BASE'!G55=0,"",'[1]BASE'!G55)</f>
        <v>C</v>
      </c>
      <c r="H55" s="1022">
        <f>IF('[1]BASE'!FE55=0,"",'[1]BASE'!FE55)</f>
      </c>
      <c r="I55" s="1022">
        <f>IF('[1]BASE'!FF55=0,"",'[1]BASE'!FF55)</f>
      </c>
      <c r="J55" s="1022">
        <f>IF('[1]BASE'!FG55=0,"",'[1]BASE'!FG55)</f>
      </c>
      <c r="K55" s="1022">
        <f>IF('[1]BASE'!FH55=0,"",'[1]BASE'!FH55)</f>
      </c>
      <c r="L55" s="1022">
        <f>IF('[1]BASE'!FI55=0,"",'[1]BASE'!FI55)</f>
      </c>
      <c r="M55" s="1022">
        <f>IF('[1]BASE'!FJ55=0,"",'[1]BASE'!FJ55)</f>
      </c>
      <c r="N55" s="1022">
        <f>IF('[1]BASE'!FK55=0,"",'[1]BASE'!FK55)</f>
      </c>
      <c r="O55" s="1022">
        <f>IF('[1]BASE'!FL55=0,"",'[1]BASE'!FL55)</f>
      </c>
      <c r="P55" s="1022">
        <f>IF('[1]BASE'!FM55=0,"",'[1]BASE'!FM55)</f>
      </c>
      <c r="Q55" s="1022">
        <f>IF('[1]BASE'!FN55=0,"",'[1]BASE'!FN55)</f>
      </c>
      <c r="R55" s="1022">
        <f>IF('[1]BASE'!FO55=0,"",'[1]BASE'!FO55)</f>
      </c>
      <c r="S55" s="1022">
        <f>IF('[1]BASE'!FP55=0,"",'[1]BASE'!FP55)</f>
        <v>2</v>
      </c>
      <c r="T55" s="1022">
        <f>IF('[1]BASE'!FQ55=0,"",'[1]BASE'!FQ55)</f>
      </c>
      <c r="U55" s="1022">
        <f>IF('[1]BASE'!FR55=0,"",'[1]BASE'!FR55)</f>
      </c>
      <c r="V55" s="1019"/>
    </row>
    <row r="56" spans="2:22" s="1014" customFormat="1" ht="19.5" customHeight="1">
      <c r="B56" s="1015"/>
      <c r="C56" s="1023">
        <f>IF('[1]BASE'!C56=0,"",'[1]BASE'!C56)</f>
        <v>40</v>
      </c>
      <c r="D56" s="1023" t="str">
        <f>IF('[1]BASE'!D56=0,"",'[1]BASE'!D56)</f>
        <v>RIO GRANDE - EMBALSE</v>
      </c>
      <c r="E56" s="1023">
        <f>IF('[1]BASE'!E56=0,"",'[1]BASE'!E56)</f>
        <v>500</v>
      </c>
      <c r="F56" s="1023">
        <f>IF('[1]BASE'!F56=0,"",'[1]BASE'!F56)</f>
        <v>30</v>
      </c>
      <c r="G56" s="1024" t="str">
        <f>IF('[1]BASE'!G56=0,"",'[1]BASE'!G56)</f>
        <v>B</v>
      </c>
      <c r="H56" s="1022">
        <f>IF('[1]BASE'!FE56=0,"",'[1]BASE'!FE56)</f>
      </c>
      <c r="I56" s="1022">
        <f>IF('[1]BASE'!FF56=0,"",'[1]BASE'!FF56)</f>
      </c>
      <c r="J56" s="1022">
        <f>IF('[1]BASE'!FG56=0,"",'[1]BASE'!FG56)</f>
      </c>
      <c r="K56" s="1022">
        <f>IF('[1]BASE'!FH56=0,"",'[1]BASE'!FH56)</f>
      </c>
      <c r="L56" s="1022">
        <f>IF('[1]BASE'!FI56=0,"",'[1]BASE'!FI56)</f>
      </c>
      <c r="M56" s="1022">
        <f>IF('[1]BASE'!FJ56=0,"",'[1]BASE'!FJ56)</f>
      </c>
      <c r="N56" s="1022">
        <f>IF('[1]BASE'!FK56=0,"",'[1]BASE'!FK56)</f>
      </c>
      <c r="O56" s="1022">
        <f>IF('[1]BASE'!FL56=0,"",'[1]BASE'!FL56)</f>
      </c>
      <c r="P56" s="1022">
        <f>IF('[1]BASE'!FM56=0,"",'[1]BASE'!FM56)</f>
      </c>
      <c r="Q56" s="1022">
        <f>IF('[1]BASE'!FN56=0,"",'[1]BASE'!FN56)</f>
      </c>
      <c r="R56" s="1022">
        <f>IF('[1]BASE'!FO56=0,"",'[1]BASE'!FO56)</f>
      </c>
      <c r="S56" s="1022">
        <f>IF('[1]BASE'!FP56=0,"",'[1]BASE'!FP56)</f>
      </c>
      <c r="T56" s="1022">
        <f>IF('[1]BASE'!FQ56=0,"",'[1]BASE'!FQ56)</f>
      </c>
      <c r="U56" s="1022">
        <f>IF('[1]BASE'!FR56=0,"",'[1]BASE'!FR56)</f>
      </c>
      <c r="V56" s="1019"/>
    </row>
    <row r="57" spans="2:22" s="1014" customFormat="1" ht="19.5" customHeight="1">
      <c r="B57" s="1015"/>
      <c r="C57" s="1025">
        <f>IF('[1]BASE'!C57=0,"",'[1]BASE'!C57)</f>
        <v>41</v>
      </c>
      <c r="D57" s="1025" t="str">
        <f>IF('[1]BASE'!D57=0,"",'[1]BASE'!D57)</f>
        <v>RIO GRANDE - GRAN MENDOZA</v>
      </c>
      <c r="E57" s="1025">
        <f>IF('[1]BASE'!E57=0,"",'[1]BASE'!E57)</f>
        <v>500</v>
      </c>
      <c r="F57" s="1025">
        <f>IF('[1]BASE'!F57=0,"",'[1]BASE'!F57)</f>
        <v>407</v>
      </c>
      <c r="G57" s="1026" t="str">
        <f>IF('[1]BASE'!G57=0,"",'[1]BASE'!G57)</f>
        <v>B</v>
      </c>
      <c r="H57" s="1022" t="str">
        <f>IF('[1]BASE'!FE57=0,"",'[1]BASE'!FE57)</f>
        <v>XXXX</v>
      </c>
      <c r="I57" s="1022" t="str">
        <f>IF('[1]BASE'!FF57=0,"",'[1]BASE'!FF57)</f>
        <v>XXXX</v>
      </c>
      <c r="J57" s="1022" t="str">
        <f>IF('[1]BASE'!FG57=0,"",'[1]BASE'!FG57)</f>
        <v>XXXX</v>
      </c>
      <c r="K57" s="1022" t="str">
        <f>IF('[1]BASE'!FH57=0,"",'[1]BASE'!FH57)</f>
        <v>XXXX</v>
      </c>
      <c r="L57" s="1022" t="str">
        <f>IF('[1]BASE'!FI57=0,"",'[1]BASE'!FI57)</f>
        <v>XXXX</v>
      </c>
      <c r="M57" s="1022" t="str">
        <f>IF('[1]BASE'!FJ57=0,"",'[1]BASE'!FJ57)</f>
        <v>XXXX</v>
      </c>
      <c r="N57" s="1022" t="str">
        <f>IF('[1]BASE'!FK57=0,"",'[1]BASE'!FK57)</f>
        <v>XXXX</v>
      </c>
      <c r="O57" s="1022" t="str">
        <f>IF('[1]BASE'!FL57=0,"",'[1]BASE'!FL57)</f>
        <v>XXXX</v>
      </c>
      <c r="P57" s="1022" t="str">
        <f>IF('[1]BASE'!FM57=0,"",'[1]BASE'!FM57)</f>
        <v>XXXX</v>
      </c>
      <c r="Q57" s="1022" t="str">
        <f>IF('[1]BASE'!FN57=0,"",'[1]BASE'!FN57)</f>
        <v>XXXX</v>
      </c>
      <c r="R57" s="1022" t="str">
        <f>IF('[1]BASE'!FO57=0,"",'[1]BASE'!FO57)</f>
        <v>XXXX</v>
      </c>
      <c r="S57" s="1022" t="str">
        <f>IF('[1]BASE'!FP57=0,"",'[1]BASE'!FP57)</f>
        <v>XXXX</v>
      </c>
      <c r="T57" s="1022" t="str">
        <f>IF('[1]BASE'!FQ57=0,"",'[1]BASE'!FQ57)</f>
        <v>XXXX</v>
      </c>
      <c r="U57" s="1022" t="str">
        <f>IF('[1]BASE'!FR57=0,"",'[1]BASE'!FR57)</f>
        <v>XXXX</v>
      </c>
      <c r="V57" s="1019"/>
    </row>
    <row r="58" spans="2:22" s="1014" customFormat="1" ht="19.5" customHeight="1">
      <c r="B58" s="1015"/>
      <c r="C58" s="1023">
        <f>IF('[1]BASE'!C58=0,"",'[1]BASE'!C58)</f>
        <v>42</v>
      </c>
      <c r="D58" s="1023" t="str">
        <f>IF('[1]BASE'!D58=0,"",'[1]BASE'!D58)</f>
        <v>RIO GRANDE - LUJAN</v>
      </c>
      <c r="E58" s="1023">
        <f>IF('[1]BASE'!E58=0,"",'[1]BASE'!E58)</f>
        <v>500</v>
      </c>
      <c r="F58" s="1023">
        <f>IF('[1]BASE'!F58=0,"",'[1]BASE'!F58)</f>
        <v>150</v>
      </c>
      <c r="G58" s="1024" t="str">
        <f>IF('[1]BASE'!G58=0,"",'[1]BASE'!G58)</f>
        <v>A</v>
      </c>
      <c r="H58" s="1022">
        <f>IF('[1]BASE'!FE58=0,"",'[1]BASE'!FE58)</f>
      </c>
      <c r="I58" s="1022">
        <f>IF('[1]BASE'!FF58=0,"",'[1]BASE'!FF58)</f>
      </c>
      <c r="J58" s="1022">
        <f>IF('[1]BASE'!FG58=0,"",'[1]BASE'!FG58)</f>
      </c>
      <c r="K58" s="1022">
        <f>IF('[1]BASE'!FH58=0,"",'[1]BASE'!FH58)</f>
      </c>
      <c r="L58" s="1022">
        <f>IF('[1]BASE'!FI58=0,"",'[1]BASE'!FI58)</f>
      </c>
      <c r="M58" s="1022">
        <f>IF('[1]BASE'!FJ58=0,"",'[1]BASE'!FJ58)</f>
      </c>
      <c r="N58" s="1022">
        <f>IF('[1]BASE'!FK58=0,"",'[1]BASE'!FK58)</f>
      </c>
      <c r="O58" s="1022">
        <f>IF('[1]BASE'!FL58=0,"",'[1]BASE'!FL58)</f>
      </c>
      <c r="P58" s="1022">
        <f>IF('[1]BASE'!FM58=0,"",'[1]BASE'!FM58)</f>
      </c>
      <c r="Q58" s="1022">
        <f>IF('[1]BASE'!FN58=0,"",'[1]BASE'!FN58)</f>
      </c>
      <c r="R58" s="1022">
        <f>IF('[1]BASE'!FO58=0,"",'[1]BASE'!FO58)</f>
      </c>
      <c r="S58" s="1022">
        <f>IF('[1]BASE'!FP58=0,"",'[1]BASE'!FP58)</f>
      </c>
      <c r="T58" s="1022">
        <f>IF('[1]BASE'!FQ58=0,"",'[1]BASE'!FQ58)</f>
      </c>
      <c r="U58" s="1022">
        <f>IF('[1]BASE'!FR58=0,"",'[1]BASE'!FR58)</f>
      </c>
      <c r="V58" s="1019"/>
    </row>
    <row r="59" spans="2:22" s="1014" customFormat="1" ht="19.5" customHeight="1">
      <c r="B59" s="1015"/>
      <c r="C59" s="1025">
        <f>IF('[1]BASE'!C59=0,"",'[1]BASE'!C59)</f>
        <v>43</v>
      </c>
      <c r="D59" s="1025" t="str">
        <f>IF('[1]BASE'!D59=0,"",'[1]BASE'!D59)</f>
        <v>LUJAN - GRAN MENDOZA</v>
      </c>
      <c r="E59" s="1025">
        <f>IF('[1]BASE'!E59=0,"",'[1]BASE'!E59)</f>
        <v>500</v>
      </c>
      <c r="F59" s="1025">
        <f>IF('[1]BASE'!F59=0,"",'[1]BASE'!F59)</f>
        <v>257</v>
      </c>
      <c r="G59" s="1026" t="str">
        <f>IF('[1]BASE'!G59=0,"",'[1]BASE'!G59)</f>
        <v>B</v>
      </c>
      <c r="H59" s="1022">
        <f>IF('[1]BASE'!FE59=0,"",'[1]BASE'!FE59)</f>
      </c>
      <c r="I59" s="1022">
        <f>IF('[1]BASE'!FF59=0,"",'[1]BASE'!FF59)</f>
      </c>
      <c r="J59" s="1022">
        <f>IF('[1]BASE'!FG59=0,"",'[1]BASE'!FG59)</f>
      </c>
      <c r="K59" s="1022">
        <f>IF('[1]BASE'!FH59=0,"",'[1]BASE'!FH59)</f>
      </c>
      <c r="L59" s="1022">
        <f>IF('[1]BASE'!FI59=0,"",'[1]BASE'!FI59)</f>
      </c>
      <c r="M59" s="1022">
        <f>IF('[1]BASE'!FJ59=0,"",'[1]BASE'!FJ59)</f>
      </c>
      <c r="N59" s="1022">
        <f>IF('[1]BASE'!FK59=0,"",'[1]BASE'!FK59)</f>
      </c>
      <c r="O59" s="1022">
        <f>IF('[1]BASE'!FL59=0,"",'[1]BASE'!FL59)</f>
      </c>
      <c r="P59" s="1022">
        <f>IF('[1]BASE'!FM59=0,"",'[1]BASE'!FM59)</f>
      </c>
      <c r="Q59" s="1022">
        <f>IF('[1]BASE'!FN59=0,"",'[1]BASE'!FN59)</f>
      </c>
      <c r="R59" s="1022">
        <f>IF('[1]BASE'!FO59=0,"",'[1]BASE'!FO59)</f>
      </c>
      <c r="S59" s="1022">
        <f>IF('[1]BASE'!FP59=0,"",'[1]BASE'!FP59)</f>
      </c>
      <c r="T59" s="1022">
        <f>IF('[1]BASE'!FQ59=0,"",'[1]BASE'!FQ59)</f>
      </c>
      <c r="U59" s="1022">
        <f>IF('[1]BASE'!FR59=0,"",'[1]BASE'!FR59)</f>
      </c>
      <c r="V59" s="1019"/>
    </row>
    <row r="60" spans="2:22" s="1014" customFormat="1" ht="19.5" customHeight="1">
      <c r="B60" s="1015"/>
      <c r="C60" s="1023">
        <f>IF('[1]BASE'!C60=0,"",'[1]BASE'!C60)</f>
        <v>44</v>
      </c>
      <c r="D60" s="1023" t="str">
        <f>IF('[1]BASE'!D60=0,"",'[1]BASE'!D60)</f>
        <v>ROMANG - RESISTENCIA</v>
      </c>
      <c r="E60" s="1023">
        <f>IF('[1]BASE'!E60=0,"",'[1]BASE'!E60)</f>
        <v>500</v>
      </c>
      <c r="F60" s="1023">
        <f>IF('[1]BASE'!F60=0,"",'[1]BASE'!F60)</f>
        <v>256</v>
      </c>
      <c r="G60" s="1024" t="str">
        <f>IF('[1]BASE'!G60=0,"",'[1]BASE'!G60)</f>
        <v>A</v>
      </c>
      <c r="H60" s="1022">
        <f>IF('[1]BASE'!FE60=0,"",'[1]BASE'!FE60)</f>
      </c>
      <c r="I60" s="1022">
        <f>IF('[1]BASE'!FF60=0,"",'[1]BASE'!FF60)</f>
      </c>
      <c r="J60" s="1022">
        <f>IF('[1]BASE'!FG60=0,"",'[1]BASE'!FG60)</f>
        <v>1</v>
      </c>
      <c r="K60" s="1022">
        <f>IF('[1]BASE'!FH60=0,"",'[1]BASE'!FH60)</f>
      </c>
      <c r="L60" s="1022">
        <f>IF('[1]BASE'!FI60=0,"",'[1]BASE'!FI60)</f>
      </c>
      <c r="M60" s="1022">
        <f>IF('[1]BASE'!FJ60=0,"",'[1]BASE'!FJ60)</f>
      </c>
      <c r="N60" s="1022">
        <f>IF('[1]BASE'!FK60=0,"",'[1]BASE'!FK60)</f>
      </c>
      <c r="O60" s="1022">
        <f>IF('[1]BASE'!FL60=0,"",'[1]BASE'!FL60)</f>
      </c>
      <c r="P60" s="1022">
        <f>IF('[1]BASE'!FM60=0,"",'[1]BASE'!FM60)</f>
      </c>
      <c r="Q60" s="1022">
        <f>IF('[1]BASE'!FN60=0,"",'[1]BASE'!FN60)</f>
      </c>
      <c r="R60" s="1022">
        <f>IF('[1]BASE'!FO60=0,"",'[1]BASE'!FO60)</f>
      </c>
      <c r="S60" s="1022">
        <f>IF('[1]BASE'!FP60=0,"",'[1]BASE'!FP60)</f>
      </c>
      <c r="T60" s="1022">
        <f>IF('[1]BASE'!FQ60=0,"",'[1]BASE'!FQ60)</f>
      </c>
      <c r="U60" s="1022">
        <f>IF('[1]BASE'!FR60=0,"",'[1]BASE'!FR60)</f>
      </c>
      <c r="V60" s="1019"/>
    </row>
    <row r="61" spans="2:22" s="1014" customFormat="1" ht="19.5" customHeight="1">
      <c r="B61" s="1015"/>
      <c r="C61" s="1025">
        <f>IF('[1]BASE'!C61=0,"",'[1]BASE'!C61)</f>
        <v>45</v>
      </c>
      <c r="D61" s="1025" t="str">
        <f>IF('[1]BASE'!D61=0,"",'[1]BASE'!D61)</f>
        <v>ROSARIO OESTE -SANTO TOME</v>
      </c>
      <c r="E61" s="1025">
        <f>IF('[1]BASE'!E61=0,"",'[1]BASE'!E61)</f>
        <v>500</v>
      </c>
      <c r="F61" s="1025">
        <f>IF('[1]BASE'!F61=0,"",'[1]BASE'!F61)</f>
        <v>159</v>
      </c>
      <c r="G61" s="1026" t="str">
        <f>IF('[1]BASE'!G61=0,"",'[1]BASE'!G61)</f>
        <v>C</v>
      </c>
      <c r="H61" s="1022">
        <f>IF('[1]BASE'!FE61=0,"",'[1]BASE'!FE61)</f>
      </c>
      <c r="I61" s="1022">
        <f>IF('[1]BASE'!FF61=0,"",'[1]BASE'!FF61)</f>
      </c>
      <c r="J61" s="1022">
        <f>IF('[1]BASE'!FG61=0,"",'[1]BASE'!FG61)</f>
      </c>
      <c r="K61" s="1022">
        <f>IF('[1]BASE'!FH61=0,"",'[1]BASE'!FH61)</f>
      </c>
      <c r="L61" s="1022">
        <f>IF('[1]BASE'!FI61=0,"",'[1]BASE'!FI61)</f>
      </c>
      <c r="M61" s="1022">
        <f>IF('[1]BASE'!FJ61=0,"",'[1]BASE'!FJ61)</f>
      </c>
      <c r="N61" s="1022">
        <f>IF('[1]BASE'!FK61=0,"",'[1]BASE'!FK61)</f>
      </c>
      <c r="O61" s="1022">
        <f>IF('[1]BASE'!FL61=0,"",'[1]BASE'!FL61)</f>
      </c>
      <c r="P61" s="1022">
        <f>IF('[1]BASE'!FM61=0,"",'[1]BASE'!FM61)</f>
      </c>
      <c r="Q61" s="1022">
        <f>IF('[1]BASE'!FN61=0,"",'[1]BASE'!FN61)</f>
      </c>
      <c r="R61" s="1022">
        <f>IF('[1]BASE'!FO61=0,"",'[1]BASE'!FO61)</f>
      </c>
      <c r="S61" s="1022">
        <f>IF('[1]BASE'!FP61=0,"",'[1]BASE'!FP61)</f>
      </c>
      <c r="T61" s="1022">
        <f>IF('[1]BASE'!FQ61=0,"",'[1]BASE'!FQ61)</f>
      </c>
      <c r="U61" s="1022">
        <f>IF('[1]BASE'!FR61=0,"",'[1]BASE'!FR61)</f>
      </c>
      <c r="V61" s="1019"/>
    </row>
    <row r="62" spans="2:22" s="1014" customFormat="1" ht="19.5" customHeight="1">
      <c r="B62" s="1015"/>
      <c r="C62" s="1023">
        <f>IF('[1]BASE'!C62=0,"",'[1]BASE'!C62)</f>
        <v>46</v>
      </c>
      <c r="D62" s="1023" t="str">
        <f>IF('[1]BASE'!D62=0,"",'[1]BASE'!D62)</f>
        <v>SALTO GRANDE - SANTO TOME </v>
      </c>
      <c r="E62" s="1023">
        <f>IF('[1]BASE'!E62=0,"",'[1]BASE'!E62)</f>
        <v>500</v>
      </c>
      <c r="F62" s="1023">
        <f>IF('[1]BASE'!F62=0,"",'[1]BASE'!F62)</f>
        <v>289</v>
      </c>
      <c r="G62" s="1024" t="str">
        <f>IF('[1]BASE'!G62=0,"",'[1]BASE'!G62)</f>
        <v>C</v>
      </c>
      <c r="H62" s="1022">
        <f>IF('[1]BASE'!FE62=0,"",'[1]BASE'!FE62)</f>
      </c>
      <c r="I62" s="1022">
        <f>IF('[1]BASE'!FF62=0,"",'[1]BASE'!FF62)</f>
        <v>1</v>
      </c>
      <c r="J62" s="1022">
        <f>IF('[1]BASE'!FG62=0,"",'[1]BASE'!FG62)</f>
        <v>2</v>
      </c>
      <c r="K62" s="1022">
        <f>IF('[1]BASE'!FH62=0,"",'[1]BASE'!FH62)</f>
      </c>
      <c r="L62" s="1022">
        <f>IF('[1]BASE'!FI62=0,"",'[1]BASE'!FI62)</f>
        <v>1</v>
      </c>
      <c r="M62" s="1022">
        <f>IF('[1]BASE'!FJ62=0,"",'[1]BASE'!FJ62)</f>
      </c>
      <c r="N62" s="1022">
        <f>IF('[1]BASE'!FK62=0,"",'[1]BASE'!FK62)</f>
      </c>
      <c r="O62" s="1022">
        <f>IF('[1]BASE'!FL62=0,"",'[1]BASE'!FL62)</f>
      </c>
      <c r="P62" s="1022">
        <f>IF('[1]BASE'!FM62=0,"",'[1]BASE'!FM62)</f>
        <v>1</v>
      </c>
      <c r="Q62" s="1022">
        <f>IF('[1]BASE'!FN62=0,"",'[1]BASE'!FN62)</f>
      </c>
      <c r="R62" s="1022">
        <f>IF('[1]BASE'!FO62=0,"",'[1]BASE'!FO62)</f>
      </c>
      <c r="S62" s="1022">
        <f>IF('[1]BASE'!FP62=0,"",'[1]BASE'!FP62)</f>
      </c>
      <c r="T62" s="1022">
        <f>IF('[1]BASE'!FQ62=0,"",'[1]BASE'!FQ62)</f>
      </c>
      <c r="U62" s="1022">
        <f>IF('[1]BASE'!FR62=0,"",'[1]BASE'!FR62)</f>
      </c>
      <c r="V62" s="1019"/>
    </row>
    <row r="63" spans="2:22" s="1014" customFormat="1" ht="19.5" customHeight="1">
      <c r="B63" s="1015"/>
      <c r="C63" s="1025">
        <f>IF('[1]BASE'!C63=0,"",'[1]BASE'!C63)</f>
        <v>47</v>
      </c>
      <c r="D63" s="1025" t="str">
        <f>IF('[1]BASE'!D63=0,"",'[1]BASE'!D63)</f>
        <v>SANTO TOME - ROMANG </v>
      </c>
      <c r="E63" s="1025">
        <f>IF('[1]BASE'!E63=0,"",'[1]BASE'!E63)</f>
        <v>500</v>
      </c>
      <c r="F63" s="1025">
        <f>IF('[1]BASE'!F63=0,"",'[1]BASE'!F63)</f>
        <v>270</v>
      </c>
      <c r="G63" s="1026" t="str">
        <f>IF('[1]BASE'!G63=0,"",'[1]BASE'!G63)</f>
        <v>A</v>
      </c>
      <c r="H63" s="1022">
        <f>IF('[1]BASE'!FE63=0,"",'[1]BASE'!FE63)</f>
      </c>
      <c r="I63" s="1022">
        <f>IF('[1]BASE'!FF63=0,"",'[1]BASE'!FF63)</f>
      </c>
      <c r="J63" s="1022">
        <f>IF('[1]BASE'!FG63=0,"",'[1]BASE'!FG63)</f>
      </c>
      <c r="K63" s="1022">
        <f>IF('[1]BASE'!FH63=0,"",'[1]BASE'!FH63)</f>
      </c>
      <c r="L63" s="1022">
        <f>IF('[1]BASE'!FI63=0,"",'[1]BASE'!FI63)</f>
      </c>
      <c r="M63" s="1022">
        <f>IF('[1]BASE'!FJ63=0,"",'[1]BASE'!FJ63)</f>
      </c>
      <c r="N63" s="1022">
        <f>IF('[1]BASE'!FK63=0,"",'[1]BASE'!FK63)</f>
      </c>
      <c r="O63" s="1022">
        <f>IF('[1]BASE'!FL63=0,"",'[1]BASE'!FL63)</f>
      </c>
      <c r="P63" s="1022">
        <f>IF('[1]BASE'!FM63=0,"",'[1]BASE'!FM63)</f>
      </c>
      <c r="Q63" s="1022">
        <f>IF('[1]BASE'!FN63=0,"",'[1]BASE'!FN63)</f>
      </c>
      <c r="R63" s="1022">
        <f>IF('[1]BASE'!FO63=0,"",'[1]BASE'!FO63)</f>
        <v>1</v>
      </c>
      <c r="S63" s="1022">
        <f>IF('[1]BASE'!FP63=0,"",'[1]BASE'!FP63)</f>
      </c>
      <c r="T63" s="1022">
        <f>IF('[1]BASE'!FQ63=0,"",'[1]BASE'!FQ63)</f>
      </c>
      <c r="U63" s="1022">
        <f>IF('[1]BASE'!FR63=0,"",'[1]BASE'!FR63)</f>
      </c>
      <c r="V63" s="1019"/>
    </row>
    <row r="64" spans="2:22" s="1014" customFormat="1" ht="19.5" customHeight="1">
      <c r="B64" s="1015"/>
      <c r="C64" s="1023">
        <f>IF('[1]BASE'!C64=0,"",'[1]BASE'!C64)</f>
      </c>
      <c r="D64" s="1023">
        <f>IF('[1]BASE'!D64=0,"",'[1]BASE'!D64)</f>
      </c>
      <c r="E64" s="1023">
        <f>IF('[1]BASE'!E64=0,"",'[1]BASE'!E64)</f>
      </c>
      <c r="F64" s="1023">
        <f>IF('[1]BASE'!F64=0,"",'[1]BASE'!F64)</f>
      </c>
      <c r="G64" s="1024">
        <f>IF('[1]BASE'!G64=0,"",'[1]BASE'!G64)</f>
      </c>
      <c r="H64" s="1022">
        <f>IF('[1]BASE'!FE64=0,"",'[1]BASE'!FE64)</f>
      </c>
      <c r="I64" s="1022">
        <f>IF('[1]BASE'!FF64=0,"",'[1]BASE'!FF64)</f>
      </c>
      <c r="J64" s="1022">
        <f>IF('[1]BASE'!FG64=0,"",'[1]BASE'!FG64)</f>
      </c>
      <c r="K64" s="1022">
        <f>IF('[1]BASE'!FH64=0,"",'[1]BASE'!FH64)</f>
      </c>
      <c r="L64" s="1022">
        <f>IF('[1]BASE'!FI64=0,"",'[1]BASE'!FI64)</f>
      </c>
      <c r="M64" s="1022">
        <f>IF('[1]BASE'!FJ64=0,"",'[1]BASE'!FJ64)</f>
      </c>
      <c r="N64" s="1022">
        <f>IF('[1]BASE'!FK64=0,"",'[1]BASE'!FK64)</f>
      </c>
      <c r="O64" s="1022">
        <f>IF('[1]BASE'!FL64=0,"",'[1]BASE'!FL64)</f>
      </c>
      <c r="P64" s="1022">
        <f>IF('[1]BASE'!FM64=0,"",'[1]BASE'!FM64)</f>
      </c>
      <c r="Q64" s="1022">
        <f>IF('[1]BASE'!FN64=0,"",'[1]BASE'!FN64)</f>
      </c>
      <c r="R64" s="1022">
        <f>IF('[1]BASE'!FO64=0,"",'[1]BASE'!FO64)</f>
      </c>
      <c r="S64" s="1022">
        <f>IF('[1]BASE'!FP64=0,"",'[1]BASE'!FP64)</f>
      </c>
      <c r="T64" s="1022">
        <f>IF('[1]BASE'!FQ64=0,"",'[1]BASE'!FQ64)</f>
      </c>
      <c r="U64" s="1022">
        <f>IF('[1]BASE'!FR64=0,"",'[1]BASE'!FR64)</f>
      </c>
      <c r="V64" s="1019"/>
    </row>
    <row r="65" spans="2:22" s="1014" customFormat="1" ht="19.5" customHeight="1">
      <c r="B65" s="1015"/>
      <c r="C65" s="1025">
        <f>IF('[1]BASE'!C65=0,"",'[1]BASE'!C65)</f>
        <v>48</v>
      </c>
      <c r="D65" s="1025" t="str">
        <f>IF('[1]BASE'!D65=0,"",'[1]BASE'!D65)</f>
        <v>GRAL. RODRIGUEZ - VILLA  LIA 1</v>
      </c>
      <c r="E65" s="1025">
        <f>IF('[1]BASE'!E65=0,"",'[1]BASE'!E65)</f>
        <v>220</v>
      </c>
      <c r="F65" s="1025">
        <f>IF('[1]BASE'!F65=0,"",'[1]BASE'!F65)</f>
        <v>61</v>
      </c>
      <c r="G65" s="1026" t="str">
        <f>IF('[1]BASE'!G65=0,"",'[1]BASE'!G65)</f>
        <v>C</v>
      </c>
      <c r="H65" s="1022">
        <f>IF('[1]BASE'!FE65=0,"",'[1]BASE'!FE65)</f>
      </c>
      <c r="I65" s="1022">
        <f>IF('[1]BASE'!FF65=0,"",'[1]BASE'!FF65)</f>
      </c>
      <c r="J65" s="1022">
        <f>IF('[1]BASE'!FG65=0,"",'[1]BASE'!FG65)</f>
      </c>
      <c r="K65" s="1022">
        <f>IF('[1]BASE'!FH65=0,"",'[1]BASE'!FH65)</f>
      </c>
      <c r="L65" s="1022">
        <f>IF('[1]BASE'!FI65=0,"",'[1]BASE'!FI65)</f>
      </c>
      <c r="M65" s="1022">
        <f>IF('[1]BASE'!FJ65=0,"",'[1]BASE'!FJ65)</f>
      </c>
      <c r="N65" s="1022">
        <f>IF('[1]BASE'!FK65=0,"",'[1]BASE'!FK65)</f>
        <v>1</v>
      </c>
      <c r="O65" s="1022">
        <f>IF('[1]BASE'!FL65=0,"",'[1]BASE'!FL65)</f>
      </c>
      <c r="P65" s="1022">
        <f>IF('[1]BASE'!FM65=0,"",'[1]BASE'!FM65)</f>
      </c>
      <c r="Q65" s="1022">
        <f>IF('[1]BASE'!FN65=0,"",'[1]BASE'!FN65)</f>
      </c>
      <c r="R65" s="1022">
        <f>IF('[1]BASE'!FO65=0,"",'[1]BASE'!FO65)</f>
      </c>
      <c r="S65" s="1022">
        <f>IF('[1]BASE'!FP65=0,"",'[1]BASE'!FP65)</f>
      </c>
      <c r="T65" s="1022">
        <f>IF('[1]BASE'!FQ65=0,"",'[1]BASE'!FQ65)</f>
      </c>
      <c r="U65" s="1022">
        <f>IF('[1]BASE'!FR65=0,"",'[1]BASE'!FR65)</f>
      </c>
      <c r="V65" s="1019"/>
    </row>
    <row r="66" spans="2:22" s="1014" customFormat="1" ht="19.5" customHeight="1">
      <c r="B66" s="1015"/>
      <c r="C66" s="1023">
        <f>IF('[1]BASE'!C66=0,"",'[1]BASE'!C66)</f>
        <v>49</v>
      </c>
      <c r="D66" s="1023" t="str">
        <f>IF('[1]BASE'!D66=0,"",'[1]BASE'!D66)</f>
        <v>GRAL. RODRIGUEZ - VILLA  LIA 2</v>
      </c>
      <c r="E66" s="1023">
        <f>IF('[1]BASE'!E66=0,"",'[1]BASE'!E66)</f>
        <v>220</v>
      </c>
      <c r="F66" s="1023">
        <f>IF('[1]BASE'!F66=0,"",'[1]BASE'!F66)</f>
        <v>61</v>
      </c>
      <c r="G66" s="1024" t="str">
        <f>IF('[1]BASE'!G66=0,"",'[1]BASE'!G66)</f>
        <v>C</v>
      </c>
      <c r="H66" s="1022">
        <f>IF('[1]BASE'!FE66=0,"",'[1]BASE'!FE66)</f>
      </c>
      <c r="I66" s="1022">
        <f>IF('[1]BASE'!FF66=0,"",'[1]BASE'!FF66)</f>
      </c>
      <c r="J66" s="1022">
        <f>IF('[1]BASE'!FG66=0,"",'[1]BASE'!FG66)</f>
      </c>
      <c r="K66" s="1022">
        <f>IF('[1]BASE'!FH66=0,"",'[1]BASE'!FH66)</f>
      </c>
      <c r="L66" s="1022">
        <f>IF('[1]BASE'!FI66=0,"",'[1]BASE'!FI66)</f>
      </c>
      <c r="M66" s="1022">
        <f>IF('[1]BASE'!FJ66=0,"",'[1]BASE'!FJ66)</f>
      </c>
      <c r="N66" s="1022">
        <f>IF('[1]BASE'!FK66=0,"",'[1]BASE'!FK66)</f>
      </c>
      <c r="O66" s="1022">
        <f>IF('[1]BASE'!FL66=0,"",'[1]BASE'!FL66)</f>
      </c>
      <c r="P66" s="1022">
        <f>IF('[1]BASE'!FM66=0,"",'[1]BASE'!FM66)</f>
      </c>
      <c r="Q66" s="1022">
        <f>IF('[1]BASE'!FN66=0,"",'[1]BASE'!FN66)</f>
      </c>
      <c r="R66" s="1022">
        <f>IF('[1]BASE'!FO66=0,"",'[1]BASE'!FO66)</f>
      </c>
      <c r="S66" s="1022">
        <f>IF('[1]BASE'!FP66=0,"",'[1]BASE'!FP66)</f>
      </c>
      <c r="T66" s="1022">
        <f>IF('[1]BASE'!FQ66=0,"",'[1]BASE'!FQ66)</f>
      </c>
      <c r="U66" s="1022">
        <f>IF('[1]BASE'!FR66=0,"",'[1]BASE'!FR66)</f>
      </c>
      <c r="V66" s="1019"/>
    </row>
    <row r="67" spans="2:22" s="1014" customFormat="1" ht="19.5" customHeight="1">
      <c r="B67" s="1015"/>
      <c r="C67" s="1025">
        <f>IF('[1]BASE'!C67=0,"",'[1]BASE'!C67)</f>
        <v>50</v>
      </c>
      <c r="D67" s="1025" t="str">
        <f>IF('[1]BASE'!D67=0,"",'[1]BASE'!D67)</f>
        <v>RAMALLO - SAN NICOLAS (2)</v>
      </c>
      <c r="E67" s="1025">
        <f>IF('[1]BASE'!E67=0,"",'[1]BASE'!E67)</f>
        <v>220</v>
      </c>
      <c r="F67" s="1025">
        <f>IF('[1]BASE'!F67=0,"",'[1]BASE'!F67)</f>
        <v>6</v>
      </c>
      <c r="G67" s="1026" t="str">
        <f>IF('[1]BASE'!G67=0,"",'[1]BASE'!G67)</f>
        <v>C</v>
      </c>
      <c r="H67" s="1022">
        <f>IF('[1]BASE'!FE67=0,"",'[1]BASE'!FE67)</f>
      </c>
      <c r="I67" s="1022">
        <f>IF('[1]BASE'!FF67=0,"",'[1]BASE'!FF67)</f>
      </c>
      <c r="J67" s="1022">
        <f>IF('[1]BASE'!FG67=0,"",'[1]BASE'!FG67)</f>
      </c>
      <c r="K67" s="1022">
        <f>IF('[1]BASE'!FH67=0,"",'[1]BASE'!FH67)</f>
      </c>
      <c r="L67" s="1022">
        <f>IF('[1]BASE'!FI67=0,"",'[1]BASE'!FI67)</f>
      </c>
      <c r="M67" s="1022">
        <f>IF('[1]BASE'!FJ67=0,"",'[1]BASE'!FJ67)</f>
      </c>
      <c r="N67" s="1022">
        <f>IF('[1]BASE'!FK67=0,"",'[1]BASE'!FK67)</f>
      </c>
      <c r="O67" s="1022">
        <f>IF('[1]BASE'!FL67=0,"",'[1]BASE'!FL67)</f>
      </c>
      <c r="P67" s="1022">
        <f>IF('[1]BASE'!FM67=0,"",'[1]BASE'!FM67)</f>
      </c>
      <c r="Q67" s="1022">
        <f>IF('[1]BASE'!FN67=0,"",'[1]BASE'!FN67)</f>
      </c>
      <c r="R67" s="1022">
        <f>IF('[1]BASE'!FO67=0,"",'[1]BASE'!FO67)</f>
      </c>
      <c r="S67" s="1022">
        <f>IF('[1]BASE'!FP67=0,"",'[1]BASE'!FP67)</f>
      </c>
      <c r="T67" s="1022">
        <f>IF('[1]BASE'!FQ67=0,"",'[1]BASE'!FQ67)</f>
      </c>
      <c r="U67" s="1022">
        <f>IF('[1]BASE'!FR67=0,"",'[1]BASE'!FR67)</f>
      </c>
      <c r="V67" s="1019"/>
    </row>
    <row r="68" spans="2:22" s="1014" customFormat="1" ht="19.5" customHeight="1">
      <c r="B68" s="1015"/>
      <c r="C68" s="1023">
        <f>IF('[1]BASE'!C68=0,"",'[1]BASE'!C68)</f>
        <v>51</v>
      </c>
      <c r="D68" s="1023" t="str">
        <f>IF('[1]BASE'!D68=0,"",'[1]BASE'!D68)</f>
        <v>RAMALLO - SAN NICOLAS (1)</v>
      </c>
      <c r="E68" s="1023">
        <f>IF('[1]BASE'!E68=0,"",'[1]BASE'!E68)</f>
        <v>220</v>
      </c>
      <c r="F68" s="1023">
        <f>IF('[1]BASE'!F68=0,"",'[1]BASE'!F68)</f>
        <v>6</v>
      </c>
      <c r="G68" s="1024" t="str">
        <f>IF('[1]BASE'!G68=0,"",'[1]BASE'!G68)</f>
        <v>C</v>
      </c>
      <c r="H68" s="1022">
        <f>IF('[1]BASE'!FE68=0,"",'[1]BASE'!FE68)</f>
      </c>
      <c r="I68" s="1022">
        <f>IF('[1]BASE'!FF68=0,"",'[1]BASE'!FF68)</f>
      </c>
      <c r="J68" s="1022">
        <f>IF('[1]BASE'!FG68=0,"",'[1]BASE'!FG68)</f>
      </c>
      <c r="K68" s="1022">
        <f>IF('[1]BASE'!FH68=0,"",'[1]BASE'!FH68)</f>
      </c>
      <c r="L68" s="1022">
        <f>IF('[1]BASE'!FI68=0,"",'[1]BASE'!FI68)</f>
      </c>
      <c r="M68" s="1022">
        <f>IF('[1]BASE'!FJ68=0,"",'[1]BASE'!FJ68)</f>
      </c>
      <c r="N68" s="1022">
        <f>IF('[1]BASE'!FK68=0,"",'[1]BASE'!FK68)</f>
      </c>
      <c r="O68" s="1022">
        <f>IF('[1]BASE'!FL68=0,"",'[1]BASE'!FL68)</f>
      </c>
      <c r="P68" s="1022">
        <f>IF('[1]BASE'!FM68=0,"",'[1]BASE'!FM68)</f>
        <v>1</v>
      </c>
      <c r="Q68" s="1022">
        <f>IF('[1]BASE'!FN68=0,"",'[1]BASE'!FN68)</f>
      </c>
      <c r="R68" s="1022">
        <f>IF('[1]BASE'!FO68=0,"",'[1]BASE'!FO68)</f>
      </c>
      <c r="S68" s="1022">
        <f>IF('[1]BASE'!FP68=0,"",'[1]BASE'!FP68)</f>
      </c>
      <c r="T68" s="1022">
        <f>IF('[1]BASE'!FQ68=0,"",'[1]BASE'!FQ68)</f>
      </c>
      <c r="U68" s="1022">
        <f>IF('[1]BASE'!FR68=0,"",'[1]BASE'!FR68)</f>
        <v>1</v>
      </c>
      <c r="V68" s="1019"/>
    </row>
    <row r="69" spans="2:22" s="1014" customFormat="1" ht="19.5" customHeight="1">
      <c r="B69" s="1015"/>
      <c r="C69" s="1025">
        <f>IF('[1]BASE'!C69=0,"",'[1]BASE'!C69)</f>
        <v>52</v>
      </c>
      <c r="D69" s="1025" t="str">
        <f>IF('[1]BASE'!D69=0,"",'[1]BASE'!D69)</f>
        <v>RAMALLO - VILLA LIA  1</v>
      </c>
      <c r="E69" s="1025">
        <f>IF('[1]BASE'!E69=0,"",'[1]BASE'!E69)</f>
        <v>220</v>
      </c>
      <c r="F69" s="1026">
        <f>IF('[1]BASE'!F69=0,"",'[1]BASE'!F69)</f>
        <v>114</v>
      </c>
      <c r="G69" s="1026" t="str">
        <f>IF('[1]BASE'!G69=0,"",'[1]BASE'!G69)</f>
        <v>C</v>
      </c>
      <c r="H69" s="1022">
        <f>IF('[1]BASE'!FE69=0,"",'[1]BASE'!FE69)</f>
      </c>
      <c r="I69" s="1022">
        <f>IF('[1]BASE'!FF69=0,"",'[1]BASE'!FF69)</f>
      </c>
      <c r="J69" s="1022">
        <f>IF('[1]BASE'!FG69=0,"",'[1]BASE'!FG69)</f>
      </c>
      <c r="K69" s="1022">
        <f>IF('[1]BASE'!FH69=0,"",'[1]BASE'!FH69)</f>
        <v>1</v>
      </c>
      <c r="L69" s="1022">
        <f>IF('[1]BASE'!FI69=0,"",'[1]BASE'!FI69)</f>
        <v>1</v>
      </c>
      <c r="M69" s="1022">
        <f>IF('[1]BASE'!FJ69=0,"",'[1]BASE'!FJ69)</f>
      </c>
      <c r="N69" s="1022">
        <f>IF('[1]BASE'!FK69=0,"",'[1]BASE'!FK69)</f>
      </c>
      <c r="O69" s="1022">
        <f>IF('[1]BASE'!FL69=0,"",'[1]BASE'!FL69)</f>
      </c>
      <c r="P69" s="1022">
        <f>IF('[1]BASE'!FM69=0,"",'[1]BASE'!FM69)</f>
      </c>
      <c r="Q69" s="1022">
        <f>IF('[1]BASE'!FN69=0,"",'[1]BASE'!FN69)</f>
      </c>
      <c r="R69" s="1022">
        <f>IF('[1]BASE'!FO69=0,"",'[1]BASE'!FO69)</f>
        <v>2</v>
      </c>
      <c r="S69" s="1022">
        <f>IF('[1]BASE'!FP69=0,"",'[1]BASE'!FP69)</f>
      </c>
      <c r="T69" s="1022">
        <f>IF('[1]BASE'!FQ69=0,"",'[1]BASE'!FQ69)</f>
      </c>
      <c r="U69" s="1022">
        <f>IF('[1]BASE'!FR69=0,"",'[1]BASE'!FR69)</f>
      </c>
      <c r="V69" s="1019"/>
    </row>
    <row r="70" spans="2:22" s="1014" customFormat="1" ht="19.5" customHeight="1">
      <c r="B70" s="1015"/>
      <c r="C70" s="1023">
        <f>IF('[1]BASE'!C70=0,"",'[1]BASE'!C70)</f>
        <v>53</v>
      </c>
      <c r="D70" s="1023" t="str">
        <f>IF('[1]BASE'!D70=0,"",'[1]BASE'!D70)</f>
        <v>RAMALLO - VILLA LIA  2</v>
      </c>
      <c r="E70" s="1023">
        <f>IF('[1]BASE'!E70=0,"",'[1]BASE'!E70)</f>
        <v>220</v>
      </c>
      <c r="F70" s="1024">
        <f>IF('[1]BASE'!F70=0,"",'[1]BASE'!F70)</f>
        <v>114</v>
      </c>
      <c r="G70" s="1024" t="str">
        <f>IF('[1]BASE'!G70=0,"",'[1]BASE'!G70)</f>
        <v>C</v>
      </c>
      <c r="H70" s="1022">
        <f>IF('[1]BASE'!FE70=0,"",'[1]BASE'!FE70)</f>
      </c>
      <c r="I70" s="1022">
        <f>IF('[1]BASE'!FF70=0,"",'[1]BASE'!FF70)</f>
      </c>
      <c r="J70" s="1022">
        <f>IF('[1]BASE'!FG70=0,"",'[1]BASE'!FG70)</f>
      </c>
      <c r="K70" s="1022">
        <f>IF('[1]BASE'!FH70=0,"",'[1]BASE'!FH70)</f>
      </c>
      <c r="L70" s="1022">
        <f>IF('[1]BASE'!FI70=0,"",'[1]BASE'!FI70)</f>
      </c>
      <c r="M70" s="1022">
        <f>IF('[1]BASE'!FJ70=0,"",'[1]BASE'!FJ70)</f>
      </c>
      <c r="N70" s="1022">
        <f>IF('[1]BASE'!FK70=0,"",'[1]BASE'!FK70)</f>
      </c>
      <c r="O70" s="1022">
        <f>IF('[1]BASE'!FL70=0,"",'[1]BASE'!FL70)</f>
      </c>
      <c r="P70" s="1022">
        <f>IF('[1]BASE'!FM70=0,"",'[1]BASE'!FM70)</f>
      </c>
      <c r="Q70" s="1022">
        <f>IF('[1]BASE'!FN70=0,"",'[1]BASE'!FN70)</f>
        <v>1</v>
      </c>
      <c r="R70" s="1022">
        <f>IF('[1]BASE'!FO70=0,"",'[1]BASE'!FO70)</f>
      </c>
      <c r="S70" s="1022">
        <f>IF('[1]BASE'!FP70=0,"",'[1]BASE'!FP70)</f>
      </c>
      <c r="T70" s="1022">
        <f>IF('[1]BASE'!FQ70=0,"",'[1]BASE'!FQ70)</f>
      </c>
      <c r="U70" s="1022">
        <f>IF('[1]BASE'!FR70=0,"",'[1]BASE'!FR70)</f>
      </c>
      <c r="V70" s="1019"/>
    </row>
    <row r="71" spans="2:22" s="1014" customFormat="1" ht="19.5" customHeight="1">
      <c r="B71" s="1015"/>
      <c r="C71" s="1025">
        <f>IF('[1]BASE'!C71=0,"",'[1]BASE'!C71)</f>
        <v>54</v>
      </c>
      <c r="D71" s="1025" t="str">
        <f>IF('[1]BASE'!D71=0,"",'[1]BASE'!D71)</f>
        <v>ROSARIO OESTE - RAMALLO  1</v>
      </c>
      <c r="E71" s="1025">
        <f>IF('[1]BASE'!E71=0,"",'[1]BASE'!E71)</f>
        <v>220</v>
      </c>
      <c r="F71" s="1026">
        <f>IF('[1]BASE'!F71=0,"",'[1]BASE'!F71)</f>
        <v>77</v>
      </c>
      <c r="G71" s="1026" t="str">
        <f>IF('[1]BASE'!G71=0,"",'[1]BASE'!G71)</f>
        <v>C</v>
      </c>
      <c r="H71" s="1022">
        <f>IF('[1]BASE'!FE71=0,"",'[1]BASE'!FE71)</f>
      </c>
      <c r="I71" s="1022">
        <f>IF('[1]BASE'!FF71=0,"",'[1]BASE'!FF71)</f>
      </c>
      <c r="J71" s="1022">
        <f>IF('[1]BASE'!FG71=0,"",'[1]BASE'!FG71)</f>
      </c>
      <c r="K71" s="1022">
        <f>IF('[1]BASE'!FH71=0,"",'[1]BASE'!FH71)</f>
        <v>1</v>
      </c>
      <c r="L71" s="1022">
        <f>IF('[1]BASE'!FI71=0,"",'[1]BASE'!FI71)</f>
      </c>
      <c r="M71" s="1022">
        <f>IF('[1]BASE'!FJ71=0,"",'[1]BASE'!FJ71)</f>
      </c>
      <c r="N71" s="1022">
        <f>IF('[1]BASE'!FK71=0,"",'[1]BASE'!FK71)</f>
      </c>
      <c r="O71" s="1022">
        <f>IF('[1]BASE'!FL71=0,"",'[1]BASE'!FL71)</f>
      </c>
      <c r="P71" s="1022">
        <f>IF('[1]BASE'!FM71=0,"",'[1]BASE'!FM71)</f>
      </c>
      <c r="Q71" s="1022">
        <f>IF('[1]BASE'!FN71=0,"",'[1]BASE'!FN71)</f>
      </c>
      <c r="R71" s="1022">
        <f>IF('[1]BASE'!FO71=0,"",'[1]BASE'!FO71)</f>
      </c>
      <c r="S71" s="1022">
        <f>IF('[1]BASE'!FP71=0,"",'[1]BASE'!FP71)</f>
      </c>
      <c r="T71" s="1022">
        <f>IF('[1]BASE'!FQ71=0,"",'[1]BASE'!FQ71)</f>
      </c>
      <c r="U71" s="1022">
        <f>IF('[1]BASE'!FR71=0,"",'[1]BASE'!FR71)</f>
        <v>1</v>
      </c>
      <c r="V71" s="1019"/>
    </row>
    <row r="72" spans="2:22" s="1014" customFormat="1" ht="19.5" customHeight="1">
      <c r="B72" s="1015"/>
      <c r="C72" s="1023">
        <f>IF('[1]BASE'!C72=0,"",'[1]BASE'!C72)</f>
        <v>55</v>
      </c>
      <c r="D72" s="1023" t="str">
        <f>IF('[1]BASE'!D72=0,"",'[1]BASE'!D72)</f>
        <v>ROSARIO OESTE - RAMALLO  2</v>
      </c>
      <c r="E72" s="1023">
        <f>IF('[1]BASE'!E72=0,"",'[1]BASE'!E72)</f>
        <v>220</v>
      </c>
      <c r="F72" s="1024">
        <f>IF('[1]BASE'!F72=0,"",'[1]BASE'!F72)</f>
        <v>77</v>
      </c>
      <c r="G72" s="1024" t="str">
        <f>IF('[1]BASE'!G72=0,"",'[1]BASE'!G72)</f>
        <v>C</v>
      </c>
      <c r="H72" s="1022">
        <f>IF('[1]BASE'!FE72=0,"",'[1]BASE'!FE72)</f>
      </c>
      <c r="I72" s="1022">
        <f>IF('[1]BASE'!FF72=0,"",'[1]BASE'!FF72)</f>
      </c>
      <c r="J72" s="1022">
        <f>IF('[1]BASE'!FG72=0,"",'[1]BASE'!FG72)</f>
      </c>
      <c r="K72" s="1022">
        <f>IF('[1]BASE'!FH72=0,"",'[1]BASE'!FH72)</f>
        <v>1</v>
      </c>
      <c r="L72" s="1022">
        <f>IF('[1]BASE'!FI72=0,"",'[1]BASE'!FI72)</f>
      </c>
      <c r="M72" s="1022">
        <f>IF('[1]BASE'!FJ72=0,"",'[1]BASE'!FJ72)</f>
      </c>
      <c r="N72" s="1022">
        <f>IF('[1]BASE'!FK72=0,"",'[1]BASE'!FK72)</f>
      </c>
      <c r="O72" s="1022">
        <f>IF('[1]BASE'!FL72=0,"",'[1]BASE'!FL72)</f>
        <v>1</v>
      </c>
      <c r="P72" s="1022">
        <f>IF('[1]BASE'!FM72=0,"",'[1]BASE'!FM72)</f>
      </c>
      <c r="Q72" s="1022">
        <f>IF('[1]BASE'!FN72=0,"",'[1]BASE'!FN72)</f>
      </c>
      <c r="R72" s="1022">
        <f>IF('[1]BASE'!FO72=0,"",'[1]BASE'!FO72)</f>
      </c>
      <c r="S72" s="1022">
        <f>IF('[1]BASE'!FP72=0,"",'[1]BASE'!FP72)</f>
      </c>
      <c r="T72" s="1022">
        <f>IF('[1]BASE'!FQ72=0,"",'[1]BASE'!FQ72)</f>
      </c>
      <c r="U72" s="1022">
        <f>IF('[1]BASE'!FR72=0,"",'[1]BASE'!FR72)</f>
      </c>
      <c r="V72" s="1019"/>
    </row>
    <row r="73" spans="2:22" s="1014" customFormat="1" ht="19.5" customHeight="1">
      <c r="B73" s="1015"/>
      <c r="C73" s="1025">
        <f>IF('[1]BASE'!C73=0,"",'[1]BASE'!C73)</f>
        <v>56</v>
      </c>
      <c r="D73" s="1025" t="str">
        <f>IF('[1]BASE'!D73=0,"",'[1]BASE'!D73)</f>
        <v>VILLA LIA - ATUCHA 1</v>
      </c>
      <c r="E73" s="1025">
        <f>IF('[1]BASE'!E73=0,"",'[1]BASE'!E73)</f>
        <v>220</v>
      </c>
      <c r="F73" s="1025">
        <f>IF('[1]BASE'!F73=0,"",'[1]BASE'!F73)</f>
        <v>26</v>
      </c>
      <c r="G73" s="1026" t="str">
        <f>IF('[1]BASE'!G73=0,"",'[1]BASE'!G73)</f>
        <v>C</v>
      </c>
      <c r="H73" s="1022">
        <f>IF('[1]BASE'!FE73=0,"",'[1]BASE'!FE73)</f>
      </c>
      <c r="I73" s="1022">
        <f>IF('[1]BASE'!FF73=0,"",'[1]BASE'!FF73)</f>
      </c>
      <c r="J73" s="1022">
        <f>IF('[1]BASE'!FG73=0,"",'[1]BASE'!FG73)</f>
      </c>
      <c r="K73" s="1022">
        <f>IF('[1]BASE'!FH73=0,"",'[1]BASE'!FH73)</f>
      </c>
      <c r="L73" s="1022">
        <f>IF('[1]BASE'!FI73=0,"",'[1]BASE'!FI73)</f>
      </c>
      <c r="M73" s="1022">
        <f>IF('[1]BASE'!FJ73=0,"",'[1]BASE'!FJ73)</f>
      </c>
      <c r="N73" s="1022">
        <f>IF('[1]BASE'!FK73=0,"",'[1]BASE'!FK73)</f>
      </c>
      <c r="O73" s="1022">
        <f>IF('[1]BASE'!FL73=0,"",'[1]BASE'!FL73)</f>
      </c>
      <c r="P73" s="1022">
        <f>IF('[1]BASE'!FM73=0,"",'[1]BASE'!FM73)</f>
      </c>
      <c r="Q73" s="1022">
        <f>IF('[1]BASE'!FN73=0,"",'[1]BASE'!FN73)</f>
      </c>
      <c r="R73" s="1022">
        <f>IF('[1]BASE'!FO73=0,"",'[1]BASE'!FO73)</f>
      </c>
      <c r="S73" s="1022">
        <f>IF('[1]BASE'!FP73=0,"",'[1]BASE'!FP73)</f>
      </c>
      <c r="T73" s="1022">
        <f>IF('[1]BASE'!FQ73=0,"",'[1]BASE'!FQ73)</f>
      </c>
      <c r="U73" s="1022">
        <f>IF('[1]BASE'!FR73=0,"",'[1]BASE'!FR73)</f>
      </c>
      <c r="V73" s="1019"/>
    </row>
    <row r="74" spans="2:22" s="1014" customFormat="1" ht="19.5" customHeight="1">
      <c r="B74" s="1015"/>
      <c r="C74" s="1023">
        <f>IF('[1]BASE'!C74=0,"",'[1]BASE'!C74)</f>
        <v>57</v>
      </c>
      <c r="D74" s="1023" t="str">
        <f>IF('[1]BASE'!D74=0,"",'[1]BASE'!D74)</f>
        <v>VILLA LIA - ATUCHA 2</v>
      </c>
      <c r="E74" s="1023">
        <f>IF('[1]BASE'!E74=0,"",'[1]BASE'!E74)</f>
        <v>220</v>
      </c>
      <c r="F74" s="1023">
        <f>IF('[1]BASE'!F74=0,"",'[1]BASE'!F74)</f>
        <v>26</v>
      </c>
      <c r="G74" s="1024" t="str">
        <f>IF('[1]BASE'!G74=0,"",'[1]BASE'!G74)</f>
        <v>C</v>
      </c>
      <c r="H74" s="1022">
        <f>IF('[1]BASE'!FE74=0,"",'[1]BASE'!FE74)</f>
      </c>
      <c r="I74" s="1022">
        <f>IF('[1]BASE'!FF74=0,"",'[1]BASE'!FF74)</f>
      </c>
      <c r="J74" s="1022">
        <f>IF('[1]BASE'!FG74=0,"",'[1]BASE'!FG74)</f>
      </c>
      <c r="K74" s="1022">
        <f>IF('[1]BASE'!FH74=0,"",'[1]BASE'!FH74)</f>
      </c>
      <c r="L74" s="1022">
        <f>IF('[1]BASE'!FI74=0,"",'[1]BASE'!FI74)</f>
      </c>
      <c r="M74" s="1022">
        <f>IF('[1]BASE'!FJ74=0,"",'[1]BASE'!FJ74)</f>
      </c>
      <c r="N74" s="1022">
        <f>IF('[1]BASE'!FK74=0,"",'[1]BASE'!FK74)</f>
      </c>
      <c r="O74" s="1022">
        <f>IF('[1]BASE'!FL74=0,"",'[1]BASE'!FL74)</f>
      </c>
      <c r="P74" s="1022">
        <f>IF('[1]BASE'!FM74=0,"",'[1]BASE'!FM74)</f>
      </c>
      <c r="Q74" s="1022">
        <f>IF('[1]BASE'!FN74=0,"",'[1]BASE'!FN74)</f>
      </c>
      <c r="R74" s="1022">
        <f>IF('[1]BASE'!FO74=0,"",'[1]BASE'!FO74)</f>
      </c>
      <c r="S74" s="1022">
        <f>IF('[1]BASE'!FP74=0,"",'[1]BASE'!FP74)</f>
      </c>
      <c r="T74" s="1022">
        <f>IF('[1]BASE'!FQ74=0,"",'[1]BASE'!FQ74)</f>
      </c>
      <c r="U74" s="1022">
        <f>IF('[1]BASE'!FR74=0,"",'[1]BASE'!FR74)</f>
      </c>
      <c r="V74" s="1019"/>
    </row>
    <row r="75" spans="2:22" s="1014" customFormat="1" ht="19.5" customHeight="1">
      <c r="B75" s="1015"/>
      <c r="C75" s="1025">
        <f>IF('[1]BASE'!C75=0,"",'[1]BASE'!C75)</f>
      </c>
      <c r="D75" s="1025">
        <f>IF('[1]BASE'!D75=0,"",'[1]BASE'!D75)</f>
      </c>
      <c r="E75" s="1025">
        <f>IF('[1]BASE'!E75=0,"",'[1]BASE'!E75)</f>
      </c>
      <c r="F75" s="1025">
        <f>IF('[1]BASE'!F75=0,"",'[1]BASE'!F75)</f>
      </c>
      <c r="G75" s="1026">
        <f>IF('[1]BASE'!G75=0,"",'[1]BASE'!G75)</f>
      </c>
      <c r="H75" s="1022">
        <f>IF('[1]BASE'!FE75=0,"",'[1]BASE'!FE75)</f>
      </c>
      <c r="I75" s="1022">
        <f>IF('[1]BASE'!FF75=0,"",'[1]BASE'!FF75)</f>
      </c>
      <c r="J75" s="1022">
        <f>IF('[1]BASE'!FG75=0,"",'[1]BASE'!FG75)</f>
      </c>
      <c r="K75" s="1022">
        <f>IF('[1]BASE'!FH75=0,"",'[1]BASE'!FH75)</f>
      </c>
      <c r="L75" s="1022">
        <f>IF('[1]BASE'!FI75=0,"",'[1]BASE'!FI75)</f>
      </c>
      <c r="M75" s="1022">
        <f>IF('[1]BASE'!FJ75=0,"",'[1]BASE'!FJ75)</f>
      </c>
      <c r="N75" s="1022">
        <f>IF('[1]BASE'!FK75=0,"",'[1]BASE'!FK75)</f>
      </c>
      <c r="O75" s="1022">
        <f>IF('[1]BASE'!FL75=0,"",'[1]BASE'!FL75)</f>
      </c>
      <c r="P75" s="1022">
        <f>IF('[1]BASE'!FM75=0,"",'[1]BASE'!FM75)</f>
      </c>
      <c r="Q75" s="1022">
        <f>IF('[1]BASE'!FN75=0,"",'[1]BASE'!FN75)</f>
      </c>
      <c r="R75" s="1022">
        <f>IF('[1]BASE'!FO75=0,"",'[1]BASE'!FO75)</f>
      </c>
      <c r="S75" s="1022">
        <f>IF('[1]BASE'!FP75=0,"",'[1]BASE'!FP75)</f>
      </c>
      <c r="T75" s="1022">
        <f>IF('[1]BASE'!FQ75=0,"",'[1]BASE'!FQ75)</f>
      </c>
      <c r="U75" s="1022">
        <f>IF('[1]BASE'!FR75=0,"",'[1]BASE'!FR75)</f>
      </c>
      <c r="V75" s="1019"/>
    </row>
    <row r="76" spans="2:22" s="1014" customFormat="1" ht="19.5" customHeight="1">
      <c r="B76" s="1015"/>
      <c r="C76" s="1023">
        <f>IF('[1]BASE'!C76=0,"",'[1]BASE'!C76)</f>
        <v>58</v>
      </c>
      <c r="D76" s="1023" t="str">
        <f>IF('[1]BASE'!D76=0,"",'[1]BASE'!D76)</f>
        <v>GRAL RODRIGUEZ - RAMALLO</v>
      </c>
      <c r="E76" s="1023">
        <f>IF('[1]BASE'!E76=0,"",'[1]BASE'!E76)</f>
        <v>500</v>
      </c>
      <c r="F76" s="1024">
        <f>IF('[1]BASE'!F76=0,"",'[1]BASE'!F76)</f>
        <v>183.9</v>
      </c>
      <c r="G76" s="1024" t="str">
        <f>IF('[1]BASE'!G76=0,"",'[1]BASE'!G76)</f>
        <v>C</v>
      </c>
      <c r="H76" s="1022">
        <f>IF('[1]BASE'!FE76=0,"",'[1]BASE'!FE76)</f>
      </c>
      <c r="I76" s="1022">
        <f>IF('[1]BASE'!FF76=0,"",'[1]BASE'!FF76)</f>
      </c>
      <c r="J76" s="1022">
        <f>IF('[1]BASE'!FG76=0,"",'[1]BASE'!FG76)</f>
      </c>
      <c r="K76" s="1022">
        <f>IF('[1]BASE'!FH76=0,"",'[1]BASE'!FH76)</f>
        <v>1</v>
      </c>
      <c r="L76" s="1022">
        <f>IF('[1]BASE'!FI76=0,"",'[1]BASE'!FI76)</f>
      </c>
      <c r="M76" s="1022">
        <f>IF('[1]BASE'!FJ76=0,"",'[1]BASE'!FJ76)</f>
      </c>
      <c r="N76" s="1022">
        <f>IF('[1]BASE'!FK76=0,"",'[1]BASE'!FK76)</f>
      </c>
      <c r="O76" s="1022">
        <f>IF('[1]BASE'!FL76=0,"",'[1]BASE'!FL76)</f>
      </c>
      <c r="P76" s="1022">
        <f>IF('[1]BASE'!FM76=0,"",'[1]BASE'!FM76)</f>
      </c>
      <c r="Q76" s="1022">
        <f>IF('[1]BASE'!FN76=0,"",'[1]BASE'!FN76)</f>
      </c>
      <c r="R76" s="1022">
        <f>IF('[1]BASE'!FO76=0,"",'[1]BASE'!FO76)</f>
      </c>
      <c r="S76" s="1022">
        <f>IF('[1]BASE'!FP76=0,"",'[1]BASE'!FP76)</f>
      </c>
      <c r="T76" s="1022">
        <f>IF('[1]BASE'!FQ76=0,"",'[1]BASE'!FQ76)</f>
      </c>
      <c r="U76" s="1022">
        <f>IF('[1]BASE'!FR76=0,"",'[1]BASE'!FR76)</f>
      </c>
      <c r="V76" s="1019"/>
    </row>
    <row r="77" spans="2:22" s="1014" customFormat="1" ht="19.5" customHeight="1">
      <c r="B77" s="1015"/>
      <c r="C77" s="1025">
        <f>IF('[1]BASE'!C77=0,"",'[1]BASE'!C77)</f>
        <v>59</v>
      </c>
      <c r="D77" s="1025" t="str">
        <f>IF('[1]BASE'!D77=0,"",'[1]BASE'!D77)</f>
        <v>RAMALLO - ROSARIO OESTE</v>
      </c>
      <c r="E77" s="1025">
        <f>IF('[1]BASE'!E77=0,"",'[1]BASE'!E77)</f>
        <v>500</v>
      </c>
      <c r="F77" s="1026">
        <f>IF('[1]BASE'!F77=0,"",'[1]BASE'!F77)</f>
        <v>77</v>
      </c>
      <c r="G77" s="1026" t="str">
        <f>IF('[1]BASE'!G77=0,"",'[1]BASE'!G77)</f>
        <v>C</v>
      </c>
      <c r="H77" s="1022">
        <f>IF('[1]BASE'!FE77=0,"",'[1]BASE'!FE77)</f>
      </c>
      <c r="I77" s="1022">
        <f>IF('[1]BASE'!FF77=0,"",'[1]BASE'!FF77)</f>
      </c>
      <c r="J77" s="1022">
        <f>IF('[1]BASE'!FG77=0,"",'[1]BASE'!FG77)</f>
      </c>
      <c r="K77" s="1022">
        <f>IF('[1]BASE'!FH77=0,"",'[1]BASE'!FH77)</f>
        <v>1</v>
      </c>
      <c r="L77" s="1022">
        <f>IF('[1]BASE'!FI77=0,"",'[1]BASE'!FI77)</f>
      </c>
      <c r="M77" s="1022">
        <f>IF('[1]BASE'!FJ77=0,"",'[1]BASE'!FJ77)</f>
      </c>
      <c r="N77" s="1022">
        <f>IF('[1]BASE'!FK77=0,"",'[1]BASE'!FK77)</f>
      </c>
      <c r="O77" s="1022">
        <f>IF('[1]BASE'!FL77=0,"",'[1]BASE'!FL77)</f>
      </c>
      <c r="P77" s="1022">
        <f>IF('[1]BASE'!FM77=0,"",'[1]BASE'!FM77)</f>
      </c>
      <c r="Q77" s="1022">
        <f>IF('[1]BASE'!FN77=0,"",'[1]BASE'!FN77)</f>
      </c>
      <c r="R77" s="1022">
        <f>IF('[1]BASE'!FO77=0,"",'[1]BASE'!FO77)</f>
      </c>
      <c r="S77" s="1022">
        <f>IF('[1]BASE'!FP77=0,"",'[1]BASE'!FP77)</f>
      </c>
      <c r="T77" s="1022">
        <f>IF('[1]BASE'!FQ77=0,"",'[1]BASE'!FQ77)</f>
      </c>
      <c r="U77" s="1022">
        <f>IF('[1]BASE'!FR77=0,"",'[1]BASE'!FR77)</f>
      </c>
      <c r="V77" s="1019"/>
    </row>
    <row r="78" spans="2:22" s="1014" customFormat="1" ht="19.5" customHeight="1">
      <c r="B78" s="1015"/>
      <c r="C78" s="1023">
        <f>IF('[1]BASE'!C78=0,"",'[1]BASE'!C78)</f>
        <v>60</v>
      </c>
      <c r="D78" s="1023" t="str">
        <f>IF('[1]BASE'!D78=0,"",'[1]BASE'!D78)</f>
        <v>MACACHIN - HENDERSON</v>
      </c>
      <c r="E78" s="1023">
        <f>IF('[1]BASE'!E78=0,"",'[1]BASE'!E78)</f>
        <v>500</v>
      </c>
      <c r="F78" s="1024">
        <f>IF('[1]BASE'!F78=0,"",'[1]BASE'!F78)</f>
        <v>194</v>
      </c>
      <c r="G78" s="1024" t="str">
        <f>IF('[1]BASE'!G78=0,"",'[1]BASE'!G78)</f>
        <v>A</v>
      </c>
      <c r="H78" s="1022">
        <f>IF('[1]BASE'!FE78=0,"",'[1]BASE'!FE78)</f>
      </c>
      <c r="I78" s="1022">
        <f>IF('[1]BASE'!FF78=0,"",'[1]BASE'!FF78)</f>
      </c>
      <c r="J78" s="1022">
        <f>IF('[1]BASE'!FG78=0,"",'[1]BASE'!FG78)</f>
      </c>
      <c r="K78" s="1022">
        <f>IF('[1]BASE'!FH78=0,"",'[1]BASE'!FH78)</f>
      </c>
      <c r="L78" s="1022">
        <f>IF('[1]BASE'!FI78=0,"",'[1]BASE'!FI78)</f>
      </c>
      <c r="M78" s="1022">
        <f>IF('[1]BASE'!FJ78=0,"",'[1]BASE'!FJ78)</f>
      </c>
      <c r="N78" s="1022">
        <f>IF('[1]BASE'!FK78=0,"",'[1]BASE'!FK78)</f>
      </c>
      <c r="O78" s="1022">
        <f>IF('[1]BASE'!FL78=0,"",'[1]BASE'!FL78)</f>
      </c>
      <c r="P78" s="1022">
        <f>IF('[1]BASE'!FM78=0,"",'[1]BASE'!FM78)</f>
      </c>
      <c r="Q78" s="1022">
        <f>IF('[1]BASE'!FN78=0,"",'[1]BASE'!FN78)</f>
      </c>
      <c r="R78" s="1022">
        <f>IF('[1]BASE'!FO78=0,"",'[1]BASE'!FO78)</f>
      </c>
      <c r="S78" s="1022">
        <f>IF('[1]BASE'!FP78=0,"",'[1]BASE'!FP78)</f>
      </c>
      <c r="T78" s="1022">
        <f>IF('[1]BASE'!FQ78=0,"",'[1]BASE'!FQ78)</f>
      </c>
      <c r="U78" s="1022">
        <f>IF('[1]BASE'!FR78=0,"",'[1]BASE'!FR78)</f>
      </c>
      <c r="V78" s="1019"/>
    </row>
    <row r="79" spans="2:22" s="1014" customFormat="1" ht="19.5" customHeight="1">
      <c r="B79" s="1015"/>
      <c r="C79" s="1025">
        <f>IF('[1]BASE'!C79=0,"",'[1]BASE'!C79)</f>
        <v>61</v>
      </c>
      <c r="D79" s="1025" t="str">
        <f>IF('[1]BASE'!D79=0,"",'[1]BASE'!D79)</f>
        <v>PUELCHES - MACACHIN</v>
      </c>
      <c r="E79" s="1025">
        <f>IF('[1]BASE'!E79=0,"",'[1]BASE'!E79)</f>
        <v>500</v>
      </c>
      <c r="F79" s="1025">
        <f>IF('[1]BASE'!F79=0,"",'[1]BASE'!F79)</f>
        <v>227</v>
      </c>
      <c r="G79" s="1026" t="str">
        <f>IF('[1]BASE'!G79=0,"",'[1]BASE'!G79)</f>
        <v>A</v>
      </c>
      <c r="H79" s="1022">
        <f>IF('[1]BASE'!FE79=0,"",'[1]BASE'!FE79)</f>
      </c>
      <c r="I79" s="1022">
        <f>IF('[1]BASE'!FF79=0,"",'[1]BASE'!FF79)</f>
      </c>
      <c r="J79" s="1022">
        <f>IF('[1]BASE'!FG79=0,"",'[1]BASE'!FG79)</f>
      </c>
      <c r="K79" s="1022">
        <f>IF('[1]BASE'!FH79=0,"",'[1]BASE'!FH79)</f>
      </c>
      <c r="L79" s="1022">
        <f>IF('[1]BASE'!FI79=0,"",'[1]BASE'!FI79)</f>
      </c>
      <c r="M79" s="1022">
        <f>IF('[1]BASE'!FJ79=0,"",'[1]BASE'!FJ79)</f>
      </c>
      <c r="N79" s="1022">
        <f>IF('[1]BASE'!FK79=0,"",'[1]BASE'!FK79)</f>
        <v>1</v>
      </c>
      <c r="O79" s="1022">
        <f>IF('[1]BASE'!FL79=0,"",'[1]BASE'!FL79)</f>
      </c>
      <c r="P79" s="1022">
        <f>IF('[1]BASE'!FM79=0,"",'[1]BASE'!FM79)</f>
      </c>
      <c r="Q79" s="1022">
        <f>IF('[1]BASE'!FN79=0,"",'[1]BASE'!FN79)</f>
      </c>
      <c r="R79" s="1022">
        <f>IF('[1]BASE'!FO79=0,"",'[1]BASE'!FO79)</f>
      </c>
      <c r="S79" s="1022">
        <f>IF('[1]BASE'!FP79=0,"",'[1]BASE'!FP79)</f>
      </c>
      <c r="T79" s="1022">
        <f>IF('[1]BASE'!FQ79=0,"",'[1]BASE'!FQ79)</f>
      </c>
      <c r="U79" s="1022">
        <f>IF('[1]BASE'!FR79=0,"",'[1]BASE'!FR79)</f>
      </c>
      <c r="V79" s="1019"/>
    </row>
    <row r="80" spans="2:22" s="1014" customFormat="1" ht="19.5" customHeight="1">
      <c r="B80" s="1015"/>
      <c r="C80" s="1023">
        <f>IF('[1]BASE'!C80=0,"",'[1]BASE'!C80)</f>
      </c>
      <c r="D80" s="1023">
        <f>IF('[1]BASE'!D80=0,"",'[1]BASE'!D80)</f>
      </c>
      <c r="E80" s="1023">
        <f>IF('[1]BASE'!E80=0,"",'[1]BASE'!E80)</f>
      </c>
      <c r="F80" s="1024">
        <f>IF('[1]BASE'!F80=0,"",'[1]BASE'!F80)</f>
      </c>
      <c r="G80" s="1024">
        <f>IF('[1]BASE'!G80=0,"",'[1]BASE'!G80)</f>
      </c>
      <c r="H80" s="1022">
        <f>IF('[1]BASE'!FE80=0,"",'[1]BASE'!FE80)</f>
      </c>
      <c r="I80" s="1022">
        <f>IF('[1]BASE'!FF80=0,"",'[1]BASE'!FF80)</f>
      </c>
      <c r="J80" s="1022">
        <f>IF('[1]BASE'!FG80=0,"",'[1]BASE'!FG80)</f>
      </c>
      <c r="K80" s="1022">
        <f>IF('[1]BASE'!FH80=0,"",'[1]BASE'!FH80)</f>
      </c>
      <c r="L80" s="1022">
        <f>IF('[1]BASE'!FI80=0,"",'[1]BASE'!FI80)</f>
      </c>
      <c r="M80" s="1022">
        <f>IF('[1]BASE'!FJ80=0,"",'[1]BASE'!FJ80)</f>
      </c>
      <c r="N80" s="1022">
        <f>IF('[1]BASE'!FK80=0,"",'[1]BASE'!FK80)</f>
      </c>
      <c r="O80" s="1022">
        <f>IF('[1]BASE'!FL80=0,"",'[1]BASE'!FL80)</f>
      </c>
      <c r="P80" s="1022">
        <f>IF('[1]BASE'!FM80=0,"",'[1]BASE'!FM80)</f>
      </c>
      <c r="Q80" s="1022">
        <f>IF('[1]BASE'!FN80=0,"",'[1]BASE'!FN80)</f>
      </c>
      <c r="R80" s="1022">
        <f>IF('[1]BASE'!FO80=0,"",'[1]BASE'!FO80)</f>
      </c>
      <c r="S80" s="1022">
        <f>IF('[1]BASE'!FP80=0,"",'[1]BASE'!FP80)</f>
      </c>
      <c r="T80" s="1022">
        <f>IF('[1]BASE'!FQ80=0,"",'[1]BASE'!FQ80)</f>
      </c>
      <c r="U80" s="1022">
        <f>IF('[1]BASE'!FR80=0,"",'[1]BASE'!FR80)</f>
      </c>
      <c r="V80" s="1019"/>
    </row>
    <row r="81" spans="2:22" s="1014" customFormat="1" ht="19.5" customHeight="1">
      <c r="B81" s="1015"/>
      <c r="C81" s="1025">
        <f>IF('[1]BASE'!C81=0,"",'[1]BASE'!C81)</f>
      </c>
      <c r="D81" s="1025">
        <f>IF('[1]BASE'!D81=0,"",'[1]BASE'!D81)</f>
      </c>
      <c r="E81" s="1025">
        <f>IF('[1]BASE'!E81=0,"",'[1]BASE'!E81)</f>
      </c>
      <c r="F81" s="1026">
        <f>IF('[1]BASE'!F81=0,"",'[1]BASE'!F81)</f>
      </c>
      <c r="G81" s="1026">
        <f>IF('[1]BASE'!G81=0,"",'[1]BASE'!G81)</f>
      </c>
      <c r="H81" s="1022">
        <f>IF('[1]BASE'!FE81=0,"",'[1]BASE'!FE81)</f>
      </c>
      <c r="I81" s="1022">
        <f>IF('[1]BASE'!FF81=0,"",'[1]BASE'!FF81)</f>
      </c>
      <c r="J81" s="1022">
        <f>IF('[1]BASE'!FG81=0,"",'[1]BASE'!FG81)</f>
      </c>
      <c r="K81" s="1022">
        <f>IF('[1]BASE'!FH81=0,"",'[1]BASE'!FH81)</f>
      </c>
      <c r="L81" s="1022">
        <f>IF('[1]BASE'!FI81=0,"",'[1]BASE'!FI81)</f>
      </c>
      <c r="M81" s="1022">
        <f>IF('[1]BASE'!FJ81=0,"",'[1]BASE'!FJ81)</f>
      </c>
      <c r="N81" s="1022">
        <f>IF('[1]BASE'!FK81=0,"",'[1]BASE'!FK81)</f>
      </c>
      <c r="O81" s="1022">
        <f>IF('[1]BASE'!FL81=0,"",'[1]BASE'!FL81)</f>
      </c>
      <c r="P81" s="1022">
        <f>IF('[1]BASE'!FM81=0,"",'[1]BASE'!FM81)</f>
      </c>
      <c r="Q81" s="1022">
        <f>IF('[1]BASE'!FN81=0,"",'[1]BASE'!FN81)</f>
      </c>
      <c r="R81" s="1022">
        <f>IF('[1]BASE'!FO81=0,"",'[1]BASE'!FO81)</f>
      </c>
      <c r="S81" s="1022">
        <f>IF('[1]BASE'!FP81=0,"",'[1]BASE'!FP81)</f>
      </c>
      <c r="T81" s="1022">
        <f>IF('[1]BASE'!FQ81=0,"",'[1]BASE'!FQ81)</f>
      </c>
      <c r="U81" s="1022">
        <f>IF('[1]BASE'!FR81=0,"",'[1]BASE'!FR81)</f>
      </c>
      <c r="V81" s="1019"/>
    </row>
    <row r="82" spans="2:22" s="1014" customFormat="1" ht="19.5" customHeight="1">
      <c r="B82" s="1015"/>
      <c r="C82" s="1023">
        <f>IF('[1]BASE'!C82=0,"",'[1]BASE'!C82)</f>
        <v>62</v>
      </c>
      <c r="D82" s="1023" t="str">
        <f>IF('[1]BASE'!D82=0,"",'[1]BASE'!D82)</f>
        <v>YACYRETÁ - RINCON I</v>
      </c>
      <c r="E82" s="1023">
        <f>IF('[1]BASE'!E82=0,"",'[1]BASE'!E82)</f>
        <v>500</v>
      </c>
      <c r="F82" s="1024">
        <f>IF('[1]BASE'!F82=0,"",'[1]BASE'!F82)</f>
        <v>3.6</v>
      </c>
      <c r="G82" s="1024" t="str">
        <f>IF('[1]BASE'!G82=0,"",'[1]BASE'!G82)</f>
        <v>B</v>
      </c>
      <c r="H82" s="1022">
        <f>IF('[1]BASE'!FE82=0,"",'[1]BASE'!FE82)</f>
      </c>
      <c r="I82" s="1022">
        <f>IF('[1]BASE'!FF82=0,"",'[1]BASE'!FF82)</f>
      </c>
      <c r="J82" s="1022">
        <f>IF('[1]BASE'!FG82=0,"",'[1]BASE'!FG82)</f>
      </c>
      <c r="K82" s="1022">
        <f>IF('[1]BASE'!FH82=0,"",'[1]BASE'!FH82)</f>
      </c>
      <c r="L82" s="1022">
        <f>IF('[1]BASE'!FI82=0,"",'[1]BASE'!FI82)</f>
      </c>
      <c r="M82" s="1022">
        <f>IF('[1]BASE'!FJ82=0,"",'[1]BASE'!FJ82)</f>
      </c>
      <c r="N82" s="1022">
        <f>IF('[1]BASE'!FK82=0,"",'[1]BASE'!FK82)</f>
      </c>
      <c r="O82" s="1022">
        <f>IF('[1]BASE'!FL82=0,"",'[1]BASE'!FL82)</f>
      </c>
      <c r="P82" s="1022">
        <f>IF('[1]BASE'!FM82=0,"",'[1]BASE'!FM82)</f>
      </c>
      <c r="Q82" s="1022">
        <f>IF('[1]BASE'!FN82=0,"",'[1]BASE'!FN82)</f>
      </c>
      <c r="R82" s="1022">
        <f>IF('[1]BASE'!FO82=0,"",'[1]BASE'!FO82)</f>
      </c>
      <c r="S82" s="1022">
        <f>IF('[1]BASE'!FP82=0,"",'[1]BASE'!FP82)</f>
      </c>
      <c r="T82" s="1022">
        <f>IF('[1]BASE'!FQ82=0,"",'[1]BASE'!FQ82)</f>
      </c>
      <c r="U82" s="1022">
        <f>IF('[1]BASE'!FR82=0,"",'[1]BASE'!FR82)</f>
      </c>
      <c r="V82" s="1019"/>
    </row>
    <row r="83" spans="2:22" s="1014" customFormat="1" ht="19.5" customHeight="1">
      <c r="B83" s="1015"/>
      <c r="C83" s="1025">
        <f>IF('[1]BASE'!C83=0,"",'[1]BASE'!C83)</f>
        <v>63</v>
      </c>
      <c r="D83" s="1025" t="str">
        <f>IF('[1]BASE'!D83=0,"",'[1]BASE'!D83)</f>
        <v>YACYRETÁ - RINCON II</v>
      </c>
      <c r="E83" s="1025">
        <f>IF('[1]BASE'!E83=0,"",'[1]BASE'!E83)</f>
        <v>500</v>
      </c>
      <c r="F83" s="1025">
        <f>IF('[1]BASE'!F83=0,"",'[1]BASE'!F83)</f>
        <v>3.6</v>
      </c>
      <c r="G83" s="1026" t="str">
        <f>IF('[1]BASE'!G83=0,"",'[1]BASE'!G83)</f>
        <v>B</v>
      </c>
      <c r="H83" s="1022">
        <f>IF('[1]BASE'!FE83=0,"",'[1]BASE'!FE83)</f>
      </c>
      <c r="I83" s="1022">
        <f>IF('[1]BASE'!FF83=0,"",'[1]BASE'!FF83)</f>
      </c>
      <c r="J83" s="1022">
        <f>IF('[1]BASE'!FG83=0,"",'[1]BASE'!FG83)</f>
      </c>
      <c r="K83" s="1022">
        <f>IF('[1]BASE'!FH83=0,"",'[1]BASE'!FH83)</f>
      </c>
      <c r="L83" s="1022">
        <f>IF('[1]BASE'!FI83=0,"",'[1]BASE'!FI83)</f>
      </c>
      <c r="M83" s="1022">
        <f>IF('[1]BASE'!FJ83=0,"",'[1]BASE'!FJ83)</f>
      </c>
      <c r="N83" s="1022">
        <f>IF('[1]BASE'!FK83=0,"",'[1]BASE'!FK83)</f>
      </c>
      <c r="O83" s="1022">
        <f>IF('[1]BASE'!FL83=0,"",'[1]BASE'!FL83)</f>
      </c>
      <c r="P83" s="1022">
        <f>IF('[1]BASE'!FM83=0,"",'[1]BASE'!FM83)</f>
      </c>
      <c r="Q83" s="1022">
        <f>IF('[1]BASE'!FN83=0,"",'[1]BASE'!FN83)</f>
      </c>
      <c r="R83" s="1022">
        <f>IF('[1]BASE'!FO83=0,"",'[1]BASE'!FO83)</f>
      </c>
      <c r="S83" s="1022">
        <f>IF('[1]BASE'!FP83=0,"",'[1]BASE'!FP83)</f>
      </c>
      <c r="T83" s="1022">
        <f>IF('[1]BASE'!FQ83=0,"",'[1]BASE'!FQ83)</f>
      </c>
      <c r="U83" s="1022">
        <f>IF('[1]BASE'!FR83=0,"",'[1]BASE'!FR83)</f>
      </c>
      <c r="V83" s="1019"/>
    </row>
    <row r="84" spans="2:22" s="1014" customFormat="1" ht="19.5" customHeight="1">
      <c r="B84" s="1015"/>
      <c r="C84" s="1023">
        <f>IF('[1]BASE'!C84=0,"",'[1]BASE'!C84)</f>
        <v>64</v>
      </c>
      <c r="D84" s="1023" t="str">
        <f>IF('[1]BASE'!D84=0,"",'[1]BASE'!D84)</f>
        <v>YACYRETÁ - RINCON III</v>
      </c>
      <c r="E84" s="1023">
        <f>IF('[1]BASE'!E84=0,"",'[1]BASE'!E84)</f>
        <v>500</v>
      </c>
      <c r="F84" s="1024">
        <f>IF('[1]BASE'!F84=0,"",'[1]BASE'!F84)</f>
        <v>3.6</v>
      </c>
      <c r="G84" s="1024" t="str">
        <f>IF('[1]BASE'!G84=0,"",'[1]BASE'!G84)</f>
        <v>B</v>
      </c>
      <c r="H84" s="1022">
        <f>IF('[1]BASE'!FE84=0,"",'[1]BASE'!FE84)</f>
      </c>
      <c r="I84" s="1022">
        <f>IF('[1]BASE'!FF84=0,"",'[1]BASE'!FF84)</f>
      </c>
      <c r="J84" s="1022">
        <f>IF('[1]BASE'!FG84=0,"",'[1]BASE'!FG84)</f>
      </c>
      <c r="K84" s="1022">
        <f>IF('[1]BASE'!FH84=0,"",'[1]BASE'!FH84)</f>
      </c>
      <c r="L84" s="1022">
        <f>IF('[1]BASE'!FI84=0,"",'[1]BASE'!FI84)</f>
      </c>
      <c r="M84" s="1022">
        <f>IF('[1]BASE'!FJ84=0,"",'[1]BASE'!FJ84)</f>
      </c>
      <c r="N84" s="1022">
        <f>IF('[1]BASE'!FK84=0,"",'[1]BASE'!FK84)</f>
      </c>
      <c r="O84" s="1022">
        <f>IF('[1]BASE'!FL84=0,"",'[1]BASE'!FL84)</f>
      </c>
      <c r="P84" s="1022">
        <f>IF('[1]BASE'!FM84=0,"",'[1]BASE'!FM84)</f>
      </c>
      <c r="Q84" s="1022">
        <f>IF('[1]BASE'!FN84=0,"",'[1]BASE'!FN84)</f>
      </c>
      <c r="R84" s="1022">
        <f>IF('[1]BASE'!FO84=0,"",'[1]BASE'!FO84)</f>
      </c>
      <c r="S84" s="1022">
        <f>IF('[1]BASE'!FP84=0,"",'[1]BASE'!FP84)</f>
      </c>
      <c r="T84" s="1022">
        <f>IF('[1]BASE'!FQ84=0,"",'[1]BASE'!FQ84)</f>
      </c>
      <c r="U84" s="1022">
        <f>IF('[1]BASE'!FR84=0,"",'[1]BASE'!FR84)</f>
      </c>
      <c r="V84" s="1019"/>
    </row>
    <row r="85" spans="2:22" s="1014" customFormat="1" ht="19.5" customHeight="1">
      <c r="B85" s="1015"/>
      <c r="C85" s="1025">
        <f>IF('[1]BASE'!C85=0,"",'[1]BASE'!C85)</f>
        <v>65</v>
      </c>
      <c r="D85" s="1025" t="str">
        <f>IF('[1]BASE'!D85=0,"",'[1]BASE'!D85)</f>
        <v>RINCON - PASO DE LA PATRIA</v>
      </c>
      <c r="E85" s="1025">
        <f>IF('[1]BASE'!E85=0,"",'[1]BASE'!E85)</f>
        <v>500</v>
      </c>
      <c r="F85" s="1026">
        <f>IF('[1]BASE'!F85=0,"",'[1]BASE'!F85)</f>
        <v>227</v>
      </c>
      <c r="G85" s="1026" t="str">
        <f>IF('[1]BASE'!G85=0,"",'[1]BASE'!G85)</f>
        <v>A</v>
      </c>
      <c r="H85" s="1022">
        <f>IF('[1]BASE'!FE85=0,"",'[1]BASE'!FE85)</f>
      </c>
      <c r="I85" s="1022">
        <f>IF('[1]BASE'!FF85=0,"",'[1]BASE'!FF85)</f>
      </c>
      <c r="J85" s="1022">
        <f>IF('[1]BASE'!FG85=0,"",'[1]BASE'!FG85)</f>
      </c>
      <c r="K85" s="1022">
        <f>IF('[1]BASE'!FH85=0,"",'[1]BASE'!FH85)</f>
      </c>
      <c r="L85" s="1022">
        <f>IF('[1]BASE'!FI85=0,"",'[1]BASE'!FI85)</f>
      </c>
      <c r="M85" s="1022">
        <f>IF('[1]BASE'!FJ85=0,"",'[1]BASE'!FJ85)</f>
      </c>
      <c r="N85" s="1022">
        <f>IF('[1]BASE'!FK85=0,"",'[1]BASE'!FK85)</f>
      </c>
      <c r="O85" s="1022">
        <f>IF('[1]BASE'!FL85=0,"",'[1]BASE'!FL85)</f>
      </c>
      <c r="P85" s="1022">
        <f>IF('[1]BASE'!FM85=0,"",'[1]BASE'!FM85)</f>
      </c>
      <c r="Q85" s="1022">
        <f>IF('[1]BASE'!FN85=0,"",'[1]BASE'!FN85)</f>
      </c>
      <c r="R85" s="1022">
        <f>IF('[1]BASE'!FO85=0,"",'[1]BASE'!FO85)</f>
      </c>
      <c r="S85" s="1022">
        <f>IF('[1]BASE'!FP85=0,"",'[1]BASE'!FP85)</f>
      </c>
      <c r="T85" s="1022">
        <f>IF('[1]BASE'!FQ85=0,"",'[1]BASE'!FQ85)</f>
      </c>
      <c r="U85" s="1022">
        <f>IF('[1]BASE'!FR85=0,"",'[1]BASE'!FR85)</f>
      </c>
      <c r="V85" s="1019"/>
    </row>
    <row r="86" spans="2:22" s="1014" customFormat="1" ht="19.5" customHeight="1">
      <c r="B86" s="1015"/>
      <c r="C86" s="1023">
        <f>IF('[1]BASE'!C86=0,"",'[1]BASE'!C86)</f>
        <v>66</v>
      </c>
      <c r="D86" s="1023" t="str">
        <f>IF('[1]BASE'!D86=0,"",'[1]BASE'!D86)</f>
        <v>PASO DE LA PATRIA - RESISTENCIA</v>
      </c>
      <c r="E86" s="1023">
        <f>IF('[1]BASE'!E86=0,"",'[1]BASE'!E86)</f>
        <v>500</v>
      </c>
      <c r="F86" s="1024">
        <f>IF('[1]BASE'!F86=0,"",'[1]BASE'!F86)</f>
        <v>40</v>
      </c>
      <c r="G86" s="1024" t="str">
        <f>IF('[1]BASE'!G86=0,"",'[1]BASE'!G86)</f>
        <v>C</v>
      </c>
      <c r="H86" s="1022">
        <f>IF('[1]BASE'!FE86=0,"",'[1]BASE'!FE86)</f>
      </c>
      <c r="I86" s="1022">
        <f>IF('[1]BASE'!FF86=0,"",'[1]BASE'!FF86)</f>
      </c>
      <c r="J86" s="1022">
        <f>IF('[1]BASE'!FG86=0,"",'[1]BASE'!FG86)</f>
      </c>
      <c r="K86" s="1022">
        <f>IF('[1]BASE'!FH86=0,"",'[1]BASE'!FH86)</f>
      </c>
      <c r="L86" s="1022">
        <f>IF('[1]BASE'!FI86=0,"",'[1]BASE'!FI86)</f>
      </c>
      <c r="M86" s="1022">
        <f>IF('[1]BASE'!FJ86=0,"",'[1]BASE'!FJ86)</f>
      </c>
      <c r="N86" s="1022">
        <f>IF('[1]BASE'!FK86=0,"",'[1]BASE'!FK86)</f>
      </c>
      <c r="O86" s="1022">
        <f>IF('[1]BASE'!FL86=0,"",'[1]BASE'!FL86)</f>
      </c>
      <c r="P86" s="1022">
        <f>IF('[1]BASE'!FM86=0,"",'[1]BASE'!FM86)</f>
      </c>
      <c r="Q86" s="1022">
        <f>IF('[1]BASE'!FN86=0,"",'[1]BASE'!FN86)</f>
      </c>
      <c r="R86" s="1022">
        <f>IF('[1]BASE'!FO86=0,"",'[1]BASE'!FO86)</f>
      </c>
      <c r="S86" s="1022">
        <f>IF('[1]BASE'!FP86=0,"",'[1]BASE'!FP86)</f>
      </c>
      <c r="T86" s="1022">
        <f>IF('[1]BASE'!FQ86=0,"",'[1]BASE'!FQ86)</f>
      </c>
      <c r="U86" s="1022">
        <f>IF('[1]BASE'!FR86=0,"",'[1]BASE'!FR86)</f>
      </c>
      <c r="V86" s="1019"/>
    </row>
    <row r="87" spans="2:22" s="1014" customFormat="1" ht="19.5" customHeight="1">
      <c r="B87" s="1015"/>
      <c r="C87" s="1025">
        <f>IF('[1]BASE'!C87=0,"",'[1]BASE'!C87)</f>
        <v>67</v>
      </c>
      <c r="D87" s="1025" t="str">
        <f>IF('[1]BASE'!D87=0,"",'[1]BASE'!D87)</f>
        <v>RINCON - RESISTENCIA</v>
      </c>
      <c r="E87" s="1025">
        <f>IF('[1]BASE'!E87=0,"",'[1]BASE'!E87)</f>
        <v>500</v>
      </c>
      <c r="F87" s="1025">
        <f>IF('[1]BASE'!F87=0,"",'[1]BASE'!F87)</f>
        <v>267</v>
      </c>
      <c r="G87" s="1026" t="str">
        <f>IF('[1]BASE'!G87=0,"",'[1]BASE'!G87)</f>
        <v>B</v>
      </c>
      <c r="H87" s="1022" t="str">
        <f>IF('[1]BASE'!FE87=0,"",'[1]BASE'!FE87)</f>
        <v>XXXX</v>
      </c>
      <c r="I87" s="1022" t="str">
        <f>IF('[1]BASE'!FF87=0,"",'[1]BASE'!FF87)</f>
        <v>XXXX</v>
      </c>
      <c r="J87" s="1022" t="str">
        <f>IF('[1]BASE'!FG87=0,"",'[1]BASE'!FG87)</f>
        <v>XXXX</v>
      </c>
      <c r="K87" s="1022" t="str">
        <f>IF('[1]BASE'!FH87=0,"",'[1]BASE'!FH87)</f>
        <v>XXXX</v>
      </c>
      <c r="L87" s="1022" t="str">
        <f>IF('[1]BASE'!FI87=0,"",'[1]BASE'!FI87)</f>
        <v>XXXX</v>
      </c>
      <c r="M87" s="1022" t="str">
        <f>IF('[1]BASE'!FJ87=0,"",'[1]BASE'!FJ87)</f>
        <v>XXXX</v>
      </c>
      <c r="N87" s="1022" t="str">
        <f>IF('[1]BASE'!FK87=0,"",'[1]BASE'!FK87)</f>
        <v>XXXX</v>
      </c>
      <c r="O87" s="1022" t="str">
        <f>IF('[1]BASE'!FL87=0,"",'[1]BASE'!FL87)</f>
        <v>XXXX</v>
      </c>
      <c r="P87" s="1022" t="str">
        <f>IF('[1]BASE'!FM87=0,"",'[1]BASE'!FM87)</f>
        <v>XXXX</v>
      </c>
      <c r="Q87" s="1022" t="str">
        <f>IF('[1]BASE'!FN87=0,"",'[1]BASE'!FN87)</f>
        <v>XXXX</v>
      </c>
      <c r="R87" s="1022" t="str">
        <f>IF('[1]BASE'!FO87=0,"",'[1]BASE'!FO87)</f>
        <v>XXXX</v>
      </c>
      <c r="S87" s="1022" t="str">
        <f>IF('[1]BASE'!FP87=0,"",'[1]BASE'!FP87)</f>
        <v>XXXX</v>
      </c>
      <c r="T87" s="1022" t="str">
        <f>IF('[1]BASE'!FQ87=0,"",'[1]BASE'!FQ87)</f>
        <v>XXXX</v>
      </c>
      <c r="U87" s="1022" t="str">
        <f>IF('[1]BASE'!FR87=0,"",'[1]BASE'!FR87)</f>
        <v>XXXX</v>
      </c>
      <c r="V87" s="1019"/>
    </row>
    <row r="88" spans="2:22" s="1014" customFormat="1" ht="19.5" customHeight="1">
      <c r="B88" s="1015"/>
      <c r="C88" s="1023">
        <f>IF('[1]BASE'!C88=0,"",'[1]BASE'!C88)</f>
      </c>
      <c r="D88" s="1023">
        <f>IF('[1]BASE'!D88=0,"",'[1]BASE'!D88)</f>
      </c>
      <c r="E88" s="1023">
        <f>IF('[1]BASE'!E88=0,"",'[1]BASE'!E88)</f>
      </c>
      <c r="F88" s="1024">
        <f>IF('[1]BASE'!F88=0,"",'[1]BASE'!F88)</f>
      </c>
      <c r="G88" s="1024">
        <f>IF('[1]BASE'!G88=0,"",'[1]BASE'!G88)</f>
      </c>
      <c r="H88" s="1022">
        <f>IF('[1]BASE'!FE88=0,"",'[1]BASE'!FE88)</f>
      </c>
      <c r="I88" s="1022">
        <f>IF('[1]BASE'!FF88=0,"",'[1]BASE'!FF88)</f>
      </c>
      <c r="J88" s="1022">
        <f>IF('[1]BASE'!FG88=0,"",'[1]BASE'!FG88)</f>
      </c>
      <c r="K88" s="1022">
        <f>IF('[1]BASE'!FH88=0,"",'[1]BASE'!FH88)</f>
      </c>
      <c r="L88" s="1022">
        <f>IF('[1]BASE'!FI88=0,"",'[1]BASE'!FI88)</f>
      </c>
      <c r="M88" s="1022">
        <f>IF('[1]BASE'!FJ88=0,"",'[1]BASE'!FJ88)</f>
      </c>
      <c r="N88" s="1022">
        <f>IF('[1]BASE'!FK88=0,"",'[1]BASE'!FK88)</f>
      </c>
      <c r="O88" s="1022">
        <f>IF('[1]BASE'!FL88=0,"",'[1]BASE'!FL88)</f>
      </c>
      <c r="P88" s="1022">
        <f>IF('[1]BASE'!FM88=0,"",'[1]BASE'!FM88)</f>
      </c>
      <c r="Q88" s="1022">
        <f>IF('[1]BASE'!FN88=0,"",'[1]BASE'!FN88)</f>
      </c>
      <c r="R88" s="1022">
        <f>IF('[1]BASE'!FO88=0,"",'[1]BASE'!FO88)</f>
      </c>
      <c r="S88" s="1022">
        <f>IF('[1]BASE'!FP88=0,"",'[1]BASE'!FP88)</f>
      </c>
      <c r="T88" s="1022">
        <f>IF('[1]BASE'!FQ88=0,"",'[1]BASE'!FQ88)</f>
      </c>
      <c r="U88" s="1022">
        <f>IF('[1]BASE'!FR88=0,"",'[1]BASE'!FR88)</f>
      </c>
      <c r="V88" s="1019"/>
    </row>
    <row r="89" spans="2:22" s="1014" customFormat="1" ht="19.5" customHeight="1">
      <c r="B89" s="1015"/>
      <c r="C89" s="1025">
        <f>IF('[1]BASE'!C89=0,"",'[1]BASE'!C89)</f>
        <v>68</v>
      </c>
      <c r="D89" s="1025" t="str">
        <f>IF('[1]BASE'!D89=0,"",'[1]BASE'!D89)</f>
        <v>RINCON - SALTO GRANDE</v>
      </c>
      <c r="E89" s="1025">
        <f>IF('[1]BASE'!E89=0,"",'[1]BASE'!E89)</f>
        <v>500</v>
      </c>
      <c r="F89" s="1026">
        <f>IF('[1]BASE'!F89=0,"",'[1]BASE'!F89)</f>
        <v>506</v>
      </c>
      <c r="G89" s="1026" t="str">
        <f>IF('[1]BASE'!G89=0,"",'[1]BASE'!G89)</f>
        <v>A</v>
      </c>
      <c r="H89" s="1022">
        <f>IF('[1]BASE'!FE89=0,"",'[1]BASE'!FE89)</f>
      </c>
      <c r="I89" s="1022">
        <f>IF('[1]BASE'!FF89=0,"",'[1]BASE'!FF89)</f>
      </c>
      <c r="J89" s="1022">
        <f>IF('[1]BASE'!FG89=0,"",'[1]BASE'!FG89)</f>
      </c>
      <c r="K89" s="1022">
        <f>IF('[1]BASE'!FH89=0,"",'[1]BASE'!FH89)</f>
      </c>
      <c r="L89" s="1022">
        <f>IF('[1]BASE'!FI89=0,"",'[1]BASE'!FI89)</f>
      </c>
      <c r="M89" s="1022">
        <f>IF('[1]BASE'!FJ89=0,"",'[1]BASE'!FJ89)</f>
      </c>
      <c r="N89" s="1022">
        <f>IF('[1]BASE'!FK89=0,"",'[1]BASE'!FK89)</f>
      </c>
      <c r="O89" s="1022">
        <f>IF('[1]BASE'!FL89=0,"",'[1]BASE'!FL89)</f>
      </c>
      <c r="P89" s="1022">
        <f>IF('[1]BASE'!FM89=0,"",'[1]BASE'!FM89)</f>
      </c>
      <c r="Q89" s="1022">
        <f>IF('[1]BASE'!FN89=0,"",'[1]BASE'!FN89)</f>
      </c>
      <c r="R89" s="1022">
        <f>IF('[1]BASE'!FO89=0,"",'[1]BASE'!FO89)</f>
      </c>
      <c r="S89" s="1022">
        <f>IF('[1]BASE'!FP89=0,"",'[1]BASE'!FP89)</f>
      </c>
      <c r="T89" s="1022">
        <f>IF('[1]BASE'!FQ89=0,"",'[1]BASE'!FQ89)</f>
      </c>
      <c r="U89" s="1022">
        <f>IF('[1]BASE'!FR89=0,"",'[1]BASE'!FR89)</f>
      </c>
      <c r="V89" s="1019"/>
    </row>
    <row r="90" spans="2:22" s="1014" customFormat="1" ht="19.5" customHeight="1">
      <c r="B90" s="1015"/>
      <c r="C90" s="1023">
        <f>IF('[1]BASE'!C90=0,"",'[1]BASE'!C90)</f>
        <v>69</v>
      </c>
      <c r="D90" s="1023" t="str">
        <f>IF('[1]BASE'!D90=0,"",'[1]BASE'!D90)</f>
        <v>RINCON - SAN ISIDRO</v>
      </c>
      <c r="E90" s="1023">
        <f>IF('[1]BASE'!E90=0,"",'[1]BASE'!E90)</f>
        <v>500</v>
      </c>
      <c r="F90" s="1024">
        <f>IF('[1]BASE'!F90=0,"",'[1]BASE'!F90)</f>
        <v>85</v>
      </c>
      <c r="G90" s="1024" t="str">
        <f>IF('[1]BASE'!G90=0,"",'[1]BASE'!G90)</f>
        <v>C</v>
      </c>
      <c r="H90" s="1022">
        <f>IF('[1]BASE'!FE90=0,"",'[1]BASE'!FE90)</f>
      </c>
      <c r="I90" s="1022">
        <f>IF('[1]BASE'!FF90=0,"",'[1]BASE'!FF90)</f>
      </c>
      <c r="J90" s="1022">
        <f>IF('[1]BASE'!FG90=0,"",'[1]BASE'!FG90)</f>
      </c>
      <c r="K90" s="1022">
        <f>IF('[1]BASE'!FH90=0,"",'[1]BASE'!FH90)</f>
      </c>
      <c r="L90" s="1022">
        <f>IF('[1]BASE'!FI90=0,"",'[1]BASE'!FI90)</f>
      </c>
      <c r="M90" s="1022">
        <f>IF('[1]BASE'!FJ90=0,"",'[1]BASE'!FJ90)</f>
      </c>
      <c r="N90" s="1022">
        <f>IF('[1]BASE'!FK90=0,"",'[1]BASE'!FK90)</f>
      </c>
      <c r="O90" s="1022">
        <f>IF('[1]BASE'!FL90=0,"",'[1]BASE'!FL90)</f>
      </c>
      <c r="P90" s="1022">
        <f>IF('[1]BASE'!FM90=0,"",'[1]BASE'!FM90)</f>
      </c>
      <c r="Q90" s="1022">
        <f>IF('[1]BASE'!FN90=0,"",'[1]BASE'!FN90)</f>
      </c>
      <c r="R90" s="1022">
        <f>IF('[1]BASE'!FO90=0,"",'[1]BASE'!FO90)</f>
      </c>
      <c r="S90" s="1022">
        <f>IF('[1]BASE'!FP90=0,"",'[1]BASE'!FP90)</f>
      </c>
      <c r="T90" s="1022">
        <f>IF('[1]BASE'!FQ90=0,"",'[1]BASE'!FQ90)</f>
      </c>
      <c r="U90" s="1022">
        <f>IF('[1]BASE'!FR90=0,"",'[1]BASE'!FR90)</f>
      </c>
      <c r="V90" s="1019"/>
    </row>
    <row r="91" spans="2:22" s="1014" customFormat="1" ht="19.5" customHeight="1">
      <c r="B91" s="1015"/>
      <c r="C91" s="1025">
        <f>IF('[1]BASE'!C91=0,"",'[1]BASE'!C91)</f>
      </c>
      <c r="D91" s="1025">
        <f>IF('[1]BASE'!D91=0,"",'[1]BASE'!D91)</f>
      </c>
      <c r="E91" s="1025">
        <f>IF('[1]BASE'!E91=0,"",'[1]BASE'!E91)</f>
      </c>
      <c r="F91" s="1025">
        <f>IF('[1]BASE'!F91=0,"",'[1]BASE'!F91)</f>
      </c>
      <c r="G91" s="1026">
        <f>IF('[1]BASE'!G91=0,"",'[1]BASE'!G91)</f>
      </c>
      <c r="H91" s="1022">
        <f>IF('[1]BASE'!FE91=0,"",'[1]BASE'!FE91)</f>
      </c>
      <c r="I91" s="1022">
        <f>IF('[1]BASE'!FF91=0,"",'[1]BASE'!FF91)</f>
      </c>
      <c r="J91" s="1022">
        <f>IF('[1]BASE'!FG91=0,"",'[1]BASE'!FG91)</f>
      </c>
      <c r="K91" s="1022">
        <f>IF('[1]BASE'!FH91=0,"",'[1]BASE'!FH91)</f>
      </c>
      <c r="L91" s="1022">
        <f>IF('[1]BASE'!FI91=0,"",'[1]BASE'!FI91)</f>
      </c>
      <c r="M91" s="1022">
        <f>IF('[1]BASE'!FJ91=0,"",'[1]BASE'!FJ91)</f>
      </c>
      <c r="N91" s="1022">
        <f>IF('[1]BASE'!FK91=0,"",'[1]BASE'!FK91)</f>
      </c>
      <c r="O91" s="1022">
        <f>IF('[1]BASE'!FL91=0,"",'[1]BASE'!FL91)</f>
      </c>
      <c r="P91" s="1022">
        <f>IF('[1]BASE'!FM91=0,"",'[1]BASE'!FM91)</f>
      </c>
      <c r="Q91" s="1022">
        <f>IF('[1]BASE'!FN91=0,"",'[1]BASE'!FN91)</f>
      </c>
      <c r="R91" s="1022">
        <f>IF('[1]BASE'!FO91=0,"",'[1]BASE'!FO91)</f>
      </c>
      <c r="S91" s="1022">
        <f>IF('[1]BASE'!FP91=0,"",'[1]BASE'!FP91)</f>
      </c>
      <c r="T91" s="1022">
        <f>IF('[1]BASE'!FQ91=0,"",'[1]BASE'!FQ91)</f>
      </c>
      <c r="U91" s="1022">
        <f>IF('[1]BASE'!FR91=0,"",'[1]BASE'!FR91)</f>
      </c>
      <c r="V91" s="1019"/>
    </row>
    <row r="92" spans="2:22" s="1014" customFormat="1" ht="19.5" customHeight="1" thickBot="1">
      <c r="B92" s="1015"/>
      <c r="C92" s="1027"/>
      <c r="D92" s="1027"/>
      <c r="E92" s="1027"/>
      <c r="F92" s="1027"/>
      <c r="G92" s="1028"/>
      <c r="H92" s="1029"/>
      <c r="I92" s="1029"/>
      <c r="J92" s="1029"/>
      <c r="K92" s="1029"/>
      <c r="L92" s="1029"/>
      <c r="M92" s="1029"/>
      <c r="N92" s="1029"/>
      <c r="O92" s="1029"/>
      <c r="P92" s="1029"/>
      <c r="Q92" s="1029"/>
      <c r="R92" s="1029"/>
      <c r="S92" s="1029"/>
      <c r="T92" s="1029"/>
      <c r="U92" s="1022">
        <f>IF('[1]BASE'!FR92=0,"",'[1]BASE'!FR92)</f>
      </c>
      <c r="V92" s="1019"/>
    </row>
    <row r="93" spans="2:22" s="1014" customFormat="1" ht="19.5" customHeight="1" thickBot="1" thickTop="1">
      <c r="B93" s="1015"/>
      <c r="C93" s="1030"/>
      <c r="D93" s="1031"/>
      <c r="E93" s="1032" t="s">
        <v>274</v>
      </c>
      <c r="F93" s="1033">
        <f>SUM(F16:F92)-F46-F57-F78-F79-F87</f>
        <v>9666.7</v>
      </c>
      <c r="G93" s="1034"/>
      <c r="H93" s="1035"/>
      <c r="I93" s="1035"/>
      <c r="J93" s="1035"/>
      <c r="K93" s="1035"/>
      <c r="L93" s="1035"/>
      <c r="M93" s="1035"/>
      <c r="N93" s="1035"/>
      <c r="O93" s="1035"/>
      <c r="P93" s="1035"/>
      <c r="Q93" s="1035"/>
      <c r="R93" s="1035"/>
      <c r="S93" s="1035"/>
      <c r="T93" s="1035"/>
      <c r="U93" s="1030"/>
      <c r="V93" s="1019"/>
    </row>
    <row r="94" spans="2:22" s="1014" customFormat="1" ht="19.5" customHeight="1" thickBot="1" thickTop="1">
      <c r="B94" s="1015"/>
      <c r="C94" s="1036"/>
      <c r="D94" s="1037"/>
      <c r="E94" s="1038"/>
      <c r="F94" s="1039" t="s">
        <v>275</v>
      </c>
      <c r="H94" s="1040">
        <f aca="true" t="shared" si="0" ref="H94:R94">SUM(H17:H92)</f>
        <v>3</v>
      </c>
      <c r="I94" s="1040">
        <f t="shared" si="0"/>
        <v>1</v>
      </c>
      <c r="J94" s="1040">
        <f t="shared" si="0"/>
        <v>5</v>
      </c>
      <c r="K94" s="1040">
        <f t="shared" si="0"/>
        <v>5</v>
      </c>
      <c r="L94" s="1040">
        <f t="shared" si="0"/>
        <v>2</v>
      </c>
      <c r="M94" s="1040">
        <f t="shared" si="0"/>
        <v>0</v>
      </c>
      <c r="N94" s="1040">
        <f t="shared" si="0"/>
        <v>4</v>
      </c>
      <c r="O94" s="1040">
        <f t="shared" si="0"/>
        <v>3</v>
      </c>
      <c r="P94" s="1040">
        <f t="shared" si="0"/>
        <v>4</v>
      </c>
      <c r="Q94" s="1040">
        <f t="shared" si="0"/>
        <v>1</v>
      </c>
      <c r="R94" s="1040">
        <f t="shared" si="0"/>
        <v>5</v>
      </c>
      <c r="S94" s="1040">
        <f>SUM(S17:S92)</f>
        <v>4</v>
      </c>
      <c r="T94" s="1040">
        <f>SUM(T17:T92)</f>
        <v>0</v>
      </c>
      <c r="U94" s="1040">
        <f>SUM(U17:U92)</f>
        <v>4</v>
      </c>
      <c r="V94" s="1082"/>
    </row>
    <row r="95" spans="2:22" s="1014" customFormat="1" ht="19.5" customHeight="1" thickBot="1" thickTop="1">
      <c r="B95" s="1015"/>
      <c r="E95" s="1038"/>
      <c r="F95" s="1039" t="s">
        <v>276</v>
      </c>
      <c r="H95" s="1041">
        <f>'[1]BASE'!FE100</f>
        <v>0.43</v>
      </c>
      <c r="I95" s="1041">
        <f>'[1]BASE'!FF100</f>
        <v>0.46</v>
      </c>
      <c r="J95" s="1041">
        <f>'[1]BASE'!FG100</f>
        <v>0.41</v>
      </c>
      <c r="K95" s="1041">
        <f>'[1]BASE'!FH100</f>
        <v>0.44</v>
      </c>
      <c r="L95" s="1041">
        <f>'[1]BASE'!FI100</f>
        <v>0.46</v>
      </c>
      <c r="M95" s="1041">
        <f>'[1]BASE'!FJ100</f>
        <v>0.44</v>
      </c>
      <c r="N95" s="1041">
        <f>'[1]BASE'!FK100</f>
        <v>0.38</v>
      </c>
      <c r="O95" s="1041">
        <f>'[1]BASE'!FL100</f>
        <v>0.37</v>
      </c>
      <c r="P95" s="1041">
        <f>'[1]BASE'!FM100</f>
        <v>0.38</v>
      </c>
      <c r="Q95" s="1041">
        <f>'[1]BASE'!FN100</f>
        <v>0.38</v>
      </c>
      <c r="R95" s="1041">
        <f>'[1]BASE'!FO100</f>
        <v>0.35</v>
      </c>
      <c r="S95" s="1041">
        <f>'[1]BASE'!FP100</f>
        <v>0.37</v>
      </c>
      <c r="T95" s="1041">
        <f>'[1]BASE'!FQ100</f>
        <v>0.38</v>
      </c>
      <c r="U95" s="1041">
        <f>'[1]BASE'!FR100</f>
        <v>0.35</v>
      </c>
      <c r="V95" s="1082"/>
    </row>
    <row r="96" spans="2:22" s="1048" customFormat="1" ht="15.75" customHeight="1" thickBot="1" thickTop="1">
      <c r="B96" s="1042"/>
      <c r="C96"/>
      <c r="D96" s="1043"/>
      <c r="E96" s="1044"/>
      <c r="F96" s="1045"/>
      <c r="G96"/>
      <c r="H96" s="1046"/>
      <c r="I96" s="1046"/>
      <c r="J96" s="1046"/>
      <c r="K96" s="1046"/>
      <c r="L96" s="1046"/>
      <c r="M96" s="1046"/>
      <c r="N96" s="1046"/>
      <c r="O96" s="1046"/>
      <c r="P96" s="1046"/>
      <c r="Q96" s="1046"/>
      <c r="R96" s="1046"/>
      <c r="S96" s="1046"/>
      <c r="T96" s="1046"/>
      <c r="U96" s="1046"/>
      <c r="V96" s="1047"/>
    </row>
    <row r="97" spans="2:22" ht="15.75" customHeight="1" thickBot="1">
      <c r="B97" s="50"/>
      <c r="C97" s="1049"/>
      <c r="D97" s="15" t="s">
        <v>277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</row>
    <row r="98" spans="2:22" ht="20.25" thickBot="1" thickTop="1">
      <c r="B98" s="50"/>
      <c r="C98" s="66"/>
      <c r="D98" s="4"/>
      <c r="I98" s="227" t="s">
        <v>278</v>
      </c>
      <c r="J98" s="1050"/>
      <c r="K98" s="1051">
        <f>T95</f>
        <v>0.38</v>
      </c>
      <c r="L98" s="1052" t="s">
        <v>279</v>
      </c>
      <c r="M98" s="228"/>
      <c r="N98" s="1053"/>
      <c r="O98" s="4"/>
      <c r="P98" s="4"/>
      <c r="Q98" s="4"/>
      <c r="R98" s="4"/>
      <c r="S98" s="4"/>
      <c r="T98" s="4"/>
      <c r="U98" s="4"/>
      <c r="V98" s="6"/>
    </row>
    <row r="99" spans="2:22" s="32" customFormat="1" ht="17.25" thickBot="1" thickTop="1">
      <c r="B99" s="57"/>
      <c r="C99" s="1054"/>
      <c r="D99" s="59"/>
      <c r="E99" s="59"/>
      <c r="F99" s="1054"/>
      <c r="G99" s="1054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0"/>
    </row>
    <row r="100" spans="3:7" ht="13.5" thickTop="1">
      <c r="C100" s="1055"/>
      <c r="F100" s="1055"/>
      <c r="G100" s="1055"/>
    </row>
    <row r="101" spans="3:195" ht="12.75">
      <c r="C101" s="1055"/>
      <c r="D101" s="66"/>
      <c r="E101" s="66"/>
      <c r="F101" s="66"/>
      <c r="G101" s="66"/>
      <c r="H101" s="1056"/>
      <c r="I101" s="1056"/>
      <c r="J101" s="1056"/>
      <c r="K101" s="1056"/>
      <c r="L101" s="1056"/>
      <c r="M101" s="1056"/>
      <c r="N101" s="1056"/>
      <c r="O101" s="1056"/>
      <c r="P101" s="1056"/>
      <c r="Q101" s="1056"/>
      <c r="R101" s="1056"/>
      <c r="S101" s="1056"/>
      <c r="T101" s="1056"/>
      <c r="U101" s="105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</row>
    <row r="102" spans="3:195" ht="12.75">
      <c r="C102" s="1055"/>
      <c r="D102" s="66"/>
      <c r="E102" s="66"/>
      <c r="F102" s="66"/>
      <c r="G102" s="6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6"/>
      <c r="R102" s="1056"/>
      <c r="S102" s="1056"/>
      <c r="T102" s="1056"/>
      <c r="U102" s="105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</row>
    <row r="103" spans="3:195" ht="12.75">
      <c r="C103" s="1055"/>
      <c r="D103" s="66"/>
      <c r="E103" s="66"/>
      <c r="F103" s="66"/>
      <c r="G103" s="66"/>
      <c r="H103" s="1057"/>
      <c r="I103" s="1057"/>
      <c r="J103" s="1057"/>
      <c r="K103" s="1057"/>
      <c r="L103" s="1057"/>
      <c r="M103" s="1057"/>
      <c r="N103" s="1057"/>
      <c r="O103" s="1057"/>
      <c r="P103" s="1057"/>
      <c r="Q103" s="1057"/>
      <c r="R103" s="1057"/>
      <c r="S103" s="1057"/>
      <c r="T103" s="1057"/>
      <c r="U103" s="1057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</row>
    <row r="104" spans="3:195" ht="12.75">
      <c r="C104" s="1055"/>
      <c r="D104" s="66"/>
      <c r="E104" s="66"/>
      <c r="F104" s="66"/>
      <c r="G104" s="66"/>
      <c r="H104" s="1056"/>
      <c r="I104" s="1056"/>
      <c r="J104" s="1056"/>
      <c r="K104" s="1056"/>
      <c r="L104" s="1056"/>
      <c r="M104" s="1056"/>
      <c r="N104" s="1056"/>
      <c r="O104" s="1056"/>
      <c r="P104" s="1056"/>
      <c r="Q104" s="1056"/>
      <c r="R104" s="1056"/>
      <c r="S104" s="1056"/>
      <c r="T104" s="1056"/>
      <c r="U104" s="1056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</row>
    <row r="105" spans="3:195" ht="12.75">
      <c r="C105" s="1055"/>
      <c r="D105" s="66"/>
      <c r="E105" s="66"/>
      <c r="F105" s="66"/>
      <c r="G105" s="66"/>
      <c r="H105" s="1056"/>
      <c r="I105" s="1056"/>
      <c r="J105" s="1056"/>
      <c r="K105" s="1056"/>
      <c r="L105" s="1056"/>
      <c r="M105" s="1056"/>
      <c r="N105" s="1056"/>
      <c r="O105" s="1056"/>
      <c r="P105" s="1056"/>
      <c r="Q105" s="1056"/>
      <c r="R105" s="1056"/>
      <c r="S105" s="1056"/>
      <c r="T105" s="1056"/>
      <c r="U105" s="1056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</row>
    <row r="106" spans="3:195" ht="12.75">
      <c r="C106" s="1055"/>
      <c r="D106" s="66"/>
      <c r="E106" s="66"/>
      <c r="F106" s="66"/>
      <c r="G106" s="66"/>
      <c r="H106" s="1056"/>
      <c r="I106" s="1056"/>
      <c r="J106" s="1056"/>
      <c r="K106" s="1056"/>
      <c r="L106" s="1056"/>
      <c r="M106" s="1056"/>
      <c r="N106" s="1056"/>
      <c r="O106" s="1056"/>
      <c r="P106" s="1056"/>
      <c r="Q106" s="1056"/>
      <c r="R106" s="1056"/>
      <c r="S106" s="1056"/>
      <c r="T106" s="1056"/>
      <c r="U106" s="1056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</row>
    <row r="107" spans="3:195" ht="12.75">
      <c r="C107" s="1055"/>
      <c r="D107" s="66"/>
      <c r="E107" s="66"/>
      <c r="F107" s="66"/>
      <c r="G107" s="66"/>
      <c r="H107" s="1056"/>
      <c r="I107" s="1056"/>
      <c r="J107" s="1056"/>
      <c r="K107" s="1056"/>
      <c r="L107" s="1056"/>
      <c r="M107" s="1056"/>
      <c r="N107" s="1056"/>
      <c r="O107" s="1056"/>
      <c r="P107" s="1056"/>
      <c r="Q107" s="1056"/>
      <c r="R107" s="1056"/>
      <c r="S107" s="1056"/>
      <c r="T107" s="1056"/>
      <c r="U107" s="1056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</row>
    <row r="108" spans="3:195" ht="12.75">
      <c r="C108" s="1055"/>
      <c r="D108" s="66"/>
      <c r="E108" s="66"/>
      <c r="F108" s="66"/>
      <c r="G108" s="6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</row>
    <row r="109" spans="3:195" ht="12.75">
      <c r="C109" s="105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</row>
    <row r="110" spans="3:195" ht="12.75">
      <c r="C110" s="1055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</row>
    <row r="111" spans="3:7" ht="12.75">
      <c r="C111" s="1055"/>
      <c r="F111" s="1055"/>
      <c r="G111" s="1055"/>
    </row>
    <row r="112" spans="3:7" ht="12.75">
      <c r="C112" s="1055"/>
      <c r="F112" s="1055"/>
      <c r="G112" s="1055"/>
    </row>
    <row r="113" spans="3:7" ht="12.75">
      <c r="C113" s="1055"/>
      <c r="F113" s="1055"/>
      <c r="G113" s="1055"/>
    </row>
    <row r="114" spans="6:7" ht="12.75">
      <c r="F114" s="1055"/>
      <c r="G114" s="105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6"/>
  <sheetViews>
    <sheetView zoomScale="75" zoomScaleNormal="75" workbookViewId="0" topLeftCell="L1">
      <selection activeCell="J38" sqref="J3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56"/>
    </row>
    <row r="2" spans="1:31" s="18" customFormat="1" ht="26.25">
      <c r="A2" s="91"/>
      <c r="B2" s="19" t="str">
        <f>+'TOT-1007'!B2</f>
        <v>ANEXO V al Memorandum D.T.E.E. N° 1955 /2009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31" s="5" customFormat="1" ht="13.5" thickTop="1">
      <c r="B7" s="69"/>
      <c r="C7" s="70"/>
      <c r="D7" s="70"/>
      <c r="E7" s="21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4"/>
    </row>
    <row r="8" spans="2:31" s="29" customFormat="1" ht="20.25">
      <c r="B8" s="79"/>
      <c r="C8" s="30"/>
      <c r="D8" s="190" t="s">
        <v>61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109"/>
    </row>
    <row r="9" spans="2:31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7"/>
    </row>
    <row r="10" spans="2:31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109"/>
    </row>
    <row r="11" spans="2:31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7"/>
    </row>
    <row r="12" spans="2:31" s="29" customFormat="1" ht="20.25">
      <c r="B12" s="79"/>
      <c r="C12" s="30"/>
      <c r="D12" s="11" t="s">
        <v>162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09"/>
    </row>
    <row r="13" spans="2:31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7"/>
    </row>
    <row r="14" spans="2:31" s="36" customFormat="1" ht="19.5">
      <c r="B14" s="37" t="str">
        <f>'TOT-1007'!B14</f>
        <v>Desde el 01 al 31 de octubre de 2007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22"/>
      <c r="O14" s="22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149"/>
    </row>
    <row r="15" spans="2:31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23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7"/>
    </row>
    <row r="16" spans="2:31" s="5" customFormat="1" ht="16.5" customHeight="1" thickBot="1" thickTop="1">
      <c r="B16" s="50"/>
      <c r="C16" s="4"/>
      <c r="D16" s="82" t="s">
        <v>95</v>
      </c>
      <c r="E16" s="984">
        <v>89.969</v>
      </c>
      <c r="F16" s="22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7"/>
    </row>
    <row r="17" spans="2:31" s="5" customFormat="1" ht="16.5" customHeight="1" thickBot="1" thickTop="1">
      <c r="B17" s="50"/>
      <c r="C17" s="4"/>
      <c r="D17" s="82" t="s">
        <v>96</v>
      </c>
      <c r="E17" s="984">
        <v>74.974</v>
      </c>
      <c r="F17" s="226"/>
      <c r="G17" s="4"/>
      <c r="H17" s="4"/>
      <c r="I17" s="4"/>
      <c r="J17" s="232"/>
      <c r="K17" s="233"/>
      <c r="L17" s="4"/>
      <c r="M17" s="4"/>
      <c r="N17" s="4"/>
      <c r="O17" s="4"/>
      <c r="P17" s="4"/>
      <c r="Q17" s="4"/>
      <c r="R17" s="4"/>
      <c r="S17" s="4"/>
      <c r="T17" s="4"/>
      <c r="U17" s="4"/>
      <c r="V17" s="117"/>
      <c r="W17" s="117"/>
      <c r="X17" s="117"/>
      <c r="Y17" s="117"/>
      <c r="Z17" s="117"/>
      <c r="AA17" s="117"/>
      <c r="AB17" s="117"/>
      <c r="AE17" s="17"/>
    </row>
    <row r="18" spans="2:31" s="5" customFormat="1" ht="16.5" customHeight="1" thickBot="1" thickTop="1">
      <c r="B18" s="50"/>
      <c r="C18" s="4"/>
      <c r="D18" s="4"/>
      <c r="E18" s="236"/>
      <c r="F18" s="4"/>
      <c r="G18" s="4"/>
      <c r="H18" s="4"/>
      <c r="I18" s="4"/>
      <c r="J18" s="4"/>
      <c r="K18" s="4"/>
      <c r="L18" s="4"/>
      <c r="M18" s="4"/>
      <c r="N18" s="23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7"/>
    </row>
    <row r="19" spans="2:31" s="5" customFormat="1" ht="33.75" customHeight="1" thickBot="1" thickTop="1">
      <c r="B19" s="50"/>
      <c r="C19" s="84" t="s">
        <v>13</v>
      </c>
      <c r="D19" s="85" t="s">
        <v>0</v>
      </c>
      <c r="E19" s="917" t="s">
        <v>14</v>
      </c>
      <c r="F19" s="86" t="s">
        <v>15</v>
      </c>
      <c r="G19" s="239" t="s">
        <v>70</v>
      </c>
      <c r="H19" s="918" t="s">
        <v>39</v>
      </c>
      <c r="I19" s="919" t="s">
        <v>16</v>
      </c>
      <c r="J19" s="85" t="s">
        <v>17</v>
      </c>
      <c r="K19" s="195" t="s">
        <v>18</v>
      </c>
      <c r="L19" s="88" t="s">
        <v>38</v>
      </c>
      <c r="M19" s="86" t="s">
        <v>33</v>
      </c>
      <c r="N19" s="88" t="s">
        <v>19</v>
      </c>
      <c r="O19" s="86" t="s">
        <v>48</v>
      </c>
      <c r="P19" s="195" t="s">
        <v>49</v>
      </c>
      <c r="Q19" s="85" t="s">
        <v>34</v>
      </c>
      <c r="R19" s="146" t="s">
        <v>20</v>
      </c>
      <c r="S19" s="920" t="s">
        <v>21</v>
      </c>
      <c r="T19" s="243" t="s">
        <v>50</v>
      </c>
      <c r="U19" s="244"/>
      <c r="V19" s="245"/>
      <c r="W19" s="921" t="s">
        <v>163</v>
      </c>
      <c r="X19" s="922"/>
      <c r="Y19" s="923"/>
      <c r="Z19" s="249" t="s">
        <v>22</v>
      </c>
      <c r="AA19" s="250" t="s">
        <v>73</v>
      </c>
      <c r="AB19" s="142" t="s">
        <v>74</v>
      </c>
      <c r="AC19" s="142" t="s">
        <v>24</v>
      </c>
      <c r="AD19" s="142" t="s">
        <v>303</v>
      </c>
      <c r="AE19" s="252"/>
    </row>
    <row r="20" spans="2:31" s="5" customFormat="1" ht="16.5" customHeight="1" thickTop="1">
      <c r="B20" s="50"/>
      <c r="C20" s="198"/>
      <c r="D20" s="967"/>
      <c r="E20" s="967"/>
      <c r="F20" s="985"/>
      <c r="G20" s="966"/>
      <c r="H20" s="968"/>
      <c r="I20" s="969"/>
      <c r="J20" s="980"/>
      <c r="K20" s="980"/>
      <c r="L20" s="966"/>
      <c r="M20" s="966"/>
      <c r="N20" s="966"/>
      <c r="O20" s="966"/>
      <c r="P20" s="966"/>
      <c r="Q20" s="966"/>
      <c r="R20" s="970"/>
      <c r="S20" s="971"/>
      <c r="T20" s="972"/>
      <c r="U20" s="973"/>
      <c r="V20" s="974"/>
      <c r="W20" s="975"/>
      <c r="X20" s="976"/>
      <c r="Y20" s="977"/>
      <c r="Z20" s="978"/>
      <c r="AA20" s="979"/>
      <c r="AB20" s="966"/>
      <c r="AC20" s="924"/>
      <c r="AD20" s="924"/>
      <c r="AE20" s="17"/>
    </row>
    <row r="21" spans="2:32" s="5" customFormat="1" ht="16.5" customHeight="1">
      <c r="B21" s="50"/>
      <c r="C21" s="367"/>
      <c r="D21" s="200"/>
      <c r="E21" s="7"/>
      <c r="F21" s="986"/>
      <c r="G21" s="200"/>
      <c r="H21" s="925"/>
      <c r="I21" s="926"/>
      <c r="J21" s="266"/>
      <c r="K21" s="117"/>
      <c r="L21" s="200"/>
      <c r="M21" s="200"/>
      <c r="N21" s="201"/>
      <c r="O21" s="200"/>
      <c r="P21" s="200"/>
      <c r="Q21" s="200"/>
      <c r="R21" s="927"/>
      <c r="S21" s="928"/>
      <c r="T21" s="929"/>
      <c r="U21" s="930"/>
      <c r="V21" s="931"/>
      <c r="W21" s="932"/>
      <c r="X21" s="933"/>
      <c r="Y21" s="934"/>
      <c r="Z21" s="274"/>
      <c r="AA21" s="275"/>
      <c r="AB21" s="200"/>
      <c r="AC21" s="277"/>
      <c r="AD21" s="277"/>
      <c r="AE21" s="17"/>
      <c r="AF21" s="1079">
        <v>0.784729504173</v>
      </c>
    </row>
    <row r="22" spans="2:31" s="5" customFormat="1" ht="16.5" customHeight="1">
      <c r="B22" s="50"/>
      <c r="C22" s="168">
        <v>1</v>
      </c>
      <c r="D22" s="168" t="s">
        <v>185</v>
      </c>
      <c r="E22" s="203">
        <v>500</v>
      </c>
      <c r="F22" s="987">
        <v>3</v>
      </c>
      <c r="G22" s="203" t="s">
        <v>186</v>
      </c>
      <c r="H22" s="935">
        <f aca="true" t="shared" si="0" ref="H22:H41">IF(G22="A",200,IF(G22="B",60,20))</f>
        <v>20</v>
      </c>
      <c r="I22" s="936">
        <f aca="true" t="shared" si="1" ref="I22:I41">IF(E22=500,IF(F22&lt;100,100*$E$16/100,F22*$E$16/100),IF(F22&lt;100,100*$E$17/100,F22*$E$17/100))</f>
        <v>89.969</v>
      </c>
      <c r="J22" s="937">
        <v>39356.35</v>
      </c>
      <c r="K22" s="938">
        <v>39356.48472222222</v>
      </c>
      <c r="L22" s="206">
        <f aca="true" t="shared" si="2" ref="L22:L41">IF(D22="","",(K22-J22)*24)</f>
        <v>3.2333333333954215</v>
      </c>
      <c r="M22" s="207">
        <f aca="true" t="shared" si="3" ref="M22:M41">IF(D22="","",ROUND((K22-J22)*24*60,0))</f>
        <v>194</v>
      </c>
      <c r="N22" s="281" t="s">
        <v>187</v>
      </c>
      <c r="O22" s="208" t="str">
        <f aca="true" t="shared" si="4" ref="O22:O41">IF(D22="","","--")</f>
        <v>--</v>
      </c>
      <c r="P22" s="166" t="str">
        <f aca="true" t="shared" si="5" ref="P22:P41">IF(D22="","","NO")</f>
        <v>NO</v>
      </c>
      <c r="Q22" s="166" t="str">
        <f aca="true" t="shared" si="6" ref="Q22:Q41">IF(D22="","",IF(OR(N22="P",N22="RP"),"--","NO"))</f>
        <v>--</v>
      </c>
      <c r="R22" s="939">
        <f aca="true" t="shared" si="7" ref="R22:R41">IF(N22="P",I22*H22*ROUND(M22/60,2)*0.01,"--")</f>
        <v>58.11997399999999</v>
      </c>
      <c r="S22" s="940" t="str">
        <f aca="true" t="shared" si="8" ref="S22:S41">IF(N22="RP",I22*H22*ROUND(M22/60,2)*0.01*O22/100,"--")</f>
        <v>--</v>
      </c>
      <c r="T22" s="286" t="str">
        <f aca="true" t="shared" si="9" ref="T22:T41">IF(AND(N22="F",Q22="NO"),I22*H22*IF(P22="SI",1.2,1),"--")</f>
        <v>--</v>
      </c>
      <c r="U22" s="287" t="str">
        <f aca="true" t="shared" si="10" ref="U22:U41">IF(AND(N22="F",M22&gt;=10),I22*H22*IF(P22="SI",1.2,1)*IF(M22&lt;=300,ROUND(M22/60,2),5),"--")</f>
        <v>--</v>
      </c>
      <c r="V22" s="288" t="str">
        <f aca="true" t="shared" si="11" ref="V22:V41">IF(AND(N22="F",M22&gt;300),(ROUND(M22/60,2)-5)*I22*H22*0.1*IF(P22="SI",1.2,1),"--")</f>
        <v>--</v>
      </c>
      <c r="W22" s="941" t="str">
        <f aca="true" t="shared" si="12" ref="W22:W41">IF(AND(N22="R",Q22="NO"),I22*H22*O22/100*IF(P22="SI",1.2,1),"--")</f>
        <v>--</v>
      </c>
      <c r="X22" s="942" t="str">
        <f aca="true" t="shared" si="13" ref="X22:X41">IF(AND(N22="R",M22&gt;=10),I22*H22*O22/100*IF(P22="SI",1.2,1)*IF(M22&lt;=300,ROUND(M22/60,2),5),"--")</f>
        <v>--</v>
      </c>
      <c r="Y22" s="943" t="str">
        <f aca="true" t="shared" si="14" ref="Y22:Y41">IF(AND(N22="R",M22&gt;300),(ROUND(M22/60,2)-5)*I22*H22*0.1*O22/100*IF(P22="SI",1.2,1),"--")</f>
        <v>--</v>
      </c>
      <c r="Z22" s="292" t="str">
        <f aca="true" t="shared" si="15" ref="Z22:Z41">IF(N22="RF",ROUND(M22/60,2)*I22*H22*0.1*IF(P22="SI",1.2,1),"--")</f>
        <v>--</v>
      </c>
      <c r="AA22" s="293" t="str">
        <f aca="true" t="shared" si="16" ref="AA22:AA41">IF(N22="RR",ROUND(M22/60,2)*I22*H22*0.1*O22/100*IF(P22="SI",1.2,1),"--")</f>
        <v>--</v>
      </c>
      <c r="AB22" s="944" t="s">
        <v>188</v>
      </c>
      <c r="AC22" s="16">
        <v>0</v>
      </c>
      <c r="AD22" s="16">
        <f>AC22*(1-$AF$21)</f>
        <v>0</v>
      </c>
      <c r="AE22" s="945"/>
    </row>
    <row r="23" spans="2:31" s="5" customFormat="1" ht="16.5" customHeight="1">
      <c r="B23" s="50"/>
      <c r="C23" s="367">
        <v>2</v>
      </c>
      <c r="D23" s="168" t="s">
        <v>189</v>
      </c>
      <c r="E23" s="203">
        <v>500</v>
      </c>
      <c r="F23" s="987">
        <v>105</v>
      </c>
      <c r="G23" s="203" t="s">
        <v>186</v>
      </c>
      <c r="H23" s="935">
        <f t="shared" si="0"/>
        <v>20</v>
      </c>
      <c r="I23" s="936">
        <f t="shared" si="1"/>
        <v>94.46744999999999</v>
      </c>
      <c r="J23" s="937">
        <v>39357.70763888889</v>
      </c>
      <c r="K23" s="938">
        <v>39357.73333333333</v>
      </c>
      <c r="L23" s="206">
        <f t="shared" si="2"/>
        <v>0.6166666665812954</v>
      </c>
      <c r="M23" s="207">
        <f t="shared" si="3"/>
        <v>37</v>
      </c>
      <c r="N23" s="281" t="s">
        <v>190</v>
      </c>
      <c r="O23" s="208" t="str">
        <f t="shared" si="4"/>
        <v>--</v>
      </c>
      <c r="P23" s="166" t="str">
        <f t="shared" si="5"/>
        <v>NO</v>
      </c>
      <c r="Q23" s="166" t="str">
        <f t="shared" si="6"/>
        <v>NO</v>
      </c>
      <c r="R23" s="939" t="str">
        <f t="shared" si="7"/>
        <v>--</v>
      </c>
      <c r="S23" s="940" t="str">
        <f t="shared" si="8"/>
        <v>--</v>
      </c>
      <c r="T23" s="286">
        <f t="shared" si="9"/>
        <v>1889.3489999999997</v>
      </c>
      <c r="U23" s="287">
        <f t="shared" si="10"/>
        <v>1171.39638</v>
      </c>
      <c r="V23" s="288" t="str">
        <f t="shared" si="11"/>
        <v>--</v>
      </c>
      <c r="W23" s="941" t="str">
        <f t="shared" si="12"/>
        <v>--</v>
      </c>
      <c r="X23" s="942" t="str">
        <f t="shared" si="13"/>
        <v>--</v>
      </c>
      <c r="Y23" s="943" t="str">
        <f t="shared" si="14"/>
        <v>--</v>
      </c>
      <c r="Z23" s="292" t="str">
        <f t="shared" si="15"/>
        <v>--</v>
      </c>
      <c r="AA23" s="293" t="str">
        <f t="shared" si="16"/>
        <v>--</v>
      </c>
      <c r="AB23" s="944" t="s">
        <v>188</v>
      </c>
      <c r="AC23" s="16">
        <f aca="true" t="shared" si="17" ref="AC23:AC41">IF(D23="","",SUM(R23:AA23)*IF(AB23="SI",1,2))</f>
        <v>3060.7453799999994</v>
      </c>
      <c r="AD23" s="16">
        <f aca="true" t="shared" si="18" ref="AD23:AD39">AC23*(1-$AF$21)</f>
        <v>658.8881755527993</v>
      </c>
      <c r="AE23" s="945"/>
    </row>
    <row r="24" spans="2:31" s="5" customFormat="1" ht="16.5" customHeight="1">
      <c r="B24" s="50"/>
      <c r="C24" s="168">
        <v>3</v>
      </c>
      <c r="D24" s="946" t="s">
        <v>191</v>
      </c>
      <c r="E24" s="947">
        <v>220</v>
      </c>
      <c r="F24" s="988">
        <v>6</v>
      </c>
      <c r="G24" s="947" t="s">
        <v>186</v>
      </c>
      <c r="H24" s="935">
        <f t="shared" si="0"/>
        <v>20</v>
      </c>
      <c r="I24" s="936">
        <f t="shared" si="1"/>
        <v>74.974</v>
      </c>
      <c r="J24" s="948">
        <v>39362.32430555556</v>
      </c>
      <c r="K24" s="949">
        <v>39362.643055555556</v>
      </c>
      <c r="L24" s="206">
        <f t="shared" si="2"/>
        <v>7.649999999965075</v>
      </c>
      <c r="M24" s="207">
        <f t="shared" si="3"/>
        <v>459</v>
      </c>
      <c r="N24" s="281" t="s">
        <v>187</v>
      </c>
      <c r="O24" s="208" t="str">
        <f t="shared" si="4"/>
        <v>--</v>
      </c>
      <c r="P24" s="166" t="str">
        <f t="shared" si="5"/>
        <v>NO</v>
      </c>
      <c r="Q24" s="166" t="str">
        <f t="shared" si="6"/>
        <v>--</v>
      </c>
      <c r="R24" s="939">
        <f t="shared" si="7"/>
        <v>114.71022</v>
      </c>
      <c r="S24" s="940" t="str">
        <f t="shared" si="8"/>
        <v>--</v>
      </c>
      <c r="T24" s="286" t="str">
        <f t="shared" si="9"/>
        <v>--</v>
      </c>
      <c r="U24" s="287" t="str">
        <f t="shared" si="10"/>
        <v>--</v>
      </c>
      <c r="V24" s="288" t="str">
        <f t="shared" si="11"/>
        <v>--</v>
      </c>
      <c r="W24" s="941" t="str">
        <f t="shared" si="12"/>
        <v>--</v>
      </c>
      <c r="X24" s="942" t="str">
        <f t="shared" si="13"/>
        <v>--</v>
      </c>
      <c r="Y24" s="943" t="str">
        <f t="shared" si="14"/>
        <v>--</v>
      </c>
      <c r="Z24" s="292" t="str">
        <f t="shared" si="15"/>
        <v>--</v>
      </c>
      <c r="AA24" s="293" t="str">
        <f t="shared" si="16"/>
        <v>--</v>
      </c>
      <c r="AB24" s="944" t="s">
        <v>188</v>
      </c>
      <c r="AC24" s="16">
        <f t="shared" si="17"/>
        <v>114.71022</v>
      </c>
      <c r="AD24" s="16">
        <f t="shared" si="18"/>
        <v>24.69372593582425</v>
      </c>
      <c r="AE24" s="945"/>
    </row>
    <row r="25" spans="2:31" s="5" customFormat="1" ht="16.5" customHeight="1">
      <c r="B25" s="50"/>
      <c r="C25" s="367">
        <v>4</v>
      </c>
      <c r="D25" s="946" t="s">
        <v>192</v>
      </c>
      <c r="E25" s="947">
        <v>220</v>
      </c>
      <c r="F25" s="988">
        <v>6</v>
      </c>
      <c r="G25" s="947" t="s">
        <v>186</v>
      </c>
      <c r="H25" s="935">
        <f t="shared" si="0"/>
        <v>20</v>
      </c>
      <c r="I25" s="936">
        <f t="shared" si="1"/>
        <v>74.974</v>
      </c>
      <c r="J25" s="948">
        <v>39364.62986111111</v>
      </c>
      <c r="K25" s="949">
        <v>39364.78958333333</v>
      </c>
      <c r="L25" s="206">
        <f t="shared" si="2"/>
        <v>3.833333333255723</v>
      </c>
      <c r="M25" s="207">
        <f t="shared" si="3"/>
        <v>230</v>
      </c>
      <c r="N25" s="281" t="s">
        <v>190</v>
      </c>
      <c r="O25" s="208" t="str">
        <f t="shared" si="4"/>
        <v>--</v>
      </c>
      <c r="P25" s="166" t="str">
        <f t="shared" si="5"/>
        <v>NO</v>
      </c>
      <c r="Q25" s="166" t="str">
        <f t="shared" si="6"/>
        <v>NO</v>
      </c>
      <c r="R25" s="939" t="str">
        <f t="shared" si="7"/>
        <v>--</v>
      </c>
      <c r="S25" s="940" t="str">
        <f t="shared" si="8"/>
        <v>--</v>
      </c>
      <c r="T25" s="286">
        <f t="shared" si="9"/>
        <v>1499.48</v>
      </c>
      <c r="U25" s="287">
        <f t="shared" si="10"/>
        <v>5743.008400000001</v>
      </c>
      <c r="V25" s="288" t="str">
        <f t="shared" si="11"/>
        <v>--</v>
      </c>
      <c r="W25" s="941" t="str">
        <f t="shared" si="12"/>
        <v>--</v>
      </c>
      <c r="X25" s="942" t="str">
        <f t="shared" si="13"/>
        <v>--</v>
      </c>
      <c r="Y25" s="943" t="str">
        <f t="shared" si="14"/>
        <v>--</v>
      </c>
      <c r="Z25" s="292" t="str">
        <f t="shared" si="15"/>
        <v>--</v>
      </c>
      <c r="AA25" s="293" t="str">
        <f t="shared" si="16"/>
        <v>--</v>
      </c>
      <c r="AB25" s="944" t="s">
        <v>188</v>
      </c>
      <c r="AC25" s="16">
        <f t="shared" si="17"/>
        <v>7242.4884</v>
      </c>
      <c r="AD25" s="16">
        <f t="shared" si="18"/>
        <v>1559.0940688892958</v>
      </c>
      <c r="AE25" s="945"/>
    </row>
    <row r="26" spans="2:31" s="5" customFormat="1" ht="16.5" customHeight="1">
      <c r="B26" s="50"/>
      <c r="C26" s="168">
        <v>5</v>
      </c>
      <c r="D26" s="168" t="s">
        <v>193</v>
      </c>
      <c r="E26" s="203">
        <v>500</v>
      </c>
      <c r="F26" s="987">
        <v>313</v>
      </c>
      <c r="G26" s="203" t="s">
        <v>194</v>
      </c>
      <c r="H26" s="935">
        <f t="shared" si="0"/>
        <v>200</v>
      </c>
      <c r="I26" s="936">
        <f t="shared" si="1"/>
        <v>281.60296999999997</v>
      </c>
      <c r="J26" s="937">
        <v>39368.308333333334</v>
      </c>
      <c r="K26" s="938">
        <v>39368.7</v>
      </c>
      <c r="L26" s="206">
        <f t="shared" si="2"/>
        <v>9.399999999906868</v>
      </c>
      <c r="M26" s="207">
        <f t="shared" si="3"/>
        <v>564</v>
      </c>
      <c r="N26" s="281" t="s">
        <v>187</v>
      </c>
      <c r="O26" s="208" t="str">
        <f t="shared" si="4"/>
        <v>--</v>
      </c>
      <c r="P26" s="166" t="str">
        <f t="shared" si="5"/>
        <v>NO</v>
      </c>
      <c r="Q26" s="166" t="str">
        <f t="shared" si="6"/>
        <v>--</v>
      </c>
      <c r="R26" s="939">
        <f t="shared" si="7"/>
        <v>5294.135836</v>
      </c>
      <c r="S26" s="940" t="str">
        <f t="shared" si="8"/>
        <v>--</v>
      </c>
      <c r="T26" s="286" t="str">
        <f t="shared" si="9"/>
        <v>--</v>
      </c>
      <c r="U26" s="287" t="str">
        <f t="shared" si="10"/>
        <v>--</v>
      </c>
      <c r="V26" s="288" t="str">
        <f t="shared" si="11"/>
        <v>--</v>
      </c>
      <c r="W26" s="941" t="str">
        <f t="shared" si="12"/>
        <v>--</v>
      </c>
      <c r="X26" s="942" t="str">
        <f t="shared" si="13"/>
        <v>--</v>
      </c>
      <c r="Y26" s="943" t="str">
        <f t="shared" si="14"/>
        <v>--</v>
      </c>
      <c r="Z26" s="292" t="str">
        <f t="shared" si="15"/>
        <v>--</v>
      </c>
      <c r="AA26" s="293" t="str">
        <f t="shared" si="16"/>
        <v>--</v>
      </c>
      <c r="AB26" s="944" t="s">
        <v>188</v>
      </c>
      <c r="AC26" s="16">
        <f t="shared" si="17"/>
        <v>5294.135836</v>
      </c>
      <c r="AD26" s="16">
        <f t="shared" si="18"/>
        <v>1139.671246391209</v>
      </c>
      <c r="AE26" s="945"/>
    </row>
    <row r="27" spans="2:31" s="5" customFormat="1" ht="16.5" customHeight="1">
      <c r="B27" s="50"/>
      <c r="C27" s="367">
        <v>6</v>
      </c>
      <c r="D27" s="168" t="s">
        <v>193</v>
      </c>
      <c r="E27" s="203">
        <v>500</v>
      </c>
      <c r="F27" s="987">
        <v>313</v>
      </c>
      <c r="G27" s="203" t="s">
        <v>194</v>
      </c>
      <c r="H27" s="935">
        <f t="shared" si="0"/>
        <v>200</v>
      </c>
      <c r="I27" s="936">
        <f t="shared" si="1"/>
        <v>281.60296999999997</v>
      </c>
      <c r="J27" s="937">
        <v>39369.29791666667</v>
      </c>
      <c r="K27" s="938">
        <v>39369.686111111114</v>
      </c>
      <c r="L27" s="206">
        <f t="shared" si="2"/>
        <v>9.316666666651145</v>
      </c>
      <c r="M27" s="207">
        <f t="shared" si="3"/>
        <v>559</v>
      </c>
      <c r="N27" s="281" t="s">
        <v>187</v>
      </c>
      <c r="O27" s="208" t="str">
        <f t="shared" si="4"/>
        <v>--</v>
      </c>
      <c r="P27" s="166" t="str">
        <f t="shared" si="5"/>
        <v>NO</v>
      </c>
      <c r="Q27" s="166" t="str">
        <f t="shared" si="6"/>
        <v>--</v>
      </c>
      <c r="R27" s="939">
        <f t="shared" si="7"/>
        <v>5249.0793608</v>
      </c>
      <c r="S27" s="940" t="str">
        <f t="shared" si="8"/>
        <v>--</v>
      </c>
      <c r="T27" s="286" t="str">
        <f t="shared" si="9"/>
        <v>--</v>
      </c>
      <c r="U27" s="287" t="str">
        <f t="shared" si="10"/>
        <v>--</v>
      </c>
      <c r="V27" s="288" t="str">
        <f t="shared" si="11"/>
        <v>--</v>
      </c>
      <c r="W27" s="941" t="str">
        <f t="shared" si="12"/>
        <v>--</v>
      </c>
      <c r="X27" s="942" t="str">
        <f t="shared" si="13"/>
        <v>--</v>
      </c>
      <c r="Y27" s="943" t="str">
        <f t="shared" si="14"/>
        <v>--</v>
      </c>
      <c r="Z27" s="292" t="str">
        <f t="shared" si="15"/>
        <v>--</v>
      </c>
      <c r="AA27" s="293" t="str">
        <f t="shared" si="16"/>
        <v>--</v>
      </c>
      <c r="AB27" s="944" t="s">
        <v>188</v>
      </c>
      <c r="AC27" s="16">
        <f t="shared" si="17"/>
        <v>5249.0793608</v>
      </c>
      <c r="AD27" s="16">
        <f t="shared" si="18"/>
        <v>1129.9719166346881</v>
      </c>
      <c r="AE27" s="945"/>
    </row>
    <row r="28" spans="2:31" s="5" customFormat="1" ht="16.5" customHeight="1">
      <c r="B28" s="50"/>
      <c r="C28" s="168">
        <v>7</v>
      </c>
      <c r="D28" s="158" t="s">
        <v>195</v>
      </c>
      <c r="E28" s="160">
        <v>500</v>
      </c>
      <c r="F28" s="989">
        <v>159</v>
      </c>
      <c r="G28" s="160" t="s">
        <v>186</v>
      </c>
      <c r="H28" s="935">
        <f t="shared" si="0"/>
        <v>20</v>
      </c>
      <c r="I28" s="936">
        <f t="shared" si="1"/>
        <v>143.05071</v>
      </c>
      <c r="J28" s="204">
        <v>39369.333333333336</v>
      </c>
      <c r="K28" s="280">
        <v>39369.70763888889</v>
      </c>
      <c r="L28" s="206">
        <f t="shared" si="2"/>
        <v>8.983333333279006</v>
      </c>
      <c r="M28" s="207">
        <f t="shared" si="3"/>
        <v>539</v>
      </c>
      <c r="N28" s="281" t="s">
        <v>187</v>
      </c>
      <c r="O28" s="208" t="str">
        <f t="shared" si="4"/>
        <v>--</v>
      </c>
      <c r="P28" s="166" t="str">
        <f t="shared" si="5"/>
        <v>NO</v>
      </c>
      <c r="Q28" s="166" t="str">
        <f t="shared" si="6"/>
        <v>--</v>
      </c>
      <c r="R28" s="939">
        <f t="shared" si="7"/>
        <v>256.91907516000003</v>
      </c>
      <c r="S28" s="940" t="str">
        <f t="shared" si="8"/>
        <v>--</v>
      </c>
      <c r="T28" s="286" t="str">
        <f t="shared" si="9"/>
        <v>--</v>
      </c>
      <c r="U28" s="287" t="str">
        <f t="shared" si="10"/>
        <v>--</v>
      </c>
      <c r="V28" s="288" t="str">
        <f t="shared" si="11"/>
        <v>--</v>
      </c>
      <c r="W28" s="941" t="str">
        <f t="shared" si="12"/>
        <v>--</v>
      </c>
      <c r="X28" s="942" t="str">
        <f t="shared" si="13"/>
        <v>--</v>
      </c>
      <c r="Y28" s="943" t="str">
        <f t="shared" si="14"/>
        <v>--</v>
      </c>
      <c r="Z28" s="292" t="str">
        <f t="shared" si="15"/>
        <v>--</v>
      </c>
      <c r="AA28" s="293" t="str">
        <f t="shared" si="16"/>
        <v>--</v>
      </c>
      <c r="AB28" s="944" t="s">
        <v>188</v>
      </c>
      <c r="AC28" s="16">
        <f t="shared" si="17"/>
        <v>256.91907516000003</v>
      </c>
      <c r="AD28" s="16">
        <f t="shared" si="18"/>
        <v>55.30709669710748</v>
      </c>
      <c r="AE28" s="945"/>
    </row>
    <row r="29" spans="2:31" s="5" customFormat="1" ht="16.5" customHeight="1">
      <c r="B29" s="50"/>
      <c r="C29" s="367">
        <v>8</v>
      </c>
      <c r="D29" s="158" t="s">
        <v>189</v>
      </c>
      <c r="E29" s="160">
        <v>500</v>
      </c>
      <c r="F29" s="989">
        <v>105</v>
      </c>
      <c r="G29" s="160" t="s">
        <v>186</v>
      </c>
      <c r="H29" s="935">
        <f t="shared" si="0"/>
        <v>20</v>
      </c>
      <c r="I29" s="936">
        <f t="shared" si="1"/>
        <v>94.46744999999999</v>
      </c>
      <c r="J29" s="204">
        <v>39369.56319444445</v>
      </c>
      <c r="K29" s="280">
        <v>39369.6375</v>
      </c>
      <c r="L29" s="206">
        <f t="shared" si="2"/>
        <v>1.783333333209157</v>
      </c>
      <c r="M29" s="207">
        <f t="shared" si="3"/>
        <v>107</v>
      </c>
      <c r="N29" s="281" t="s">
        <v>187</v>
      </c>
      <c r="O29" s="208" t="str">
        <f t="shared" si="4"/>
        <v>--</v>
      </c>
      <c r="P29" s="166" t="str">
        <f t="shared" si="5"/>
        <v>NO</v>
      </c>
      <c r="Q29" s="166" t="str">
        <f t="shared" si="6"/>
        <v>--</v>
      </c>
      <c r="R29" s="939">
        <f t="shared" si="7"/>
        <v>33.630412199999995</v>
      </c>
      <c r="S29" s="940" t="str">
        <f t="shared" si="8"/>
        <v>--</v>
      </c>
      <c r="T29" s="286" t="str">
        <f t="shared" si="9"/>
        <v>--</v>
      </c>
      <c r="U29" s="287" t="str">
        <f t="shared" si="10"/>
        <v>--</v>
      </c>
      <c r="V29" s="288" t="str">
        <f t="shared" si="11"/>
        <v>--</v>
      </c>
      <c r="W29" s="941" t="str">
        <f t="shared" si="12"/>
        <v>--</v>
      </c>
      <c r="X29" s="942" t="str">
        <f t="shared" si="13"/>
        <v>--</v>
      </c>
      <c r="Y29" s="943" t="str">
        <f t="shared" si="14"/>
        <v>--</v>
      </c>
      <c r="Z29" s="292" t="str">
        <f t="shared" si="15"/>
        <v>--</v>
      </c>
      <c r="AA29" s="293" t="str">
        <f t="shared" si="16"/>
        <v>--</v>
      </c>
      <c r="AB29" s="944" t="s">
        <v>188</v>
      </c>
      <c r="AC29" s="16">
        <f t="shared" si="17"/>
        <v>33.630412199999995</v>
      </c>
      <c r="AD29" s="16">
        <f t="shared" si="18"/>
        <v>7.239635509160388</v>
      </c>
      <c r="AE29" s="945"/>
    </row>
    <row r="30" spans="2:31" s="5" customFormat="1" ht="16.5" customHeight="1">
      <c r="B30" s="50"/>
      <c r="C30" s="168">
        <v>9</v>
      </c>
      <c r="D30" s="158" t="s">
        <v>193</v>
      </c>
      <c r="E30" s="160">
        <v>500</v>
      </c>
      <c r="F30" s="989">
        <v>313</v>
      </c>
      <c r="G30" s="160" t="s">
        <v>194</v>
      </c>
      <c r="H30" s="935">
        <f t="shared" si="0"/>
        <v>200</v>
      </c>
      <c r="I30" s="936">
        <f t="shared" si="1"/>
        <v>281.60296999999997</v>
      </c>
      <c r="J30" s="204">
        <v>39370.30902777778</v>
      </c>
      <c r="K30" s="280">
        <v>39370.72777777778</v>
      </c>
      <c r="L30" s="206">
        <f t="shared" si="2"/>
        <v>10.04999999993015</v>
      </c>
      <c r="M30" s="207">
        <f t="shared" si="3"/>
        <v>603</v>
      </c>
      <c r="N30" s="281" t="s">
        <v>187</v>
      </c>
      <c r="O30" s="208" t="str">
        <f t="shared" si="4"/>
        <v>--</v>
      </c>
      <c r="P30" s="166" t="str">
        <f t="shared" si="5"/>
        <v>NO</v>
      </c>
      <c r="Q30" s="166" t="str">
        <f t="shared" si="6"/>
        <v>--</v>
      </c>
      <c r="R30" s="939">
        <f t="shared" si="7"/>
        <v>5660.219697</v>
      </c>
      <c r="S30" s="940" t="str">
        <f t="shared" si="8"/>
        <v>--</v>
      </c>
      <c r="T30" s="286" t="str">
        <f t="shared" si="9"/>
        <v>--</v>
      </c>
      <c r="U30" s="287" t="str">
        <f t="shared" si="10"/>
        <v>--</v>
      </c>
      <c r="V30" s="288" t="str">
        <f t="shared" si="11"/>
        <v>--</v>
      </c>
      <c r="W30" s="941" t="str">
        <f t="shared" si="12"/>
        <v>--</v>
      </c>
      <c r="X30" s="942" t="str">
        <f t="shared" si="13"/>
        <v>--</v>
      </c>
      <c r="Y30" s="943" t="str">
        <f t="shared" si="14"/>
        <v>--</v>
      </c>
      <c r="Z30" s="292" t="str">
        <f t="shared" si="15"/>
        <v>--</v>
      </c>
      <c r="AA30" s="293" t="str">
        <f t="shared" si="16"/>
        <v>--</v>
      </c>
      <c r="AB30" s="944" t="s">
        <v>188</v>
      </c>
      <c r="AC30" s="16">
        <f t="shared" si="17"/>
        <v>5660.219697</v>
      </c>
      <c r="AD30" s="16">
        <f t="shared" si="18"/>
        <v>1218.4783006629416</v>
      </c>
      <c r="AE30" s="945"/>
    </row>
    <row r="31" spans="2:31" s="5" customFormat="1" ht="16.5" customHeight="1">
      <c r="B31" s="50"/>
      <c r="C31" s="367">
        <v>10</v>
      </c>
      <c r="D31" s="158" t="s">
        <v>196</v>
      </c>
      <c r="E31" s="160">
        <v>500</v>
      </c>
      <c r="F31" s="989">
        <v>289</v>
      </c>
      <c r="G31" s="160" t="s">
        <v>186</v>
      </c>
      <c r="H31" s="935">
        <f t="shared" si="0"/>
        <v>20</v>
      </c>
      <c r="I31" s="936">
        <f t="shared" si="1"/>
        <v>260.01041</v>
      </c>
      <c r="J31" s="204">
        <v>39370.33541666667</v>
      </c>
      <c r="K31" s="280">
        <v>39370.75208333333</v>
      </c>
      <c r="L31" s="206">
        <f t="shared" si="2"/>
        <v>9.999999999941792</v>
      </c>
      <c r="M31" s="207">
        <f t="shared" si="3"/>
        <v>600</v>
      </c>
      <c r="N31" s="281" t="s">
        <v>187</v>
      </c>
      <c r="O31" s="208" t="str">
        <f t="shared" si="4"/>
        <v>--</v>
      </c>
      <c r="P31" s="166" t="str">
        <f t="shared" si="5"/>
        <v>NO</v>
      </c>
      <c r="Q31" s="166" t="str">
        <f t="shared" si="6"/>
        <v>--</v>
      </c>
      <c r="R31" s="939">
        <f t="shared" si="7"/>
        <v>520.02082</v>
      </c>
      <c r="S31" s="940" t="str">
        <f t="shared" si="8"/>
        <v>--</v>
      </c>
      <c r="T31" s="286" t="str">
        <f t="shared" si="9"/>
        <v>--</v>
      </c>
      <c r="U31" s="287" t="str">
        <f t="shared" si="10"/>
        <v>--</v>
      </c>
      <c r="V31" s="288" t="str">
        <f t="shared" si="11"/>
        <v>--</v>
      </c>
      <c r="W31" s="941" t="str">
        <f t="shared" si="12"/>
        <v>--</v>
      </c>
      <c r="X31" s="942" t="str">
        <f t="shared" si="13"/>
        <v>--</v>
      </c>
      <c r="Y31" s="943" t="str">
        <f t="shared" si="14"/>
        <v>--</v>
      </c>
      <c r="Z31" s="292" t="str">
        <f t="shared" si="15"/>
        <v>--</v>
      </c>
      <c r="AA31" s="293" t="str">
        <f t="shared" si="16"/>
        <v>--</v>
      </c>
      <c r="AB31" s="944" t="s">
        <v>188</v>
      </c>
      <c r="AC31" s="16">
        <f t="shared" si="17"/>
        <v>520.02082</v>
      </c>
      <c r="AD31" s="16">
        <f t="shared" si="18"/>
        <v>111.9451397617631</v>
      </c>
      <c r="AE31" s="945"/>
    </row>
    <row r="32" spans="2:31" s="5" customFormat="1" ht="16.5" customHeight="1">
      <c r="B32" s="50"/>
      <c r="C32" s="168">
        <v>11</v>
      </c>
      <c r="D32" s="158" t="s">
        <v>197</v>
      </c>
      <c r="E32" s="160">
        <v>500</v>
      </c>
      <c r="F32" s="989">
        <v>58</v>
      </c>
      <c r="G32" s="160" t="s">
        <v>186</v>
      </c>
      <c r="H32" s="935">
        <f t="shared" si="0"/>
        <v>20</v>
      </c>
      <c r="I32" s="936">
        <f t="shared" si="1"/>
        <v>89.969</v>
      </c>
      <c r="J32" s="204">
        <v>39372.427083333336</v>
      </c>
      <c r="K32" s="280">
        <v>39372.60277777778</v>
      </c>
      <c r="L32" s="206">
        <f t="shared" si="2"/>
        <v>4.21666666661622</v>
      </c>
      <c r="M32" s="207">
        <f t="shared" si="3"/>
        <v>253</v>
      </c>
      <c r="N32" s="281" t="s">
        <v>187</v>
      </c>
      <c r="O32" s="208" t="str">
        <f t="shared" si="4"/>
        <v>--</v>
      </c>
      <c r="P32" s="166" t="str">
        <f t="shared" si="5"/>
        <v>NO</v>
      </c>
      <c r="Q32" s="166" t="str">
        <f t="shared" si="6"/>
        <v>--</v>
      </c>
      <c r="R32" s="939">
        <f t="shared" si="7"/>
        <v>75.933836</v>
      </c>
      <c r="S32" s="940" t="str">
        <f t="shared" si="8"/>
        <v>--</v>
      </c>
      <c r="T32" s="286" t="str">
        <f t="shared" si="9"/>
        <v>--</v>
      </c>
      <c r="U32" s="287" t="str">
        <f t="shared" si="10"/>
        <v>--</v>
      </c>
      <c r="V32" s="288" t="str">
        <f t="shared" si="11"/>
        <v>--</v>
      </c>
      <c r="W32" s="941" t="str">
        <f t="shared" si="12"/>
        <v>--</v>
      </c>
      <c r="X32" s="942" t="str">
        <f t="shared" si="13"/>
        <v>--</v>
      </c>
      <c r="Y32" s="943" t="str">
        <f t="shared" si="14"/>
        <v>--</v>
      </c>
      <c r="Z32" s="292" t="str">
        <f t="shared" si="15"/>
        <v>--</v>
      </c>
      <c r="AA32" s="293" t="str">
        <f t="shared" si="16"/>
        <v>--</v>
      </c>
      <c r="AB32" s="944" t="s">
        <v>188</v>
      </c>
      <c r="AC32" s="16">
        <f t="shared" si="17"/>
        <v>75.933836</v>
      </c>
      <c r="AD32" s="16">
        <f t="shared" si="18"/>
        <v>16.3463145257661</v>
      </c>
      <c r="AE32" s="945"/>
    </row>
    <row r="33" spans="2:31" s="5" customFormat="1" ht="16.5" customHeight="1">
      <c r="B33" s="50"/>
      <c r="C33" s="367">
        <v>12</v>
      </c>
      <c r="D33" s="158" t="s">
        <v>198</v>
      </c>
      <c r="E33" s="160">
        <v>500</v>
      </c>
      <c r="F33" s="989">
        <v>257</v>
      </c>
      <c r="G33" s="160" t="s">
        <v>199</v>
      </c>
      <c r="H33" s="935">
        <f t="shared" si="0"/>
        <v>60</v>
      </c>
      <c r="I33" s="936">
        <f t="shared" si="1"/>
        <v>231.22033</v>
      </c>
      <c r="J33" s="204">
        <v>39373.29375</v>
      </c>
      <c r="K33" s="205">
        <v>39373.46111111111</v>
      </c>
      <c r="L33" s="206">
        <f t="shared" si="2"/>
        <v>4.016666666662786</v>
      </c>
      <c r="M33" s="207">
        <f t="shared" si="3"/>
        <v>241</v>
      </c>
      <c r="N33" s="281" t="s">
        <v>187</v>
      </c>
      <c r="O33" s="208" t="str">
        <f t="shared" si="4"/>
        <v>--</v>
      </c>
      <c r="P33" s="166" t="str">
        <f t="shared" si="5"/>
        <v>NO</v>
      </c>
      <c r="Q33" s="166" t="str">
        <f t="shared" si="6"/>
        <v>--</v>
      </c>
      <c r="R33" s="939">
        <f t="shared" si="7"/>
        <v>557.70343596</v>
      </c>
      <c r="S33" s="940" t="str">
        <f t="shared" si="8"/>
        <v>--</v>
      </c>
      <c r="T33" s="286" t="str">
        <f t="shared" si="9"/>
        <v>--</v>
      </c>
      <c r="U33" s="287" t="str">
        <f t="shared" si="10"/>
        <v>--</v>
      </c>
      <c r="V33" s="288" t="str">
        <f t="shared" si="11"/>
        <v>--</v>
      </c>
      <c r="W33" s="941" t="str">
        <f t="shared" si="12"/>
        <v>--</v>
      </c>
      <c r="X33" s="942" t="str">
        <f t="shared" si="13"/>
        <v>--</v>
      </c>
      <c r="Y33" s="943" t="str">
        <f t="shared" si="14"/>
        <v>--</v>
      </c>
      <c r="Z33" s="292" t="str">
        <f t="shared" si="15"/>
        <v>--</v>
      </c>
      <c r="AA33" s="293" t="str">
        <f t="shared" si="16"/>
        <v>--</v>
      </c>
      <c r="AB33" s="944" t="s">
        <v>188</v>
      </c>
      <c r="AC33" s="16">
        <f t="shared" si="17"/>
        <v>557.70343596</v>
      </c>
      <c r="AD33" s="16">
        <f t="shared" si="18"/>
        <v>120.05709518353072</v>
      </c>
      <c r="AE33" s="945"/>
    </row>
    <row r="34" spans="2:31" s="5" customFormat="1" ht="16.5" customHeight="1">
      <c r="B34" s="50"/>
      <c r="C34" s="168">
        <v>13</v>
      </c>
      <c r="D34" s="158" t="s">
        <v>200</v>
      </c>
      <c r="E34" s="160">
        <v>500</v>
      </c>
      <c r="F34" s="989">
        <v>227</v>
      </c>
      <c r="G34" s="160" t="s">
        <v>194</v>
      </c>
      <c r="H34" s="935">
        <f t="shared" si="0"/>
        <v>200</v>
      </c>
      <c r="I34" s="936">
        <f t="shared" si="1"/>
        <v>204.22963</v>
      </c>
      <c r="J34" s="204">
        <v>39375.308333333334</v>
      </c>
      <c r="K34" s="205">
        <v>39375.680555555555</v>
      </c>
      <c r="L34" s="206">
        <f t="shared" si="2"/>
        <v>8.933333333290648</v>
      </c>
      <c r="M34" s="207">
        <f t="shared" si="3"/>
        <v>536</v>
      </c>
      <c r="N34" s="281" t="s">
        <v>187</v>
      </c>
      <c r="O34" s="208" t="str">
        <f t="shared" si="4"/>
        <v>--</v>
      </c>
      <c r="P34" s="166" t="str">
        <f t="shared" si="5"/>
        <v>NO</v>
      </c>
      <c r="Q34" s="166" t="str">
        <f t="shared" si="6"/>
        <v>--</v>
      </c>
      <c r="R34" s="939">
        <f t="shared" si="7"/>
        <v>3647.5411918</v>
      </c>
      <c r="S34" s="940" t="str">
        <f t="shared" si="8"/>
        <v>--</v>
      </c>
      <c r="T34" s="286" t="str">
        <f t="shared" si="9"/>
        <v>--</v>
      </c>
      <c r="U34" s="287" t="str">
        <f t="shared" si="10"/>
        <v>--</v>
      </c>
      <c r="V34" s="288" t="str">
        <f t="shared" si="11"/>
        <v>--</v>
      </c>
      <c r="W34" s="941" t="str">
        <f t="shared" si="12"/>
        <v>--</v>
      </c>
      <c r="X34" s="942" t="str">
        <f t="shared" si="13"/>
        <v>--</v>
      </c>
      <c r="Y34" s="943" t="str">
        <f t="shared" si="14"/>
        <v>--</v>
      </c>
      <c r="Z34" s="292" t="str">
        <f t="shared" si="15"/>
        <v>--</v>
      </c>
      <c r="AA34" s="293" t="str">
        <f t="shared" si="16"/>
        <v>--</v>
      </c>
      <c r="AB34" s="944" t="s">
        <v>188</v>
      </c>
      <c r="AC34" s="16">
        <f t="shared" si="17"/>
        <v>3647.5411918</v>
      </c>
      <c r="AD34" s="16">
        <f t="shared" si="18"/>
        <v>785.2080009081924</v>
      </c>
      <c r="AE34" s="945"/>
    </row>
    <row r="35" spans="2:31" s="5" customFormat="1" ht="16.5" customHeight="1">
      <c r="B35" s="50"/>
      <c r="C35" s="367">
        <v>14</v>
      </c>
      <c r="D35" s="158" t="s">
        <v>201</v>
      </c>
      <c r="E35" s="160">
        <v>500</v>
      </c>
      <c r="F35" s="989">
        <v>421</v>
      </c>
      <c r="G35" s="160" t="s">
        <v>194</v>
      </c>
      <c r="H35" s="935">
        <f t="shared" si="0"/>
        <v>200</v>
      </c>
      <c r="I35" s="936">
        <f t="shared" si="1"/>
        <v>378.76949</v>
      </c>
      <c r="J35" s="204">
        <v>39377.24513888889</v>
      </c>
      <c r="K35" s="205">
        <v>39377.28333333333</v>
      </c>
      <c r="L35" s="206">
        <f t="shared" si="2"/>
        <v>0.9166666666860692</v>
      </c>
      <c r="M35" s="207">
        <f t="shared" si="3"/>
        <v>55</v>
      </c>
      <c r="N35" s="281" t="s">
        <v>190</v>
      </c>
      <c r="O35" s="208" t="str">
        <f t="shared" si="4"/>
        <v>--</v>
      </c>
      <c r="P35" s="166" t="str">
        <f t="shared" si="5"/>
        <v>NO</v>
      </c>
      <c r="Q35" s="166" t="str">
        <f t="shared" si="6"/>
        <v>NO</v>
      </c>
      <c r="R35" s="939" t="str">
        <f t="shared" si="7"/>
        <v>--</v>
      </c>
      <c r="S35" s="940" t="str">
        <f t="shared" si="8"/>
        <v>--</v>
      </c>
      <c r="T35" s="286">
        <f t="shared" si="9"/>
        <v>75753.898</v>
      </c>
      <c r="U35" s="287">
        <f t="shared" si="10"/>
        <v>69693.58616</v>
      </c>
      <c r="V35" s="288" t="str">
        <f t="shared" si="11"/>
        <v>--</v>
      </c>
      <c r="W35" s="941" t="str">
        <f t="shared" si="12"/>
        <v>--</v>
      </c>
      <c r="X35" s="942" t="str">
        <f t="shared" si="13"/>
        <v>--</v>
      </c>
      <c r="Y35" s="943" t="str">
        <f t="shared" si="14"/>
        <v>--</v>
      </c>
      <c r="Z35" s="292" t="str">
        <f t="shared" si="15"/>
        <v>--</v>
      </c>
      <c r="AA35" s="293" t="str">
        <f t="shared" si="16"/>
        <v>--</v>
      </c>
      <c r="AB35" s="944" t="s">
        <v>188</v>
      </c>
      <c r="AC35" s="16">
        <f t="shared" si="17"/>
        <v>145447.48416</v>
      </c>
      <c r="AD35" s="16">
        <f t="shared" si="18"/>
        <v>31310.552031912925</v>
      </c>
      <c r="AE35" s="945"/>
    </row>
    <row r="36" spans="2:31" s="5" customFormat="1" ht="16.5" customHeight="1">
      <c r="B36" s="50"/>
      <c r="C36" s="168">
        <v>15</v>
      </c>
      <c r="D36" s="158" t="s">
        <v>202</v>
      </c>
      <c r="E36" s="160">
        <v>500</v>
      </c>
      <c r="F36" s="989">
        <v>77</v>
      </c>
      <c r="G36" s="160" t="s">
        <v>186</v>
      </c>
      <c r="H36" s="935">
        <f t="shared" si="0"/>
        <v>20</v>
      </c>
      <c r="I36" s="936">
        <f t="shared" si="1"/>
        <v>89.969</v>
      </c>
      <c r="J36" s="204">
        <v>39381.81319444445</v>
      </c>
      <c r="K36" s="205">
        <v>39381.839583333334</v>
      </c>
      <c r="L36" s="206">
        <f t="shared" si="2"/>
        <v>0.6333333333022892</v>
      </c>
      <c r="M36" s="207">
        <f t="shared" si="3"/>
        <v>38</v>
      </c>
      <c r="N36" s="281" t="s">
        <v>190</v>
      </c>
      <c r="O36" s="208" t="str">
        <f t="shared" si="4"/>
        <v>--</v>
      </c>
      <c r="P36" s="166" t="str">
        <f t="shared" si="5"/>
        <v>NO</v>
      </c>
      <c r="Q36" s="166" t="str">
        <f t="shared" si="6"/>
        <v>NO</v>
      </c>
      <c r="R36" s="939" t="str">
        <f t="shared" si="7"/>
        <v>--</v>
      </c>
      <c r="S36" s="940" t="str">
        <f t="shared" si="8"/>
        <v>--</v>
      </c>
      <c r="T36" s="286">
        <f t="shared" si="9"/>
        <v>1799.3799999999999</v>
      </c>
      <c r="U36" s="287">
        <f t="shared" si="10"/>
        <v>1133.6093999999998</v>
      </c>
      <c r="V36" s="288" t="str">
        <f t="shared" si="11"/>
        <v>--</v>
      </c>
      <c r="W36" s="941" t="str">
        <f t="shared" si="12"/>
        <v>--</v>
      </c>
      <c r="X36" s="942" t="str">
        <f t="shared" si="13"/>
        <v>--</v>
      </c>
      <c r="Y36" s="943" t="str">
        <f t="shared" si="14"/>
        <v>--</v>
      </c>
      <c r="Z36" s="292" t="str">
        <f t="shared" si="15"/>
        <v>--</v>
      </c>
      <c r="AA36" s="293" t="str">
        <f t="shared" si="16"/>
        <v>--</v>
      </c>
      <c r="AB36" s="944" t="s">
        <v>188</v>
      </c>
      <c r="AC36" s="16">
        <f t="shared" si="17"/>
        <v>2932.9893999999995</v>
      </c>
      <c r="AD36" s="16">
        <f t="shared" si="18"/>
        <v>631.3860823933351</v>
      </c>
      <c r="AE36" s="945"/>
    </row>
    <row r="37" spans="2:31" s="5" customFormat="1" ht="16.5" customHeight="1">
      <c r="B37" s="50"/>
      <c r="C37" s="367">
        <v>16</v>
      </c>
      <c r="D37" s="158" t="s">
        <v>192</v>
      </c>
      <c r="E37" s="160">
        <v>220</v>
      </c>
      <c r="F37" s="989">
        <v>6</v>
      </c>
      <c r="G37" s="160" t="s">
        <v>186</v>
      </c>
      <c r="H37" s="935">
        <f t="shared" si="0"/>
        <v>20</v>
      </c>
      <c r="I37" s="936">
        <f t="shared" si="1"/>
        <v>74.974</v>
      </c>
      <c r="J37" s="204">
        <v>39384.4</v>
      </c>
      <c r="K37" s="205">
        <v>39384.76388888889</v>
      </c>
      <c r="L37" s="206">
        <f t="shared" si="2"/>
        <v>8.733333333337214</v>
      </c>
      <c r="M37" s="207">
        <f t="shared" si="3"/>
        <v>524</v>
      </c>
      <c r="N37" s="281" t="s">
        <v>187</v>
      </c>
      <c r="O37" s="208" t="str">
        <f t="shared" si="4"/>
        <v>--</v>
      </c>
      <c r="P37" s="166" t="str">
        <f t="shared" si="5"/>
        <v>NO</v>
      </c>
      <c r="Q37" s="166" t="str">
        <f t="shared" si="6"/>
        <v>--</v>
      </c>
      <c r="R37" s="939">
        <f t="shared" si="7"/>
        <v>130.904604</v>
      </c>
      <c r="S37" s="940" t="str">
        <f t="shared" si="8"/>
        <v>--</v>
      </c>
      <c r="T37" s="286" t="str">
        <f t="shared" si="9"/>
        <v>--</v>
      </c>
      <c r="U37" s="287" t="str">
        <f t="shared" si="10"/>
        <v>--</v>
      </c>
      <c r="V37" s="288" t="str">
        <f t="shared" si="11"/>
        <v>--</v>
      </c>
      <c r="W37" s="941" t="str">
        <f t="shared" si="12"/>
        <v>--</v>
      </c>
      <c r="X37" s="942" t="str">
        <f t="shared" si="13"/>
        <v>--</v>
      </c>
      <c r="Y37" s="943" t="str">
        <f t="shared" si="14"/>
        <v>--</v>
      </c>
      <c r="Z37" s="292" t="str">
        <f t="shared" si="15"/>
        <v>--</v>
      </c>
      <c r="AA37" s="293" t="str">
        <f t="shared" si="16"/>
        <v>--</v>
      </c>
      <c r="AB37" s="944" t="s">
        <v>188</v>
      </c>
      <c r="AC37" s="16">
        <f t="shared" si="17"/>
        <v>130.904604</v>
      </c>
      <c r="AD37" s="16">
        <f t="shared" si="18"/>
        <v>28.179899009117086</v>
      </c>
      <c r="AE37" s="945"/>
    </row>
    <row r="38" spans="2:31" s="5" customFormat="1" ht="16.5" customHeight="1">
      <c r="B38" s="50"/>
      <c r="C38" s="168">
        <v>17</v>
      </c>
      <c r="D38" s="158" t="s">
        <v>203</v>
      </c>
      <c r="E38" s="160">
        <v>500</v>
      </c>
      <c r="F38" s="989">
        <v>3</v>
      </c>
      <c r="G38" s="160" t="s">
        <v>186</v>
      </c>
      <c r="H38" s="935">
        <f t="shared" si="0"/>
        <v>20</v>
      </c>
      <c r="I38" s="936">
        <f t="shared" si="1"/>
        <v>89.969</v>
      </c>
      <c r="J38" s="204">
        <v>39384.40902777778</v>
      </c>
      <c r="K38" s="205">
        <v>39384.55069444444</v>
      </c>
      <c r="L38" s="206">
        <f t="shared" si="2"/>
        <v>3.3999999999068677</v>
      </c>
      <c r="M38" s="207">
        <f t="shared" si="3"/>
        <v>204</v>
      </c>
      <c r="N38" s="281" t="s">
        <v>187</v>
      </c>
      <c r="O38" s="208" t="str">
        <f t="shared" si="4"/>
        <v>--</v>
      </c>
      <c r="P38" s="166" t="str">
        <f t="shared" si="5"/>
        <v>NO</v>
      </c>
      <c r="Q38" s="166" t="str">
        <f t="shared" si="6"/>
        <v>--</v>
      </c>
      <c r="R38" s="939">
        <f t="shared" si="7"/>
        <v>61.17892</v>
      </c>
      <c r="S38" s="940" t="str">
        <f t="shared" si="8"/>
        <v>--</v>
      </c>
      <c r="T38" s="286" t="str">
        <f t="shared" si="9"/>
        <v>--</v>
      </c>
      <c r="U38" s="287" t="str">
        <f t="shared" si="10"/>
        <v>--</v>
      </c>
      <c r="V38" s="288" t="str">
        <f t="shared" si="11"/>
        <v>--</v>
      </c>
      <c r="W38" s="941" t="str">
        <f t="shared" si="12"/>
        <v>--</v>
      </c>
      <c r="X38" s="942" t="str">
        <f t="shared" si="13"/>
        <v>--</v>
      </c>
      <c r="Y38" s="943" t="str">
        <f t="shared" si="14"/>
        <v>--</v>
      </c>
      <c r="Z38" s="292" t="str">
        <f t="shared" si="15"/>
        <v>--</v>
      </c>
      <c r="AA38" s="293" t="str">
        <f t="shared" si="16"/>
        <v>--</v>
      </c>
      <c r="AB38" s="944" t="s">
        <v>188</v>
      </c>
      <c r="AC38" s="16">
        <v>0</v>
      </c>
      <c r="AD38" s="16">
        <f t="shared" si="18"/>
        <v>0</v>
      </c>
      <c r="AE38" s="945"/>
    </row>
    <row r="39" spans="2:31" s="5" customFormat="1" ht="16.5" customHeight="1">
      <c r="B39" s="50"/>
      <c r="C39" s="367">
        <v>18</v>
      </c>
      <c r="D39" s="158" t="s">
        <v>203</v>
      </c>
      <c r="E39" s="160">
        <v>500</v>
      </c>
      <c r="F39" s="989">
        <v>3</v>
      </c>
      <c r="G39" s="160" t="s">
        <v>186</v>
      </c>
      <c r="H39" s="935">
        <f t="shared" si="0"/>
        <v>20</v>
      </c>
      <c r="I39" s="936">
        <f t="shared" si="1"/>
        <v>89.969</v>
      </c>
      <c r="J39" s="204">
        <v>39385.42152777778</v>
      </c>
      <c r="K39" s="205">
        <v>39385.53888888889</v>
      </c>
      <c r="L39" s="206">
        <f t="shared" si="2"/>
        <v>2.81666666676756</v>
      </c>
      <c r="M39" s="207">
        <f t="shared" si="3"/>
        <v>169</v>
      </c>
      <c r="N39" s="281" t="s">
        <v>187</v>
      </c>
      <c r="O39" s="208" t="str">
        <f t="shared" si="4"/>
        <v>--</v>
      </c>
      <c r="P39" s="166" t="str">
        <f t="shared" si="5"/>
        <v>NO</v>
      </c>
      <c r="Q39" s="166" t="str">
        <f t="shared" si="6"/>
        <v>--</v>
      </c>
      <c r="R39" s="939">
        <f t="shared" si="7"/>
        <v>50.742515999999995</v>
      </c>
      <c r="S39" s="940" t="str">
        <f t="shared" si="8"/>
        <v>--</v>
      </c>
      <c r="T39" s="286" t="str">
        <f t="shared" si="9"/>
        <v>--</v>
      </c>
      <c r="U39" s="287" t="str">
        <f t="shared" si="10"/>
        <v>--</v>
      </c>
      <c r="V39" s="288" t="str">
        <f t="shared" si="11"/>
        <v>--</v>
      </c>
      <c r="W39" s="941" t="str">
        <f t="shared" si="12"/>
        <v>--</v>
      </c>
      <c r="X39" s="942" t="str">
        <f t="shared" si="13"/>
        <v>--</v>
      </c>
      <c r="Y39" s="943" t="str">
        <f t="shared" si="14"/>
        <v>--</v>
      </c>
      <c r="Z39" s="292" t="str">
        <f t="shared" si="15"/>
        <v>--</v>
      </c>
      <c r="AA39" s="293" t="str">
        <f t="shared" si="16"/>
        <v>--</v>
      </c>
      <c r="AB39" s="944" t="s">
        <v>188</v>
      </c>
      <c r="AC39" s="16">
        <v>0</v>
      </c>
      <c r="AD39" s="16">
        <f t="shared" si="18"/>
        <v>0</v>
      </c>
      <c r="AE39" s="945"/>
    </row>
    <row r="40" spans="2:31" s="5" customFormat="1" ht="16.5" customHeight="1">
      <c r="B40" s="50"/>
      <c r="C40" s="168"/>
      <c r="D40" s="158"/>
      <c r="E40" s="160"/>
      <c r="F40" s="989"/>
      <c r="G40" s="160"/>
      <c r="H40" s="935">
        <f t="shared" si="0"/>
        <v>20</v>
      </c>
      <c r="I40" s="936">
        <f t="shared" si="1"/>
        <v>74.974</v>
      </c>
      <c r="J40" s="204"/>
      <c r="K40" s="205"/>
      <c r="L40" s="206">
        <f t="shared" si="2"/>
      </c>
      <c r="M40" s="207">
        <f t="shared" si="3"/>
      </c>
      <c r="N40" s="281"/>
      <c r="O40" s="208">
        <f t="shared" si="4"/>
      </c>
      <c r="P40" s="166">
        <f t="shared" si="5"/>
      </c>
      <c r="Q40" s="166">
        <f t="shared" si="6"/>
      </c>
      <c r="R40" s="939" t="str">
        <f t="shared" si="7"/>
        <v>--</v>
      </c>
      <c r="S40" s="940" t="str">
        <f t="shared" si="8"/>
        <v>--</v>
      </c>
      <c r="T40" s="286" t="str">
        <f t="shared" si="9"/>
        <v>--</v>
      </c>
      <c r="U40" s="287" t="str">
        <f t="shared" si="10"/>
        <v>--</v>
      </c>
      <c r="V40" s="288" t="str">
        <f t="shared" si="11"/>
        <v>--</v>
      </c>
      <c r="W40" s="941" t="str">
        <f t="shared" si="12"/>
        <v>--</v>
      </c>
      <c r="X40" s="942" t="str">
        <f t="shared" si="13"/>
        <v>--</v>
      </c>
      <c r="Y40" s="943" t="str">
        <f t="shared" si="14"/>
        <v>--</v>
      </c>
      <c r="Z40" s="292" t="str">
        <f t="shared" si="15"/>
        <v>--</v>
      </c>
      <c r="AA40" s="293" t="str">
        <f t="shared" si="16"/>
        <v>--</v>
      </c>
      <c r="AB40" s="944">
        <f>IF(D40="","","SI")</f>
      </c>
      <c r="AC40" s="16">
        <f t="shared" si="17"/>
      </c>
      <c r="AD40" s="16"/>
      <c r="AE40" s="945"/>
    </row>
    <row r="41" spans="2:31" s="5" customFormat="1" ht="16.5" customHeight="1">
      <c r="B41" s="50"/>
      <c r="C41" s="367"/>
      <c r="D41" s="158"/>
      <c r="E41" s="160"/>
      <c r="F41" s="989"/>
      <c r="G41" s="160"/>
      <c r="H41" s="935">
        <f t="shared" si="0"/>
        <v>20</v>
      </c>
      <c r="I41" s="936">
        <f t="shared" si="1"/>
        <v>74.974</v>
      </c>
      <c r="J41" s="204"/>
      <c r="K41" s="205"/>
      <c r="L41" s="206">
        <f t="shared" si="2"/>
      </c>
      <c r="M41" s="207">
        <f t="shared" si="3"/>
      </c>
      <c r="N41" s="281"/>
      <c r="O41" s="208">
        <f t="shared" si="4"/>
      </c>
      <c r="P41" s="166">
        <f t="shared" si="5"/>
      </c>
      <c r="Q41" s="166">
        <f t="shared" si="6"/>
      </c>
      <c r="R41" s="939" t="str">
        <f t="shared" si="7"/>
        <v>--</v>
      </c>
      <c r="S41" s="940" t="str">
        <f t="shared" si="8"/>
        <v>--</v>
      </c>
      <c r="T41" s="286" t="str">
        <f t="shared" si="9"/>
        <v>--</v>
      </c>
      <c r="U41" s="287" t="str">
        <f t="shared" si="10"/>
        <v>--</v>
      </c>
      <c r="V41" s="288" t="str">
        <f t="shared" si="11"/>
        <v>--</v>
      </c>
      <c r="W41" s="941" t="str">
        <f t="shared" si="12"/>
        <v>--</v>
      </c>
      <c r="X41" s="942" t="str">
        <f t="shared" si="13"/>
        <v>--</v>
      </c>
      <c r="Y41" s="943" t="str">
        <f t="shared" si="14"/>
        <v>--</v>
      </c>
      <c r="Z41" s="292" t="str">
        <f t="shared" si="15"/>
        <v>--</v>
      </c>
      <c r="AA41" s="293" t="str">
        <f t="shared" si="16"/>
        <v>--</v>
      </c>
      <c r="AB41" s="944">
        <f>IF(D41="","","SI")</f>
      </c>
      <c r="AC41" s="16">
        <f t="shared" si="17"/>
      </c>
      <c r="AD41" s="16"/>
      <c r="AE41" s="945"/>
    </row>
    <row r="42" spans="2:31" s="5" customFormat="1" ht="16.5" customHeight="1" thickBot="1">
      <c r="B42" s="50"/>
      <c r="C42" s="168"/>
      <c r="D42" s="163"/>
      <c r="E42" s="298"/>
      <c r="F42" s="983"/>
      <c r="G42" s="299"/>
      <c r="H42" s="950"/>
      <c r="I42" s="951"/>
      <c r="J42" s="981"/>
      <c r="K42" s="981"/>
      <c r="L42" s="9"/>
      <c r="M42" s="9"/>
      <c r="N42" s="165"/>
      <c r="O42" s="210"/>
      <c r="P42" s="165"/>
      <c r="Q42" s="165"/>
      <c r="R42" s="952"/>
      <c r="S42" s="953"/>
      <c r="T42" s="304"/>
      <c r="U42" s="305"/>
      <c r="V42" s="306"/>
      <c r="W42" s="954"/>
      <c r="X42" s="955"/>
      <c r="Y42" s="956"/>
      <c r="Z42" s="310"/>
      <c r="AA42" s="311"/>
      <c r="AB42" s="957"/>
      <c r="AC42" s="314"/>
      <c r="AD42" s="314"/>
      <c r="AE42" s="945"/>
    </row>
    <row r="43" spans="2:31" s="5" customFormat="1" ht="16.5" customHeight="1" thickBot="1" thickTop="1">
      <c r="B43" s="50"/>
      <c r="C43" s="129" t="s">
        <v>25</v>
      </c>
      <c r="D43" s="130" t="s">
        <v>286</v>
      </c>
      <c r="E43" s="315"/>
      <c r="F43" s="236"/>
      <c r="G43" s="316"/>
      <c r="H43" s="236"/>
      <c r="I43" s="211"/>
      <c r="J43" s="211"/>
      <c r="K43" s="211"/>
      <c r="L43" s="211"/>
      <c r="M43" s="211"/>
      <c r="N43" s="211"/>
      <c r="O43" s="317"/>
      <c r="P43" s="211"/>
      <c r="Q43" s="211"/>
      <c r="R43" s="958">
        <f aca="true" t="shared" si="19" ref="R43:AA43">SUM(R20:R42)</f>
        <v>21710.83989892</v>
      </c>
      <c r="S43" s="959">
        <f t="shared" si="19"/>
        <v>0</v>
      </c>
      <c r="T43" s="960">
        <f t="shared" si="19"/>
        <v>80942.107</v>
      </c>
      <c r="U43" s="960">
        <f t="shared" si="19"/>
        <v>77741.60034</v>
      </c>
      <c r="V43" s="960">
        <f t="shared" si="19"/>
        <v>0</v>
      </c>
      <c r="W43" s="961">
        <f t="shared" si="19"/>
        <v>0</v>
      </c>
      <c r="X43" s="961">
        <f t="shared" si="19"/>
        <v>0</v>
      </c>
      <c r="Y43" s="961">
        <f t="shared" si="19"/>
        <v>0</v>
      </c>
      <c r="Z43" s="325">
        <f t="shared" si="19"/>
        <v>0</v>
      </c>
      <c r="AA43" s="326">
        <f t="shared" si="19"/>
        <v>0</v>
      </c>
      <c r="AB43" s="327"/>
      <c r="AC43" s="329">
        <f>ROUND(SUM(AC20:AC42),2)</f>
        <v>180224.51</v>
      </c>
      <c r="AD43" s="329">
        <f>SUM(AD22:AD39)</f>
        <v>38797.01872996766</v>
      </c>
      <c r="AE43" s="945"/>
    </row>
    <row r="44" spans="2:31" s="135" customFormat="1" ht="9.75" thickTop="1">
      <c r="B44" s="134"/>
      <c r="C44" s="131"/>
      <c r="D44" s="132" t="s">
        <v>287</v>
      </c>
      <c r="E44" s="330"/>
      <c r="F44" s="331"/>
      <c r="G44" s="332"/>
      <c r="H44" s="331"/>
      <c r="I44" s="214"/>
      <c r="J44" s="214"/>
      <c r="K44" s="214"/>
      <c r="L44" s="214"/>
      <c r="M44" s="214"/>
      <c r="N44" s="214"/>
      <c r="O44" s="333"/>
      <c r="P44" s="214"/>
      <c r="Q44" s="214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334"/>
      <c r="AD44" s="334"/>
      <c r="AE44" s="335"/>
    </row>
    <row r="45" spans="2:31" s="5" customFormat="1" ht="16.5" customHeight="1" thickBot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</row>
    <row r="46" spans="2:31" ht="16.5" customHeight="1" thickTop="1">
      <c r="B46" s="1"/>
      <c r="AE46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6"/>
  <sheetViews>
    <sheetView zoomScale="75" zoomScaleNormal="75" workbookViewId="0" topLeftCell="C8">
      <selection activeCell="D44" sqref="D4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56"/>
    </row>
    <row r="2" spans="1:30" s="18" customFormat="1" ht="26.25">
      <c r="A2" s="91"/>
      <c r="B2" s="19" t="str">
        <f>+'TOT-1007'!B2</f>
        <v>ANEXO V al Memorandum D.T.E.E. N° 1955 /2009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30" s="5" customFormat="1" ht="13.5" thickTop="1">
      <c r="B7" s="69"/>
      <c r="C7" s="70"/>
      <c r="D7" s="70"/>
      <c r="E7" s="21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90" t="s">
        <v>61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9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9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165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9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'TOT-1007'!B14</f>
        <v>Desde el 01 al 31 de octubre de 2007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22"/>
      <c r="O14" s="22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4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23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95</v>
      </c>
      <c r="E16" s="984">
        <v>89.969</v>
      </c>
      <c r="F16" s="22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96</v>
      </c>
      <c r="E17" s="984">
        <v>74.974</v>
      </c>
      <c r="F17" s="226"/>
      <c r="G17" s="4"/>
      <c r="H17" s="4"/>
      <c r="I17" s="4"/>
      <c r="J17" s="232"/>
      <c r="K17" s="233"/>
      <c r="L17" s="4"/>
      <c r="M17" s="4"/>
      <c r="N17" s="4"/>
      <c r="O17" s="4"/>
      <c r="P17" s="4"/>
      <c r="Q17" s="4"/>
      <c r="R17" s="4"/>
      <c r="S17" s="4"/>
      <c r="T17" s="4"/>
      <c r="U17" s="4"/>
      <c r="V17" s="117"/>
      <c r="W17" s="117"/>
      <c r="X17" s="117"/>
      <c r="Y17" s="117"/>
      <c r="Z17" s="117"/>
      <c r="AA17" s="117"/>
      <c r="AB17" s="117"/>
      <c r="AD17" s="17"/>
    </row>
    <row r="18" spans="2:30" s="5" customFormat="1" ht="16.5" customHeight="1" thickBot="1" thickTop="1">
      <c r="B18" s="50"/>
      <c r="C18" s="4"/>
      <c r="D18" s="4"/>
      <c r="E18" s="236"/>
      <c r="F18" s="4"/>
      <c r="G18" s="4"/>
      <c r="H18" s="4"/>
      <c r="I18" s="4"/>
      <c r="J18" s="4"/>
      <c r="K18" s="4"/>
      <c r="L18" s="4"/>
      <c r="M18" s="4"/>
      <c r="N18" s="23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917" t="s">
        <v>14</v>
      </c>
      <c r="F19" s="86" t="s">
        <v>15</v>
      </c>
      <c r="G19" s="239" t="s">
        <v>70</v>
      </c>
      <c r="H19" s="918" t="s">
        <v>39</v>
      </c>
      <c r="I19" s="919" t="s">
        <v>16</v>
      </c>
      <c r="J19" s="85" t="s">
        <v>17</v>
      </c>
      <c r="K19" s="195" t="s">
        <v>18</v>
      </c>
      <c r="L19" s="88" t="s">
        <v>38</v>
      </c>
      <c r="M19" s="86" t="s">
        <v>33</v>
      </c>
      <c r="N19" s="88" t="s">
        <v>19</v>
      </c>
      <c r="O19" s="86" t="s">
        <v>48</v>
      </c>
      <c r="P19" s="195" t="s">
        <v>49</v>
      </c>
      <c r="Q19" s="85" t="s">
        <v>34</v>
      </c>
      <c r="R19" s="146" t="s">
        <v>20</v>
      </c>
      <c r="S19" s="920" t="s">
        <v>21</v>
      </c>
      <c r="T19" s="243" t="s">
        <v>50</v>
      </c>
      <c r="U19" s="244"/>
      <c r="V19" s="245"/>
      <c r="W19" s="921" t="s">
        <v>163</v>
      </c>
      <c r="X19" s="922"/>
      <c r="Y19" s="923"/>
      <c r="Z19" s="249" t="s">
        <v>22</v>
      </c>
      <c r="AA19" s="250" t="s">
        <v>73</v>
      </c>
      <c r="AB19" s="142" t="s">
        <v>74</v>
      </c>
      <c r="AC19" s="142" t="s">
        <v>24</v>
      </c>
      <c r="AD19" s="252"/>
    </row>
    <row r="20" spans="2:30" s="5" customFormat="1" ht="16.5" customHeight="1" thickTop="1">
      <c r="B20" s="50"/>
      <c r="C20" s="198"/>
      <c r="D20" s="967"/>
      <c r="E20" s="967"/>
      <c r="F20" s="985"/>
      <c r="G20" s="966"/>
      <c r="H20" s="968"/>
      <c r="I20" s="969"/>
      <c r="J20" s="980"/>
      <c r="K20" s="980"/>
      <c r="L20" s="966"/>
      <c r="M20" s="966"/>
      <c r="N20" s="966"/>
      <c r="O20" s="966"/>
      <c r="P20" s="966"/>
      <c r="Q20" s="966"/>
      <c r="R20" s="970"/>
      <c r="S20" s="971"/>
      <c r="T20" s="972"/>
      <c r="U20" s="973"/>
      <c r="V20" s="974"/>
      <c r="W20" s="975"/>
      <c r="X20" s="976"/>
      <c r="Y20" s="977"/>
      <c r="Z20" s="978"/>
      <c r="AA20" s="979"/>
      <c r="AB20" s="966"/>
      <c r="AC20" s="924"/>
      <c r="AD20" s="17"/>
    </row>
    <row r="21" spans="2:30" s="5" customFormat="1" ht="16.5" customHeight="1">
      <c r="B21" s="50"/>
      <c r="C21" s="367"/>
      <c r="D21" s="200"/>
      <c r="E21" s="7"/>
      <c r="F21" s="986"/>
      <c r="G21" s="200"/>
      <c r="H21" s="925"/>
      <c r="I21" s="926"/>
      <c r="J21" s="266"/>
      <c r="K21" s="117"/>
      <c r="L21" s="200"/>
      <c r="M21" s="200"/>
      <c r="N21" s="201"/>
      <c r="O21" s="200"/>
      <c r="P21" s="200"/>
      <c r="Q21" s="200"/>
      <c r="R21" s="927"/>
      <c r="S21" s="928"/>
      <c r="T21" s="929"/>
      <c r="U21" s="930"/>
      <c r="V21" s="931"/>
      <c r="W21" s="932"/>
      <c r="X21" s="933"/>
      <c r="Y21" s="934"/>
      <c r="Z21" s="274"/>
      <c r="AA21" s="275"/>
      <c r="AB21" s="200"/>
      <c r="AC21" s="277"/>
      <c r="AD21" s="17"/>
    </row>
    <row r="22" spans="2:30" s="5" customFormat="1" ht="16.5" customHeight="1">
      <c r="B22" s="50"/>
      <c r="C22" s="168">
        <v>19</v>
      </c>
      <c r="D22" s="168" t="s">
        <v>204</v>
      </c>
      <c r="E22" s="203">
        <v>500</v>
      </c>
      <c r="F22" s="987">
        <v>386.70001220703125</v>
      </c>
      <c r="G22" s="203" t="s">
        <v>194</v>
      </c>
      <c r="H22" s="935">
        <f aca="true" t="shared" si="0" ref="H22:H41">IF(G22="A",200,IF(G22="B",60,20))</f>
        <v>200</v>
      </c>
      <c r="I22" s="936">
        <f aca="true" t="shared" si="1" ref="I22:I41">IF(E22=500,IF(F22&lt;100,100*$E$16/100,F22*$E$16/100),IF(F22&lt;100,100*$E$17/100,F22*$E$17/100))</f>
        <v>347.9101339825439</v>
      </c>
      <c r="J22" s="937">
        <v>39380.54513888889</v>
      </c>
      <c r="K22" s="938">
        <v>39380.552083333336</v>
      </c>
      <c r="L22" s="206">
        <f aca="true" t="shared" si="2" ref="L22:L41">IF(D22="","",(K22-J22)*24)</f>
        <v>0.16666666668606922</v>
      </c>
      <c r="M22" s="207">
        <f aca="true" t="shared" si="3" ref="M22:M41">IF(D22="","",ROUND((K22-J22)*24*60,0))</f>
        <v>10</v>
      </c>
      <c r="N22" s="281" t="s">
        <v>190</v>
      </c>
      <c r="O22" s="208" t="str">
        <f aca="true" t="shared" si="4" ref="O22:O41">IF(D22="","","--")</f>
        <v>--</v>
      </c>
      <c r="P22" s="166" t="str">
        <f aca="true" t="shared" si="5" ref="P22:P41">IF(D22="","","NO")</f>
        <v>NO</v>
      </c>
      <c r="Q22" s="166" t="str">
        <f aca="true" t="shared" si="6" ref="Q22:Q41">IF(D22="","",IF(OR(N22="P",N22="RP"),"--","NO"))</f>
        <v>NO</v>
      </c>
      <c r="R22" s="939" t="str">
        <f aca="true" t="shared" si="7" ref="R22:R41">IF(N22="P",I22*H22*ROUND(M22/60,2)*0.01,"--")</f>
        <v>--</v>
      </c>
      <c r="S22" s="940" t="str">
        <f aca="true" t="shared" si="8" ref="S22:S41">IF(N22="RP",I22*H22*ROUND(M22/60,2)*0.01*O22/100,"--")</f>
        <v>--</v>
      </c>
      <c r="T22" s="286">
        <f aca="true" t="shared" si="9" ref="T22:T41">IF(AND(N22="F",Q22="NO"),I22*H22*IF(P22="SI",1.2,1),"--")</f>
        <v>69582.02679650878</v>
      </c>
      <c r="U22" s="287">
        <f aca="true" t="shared" si="10" ref="U22:U41">IF(AND(N22="F",M22&gt;=10),I22*H22*IF(P22="SI",1.2,1)*IF(M22&lt;=300,ROUND(M22/60,2),5),"--")</f>
        <v>11828.944555406495</v>
      </c>
      <c r="V22" s="288" t="str">
        <f aca="true" t="shared" si="11" ref="V22:V41">IF(AND(N22="F",M22&gt;300),(ROUND(M22/60,2)-5)*I22*H22*0.1*IF(P22="SI",1.2,1),"--")</f>
        <v>--</v>
      </c>
      <c r="W22" s="941" t="str">
        <f aca="true" t="shared" si="12" ref="W22:W41">IF(AND(N22="R",Q22="NO"),I22*H22*O22/100*IF(P22="SI",1.2,1),"--")</f>
        <v>--</v>
      </c>
      <c r="X22" s="942" t="str">
        <f aca="true" t="shared" si="13" ref="X22:X41">IF(AND(N22="R",M22&gt;=10),I22*H22*O22/100*IF(P22="SI",1.2,1)*IF(M22&lt;=300,ROUND(M22/60,2),5),"--")</f>
        <v>--</v>
      </c>
      <c r="Y22" s="943" t="str">
        <f aca="true" t="shared" si="14" ref="Y22:Y41">IF(AND(N22="R",M22&gt;300),(ROUND(M22/60,2)-5)*I22*H22*0.1*O22/100*IF(P22="SI",1.2,1),"--")</f>
        <v>--</v>
      </c>
      <c r="Z22" s="292" t="str">
        <f aca="true" t="shared" si="15" ref="Z22:Z41">IF(N22="RF",ROUND(M22/60,2)*I22*H22*0.1*IF(P22="SI",1.2,1),"--")</f>
        <v>--</v>
      </c>
      <c r="AA22" s="293" t="str">
        <f aca="true" t="shared" si="16" ref="AA22:AA41">IF(N22="RR",ROUND(M22/60,2)*I22*H22*0.1*O22/100*IF(P22="SI",1.2,1),"--")</f>
        <v>--</v>
      </c>
      <c r="AB22" s="944" t="s">
        <v>188</v>
      </c>
      <c r="AC22" s="16">
        <f aca="true" t="shared" si="17" ref="AC22:AC41">IF(D22="","",SUM(R22:AA22)*IF(AB22="SI",1,2))</f>
        <v>81410.97135191527</v>
      </c>
      <c r="AD22" s="945"/>
    </row>
    <row r="23" spans="2:30" s="5" customFormat="1" ht="16.5" customHeight="1">
      <c r="B23" s="50"/>
      <c r="C23" s="367"/>
      <c r="D23" s="168"/>
      <c r="E23" s="203"/>
      <c r="F23" s="987"/>
      <c r="G23" s="203"/>
      <c r="H23" s="935">
        <f t="shared" si="0"/>
        <v>20</v>
      </c>
      <c r="I23" s="936">
        <f t="shared" si="1"/>
        <v>74.974</v>
      </c>
      <c r="J23" s="937"/>
      <c r="K23" s="938"/>
      <c r="L23" s="206">
        <f t="shared" si="2"/>
      </c>
      <c r="M23" s="207">
        <f t="shared" si="3"/>
      </c>
      <c r="N23" s="281"/>
      <c r="O23" s="208">
        <f t="shared" si="4"/>
      </c>
      <c r="P23" s="166">
        <f t="shared" si="5"/>
      </c>
      <c r="Q23" s="166">
        <f t="shared" si="6"/>
      </c>
      <c r="R23" s="939" t="str">
        <f t="shared" si="7"/>
        <v>--</v>
      </c>
      <c r="S23" s="940" t="str">
        <f t="shared" si="8"/>
        <v>--</v>
      </c>
      <c r="T23" s="286" t="str">
        <f t="shared" si="9"/>
        <v>--</v>
      </c>
      <c r="U23" s="287" t="str">
        <f t="shared" si="10"/>
        <v>--</v>
      </c>
      <c r="V23" s="288" t="str">
        <f t="shared" si="11"/>
        <v>--</v>
      </c>
      <c r="W23" s="941" t="str">
        <f t="shared" si="12"/>
        <v>--</v>
      </c>
      <c r="X23" s="942" t="str">
        <f t="shared" si="13"/>
        <v>--</v>
      </c>
      <c r="Y23" s="943" t="str">
        <f t="shared" si="14"/>
        <v>--</v>
      </c>
      <c r="Z23" s="292" t="str">
        <f t="shared" si="15"/>
        <v>--</v>
      </c>
      <c r="AA23" s="293" t="str">
        <f t="shared" si="16"/>
        <v>--</v>
      </c>
      <c r="AB23" s="944">
        <f aca="true" t="shared" si="18" ref="AB23:AB41">IF(D23="","","SI")</f>
      </c>
      <c r="AC23" s="16">
        <f t="shared" si="17"/>
      </c>
      <c r="AD23" s="945"/>
    </row>
    <row r="24" spans="2:30" s="5" customFormat="1" ht="16.5" customHeight="1">
      <c r="B24" s="50"/>
      <c r="C24" s="168"/>
      <c r="D24" s="946"/>
      <c r="E24" s="947"/>
      <c r="F24" s="988"/>
      <c r="G24" s="947"/>
      <c r="H24" s="935">
        <f t="shared" si="0"/>
        <v>20</v>
      </c>
      <c r="I24" s="936">
        <f t="shared" si="1"/>
        <v>74.974</v>
      </c>
      <c r="J24" s="948"/>
      <c r="K24" s="949"/>
      <c r="L24" s="206">
        <f t="shared" si="2"/>
      </c>
      <c r="M24" s="207">
        <f t="shared" si="3"/>
      </c>
      <c r="N24" s="281"/>
      <c r="O24" s="208">
        <f t="shared" si="4"/>
      </c>
      <c r="P24" s="166">
        <f t="shared" si="5"/>
      </c>
      <c r="Q24" s="166">
        <f t="shared" si="6"/>
      </c>
      <c r="R24" s="939" t="str">
        <f t="shared" si="7"/>
        <v>--</v>
      </c>
      <c r="S24" s="940" t="str">
        <f t="shared" si="8"/>
        <v>--</v>
      </c>
      <c r="T24" s="286" t="str">
        <f t="shared" si="9"/>
        <v>--</v>
      </c>
      <c r="U24" s="287" t="str">
        <f t="shared" si="10"/>
        <v>--</v>
      </c>
      <c r="V24" s="288" t="str">
        <f t="shared" si="11"/>
        <v>--</v>
      </c>
      <c r="W24" s="941" t="str">
        <f t="shared" si="12"/>
        <v>--</v>
      </c>
      <c r="X24" s="942" t="str">
        <f t="shared" si="13"/>
        <v>--</v>
      </c>
      <c r="Y24" s="943" t="str">
        <f t="shared" si="14"/>
        <v>--</v>
      </c>
      <c r="Z24" s="292" t="str">
        <f t="shared" si="15"/>
        <v>--</v>
      </c>
      <c r="AA24" s="293" t="str">
        <f t="shared" si="16"/>
        <v>--</v>
      </c>
      <c r="AB24" s="944">
        <f t="shared" si="18"/>
      </c>
      <c r="AC24" s="16">
        <f t="shared" si="17"/>
      </c>
      <c r="AD24" s="945"/>
    </row>
    <row r="25" spans="2:30" s="5" customFormat="1" ht="16.5" customHeight="1">
      <c r="B25" s="50"/>
      <c r="C25" s="367"/>
      <c r="D25" s="946"/>
      <c r="E25" s="947"/>
      <c r="F25" s="988"/>
      <c r="G25" s="947"/>
      <c r="H25" s="935">
        <f t="shared" si="0"/>
        <v>20</v>
      </c>
      <c r="I25" s="936">
        <f t="shared" si="1"/>
        <v>74.974</v>
      </c>
      <c r="J25" s="948"/>
      <c r="K25" s="949"/>
      <c r="L25" s="206">
        <f t="shared" si="2"/>
      </c>
      <c r="M25" s="207">
        <f t="shared" si="3"/>
      </c>
      <c r="N25" s="281"/>
      <c r="O25" s="208">
        <f t="shared" si="4"/>
      </c>
      <c r="P25" s="166">
        <f t="shared" si="5"/>
      </c>
      <c r="Q25" s="166">
        <f t="shared" si="6"/>
      </c>
      <c r="R25" s="939" t="str">
        <f t="shared" si="7"/>
        <v>--</v>
      </c>
      <c r="S25" s="940" t="str">
        <f t="shared" si="8"/>
        <v>--</v>
      </c>
      <c r="T25" s="286" t="str">
        <f t="shared" si="9"/>
        <v>--</v>
      </c>
      <c r="U25" s="287" t="str">
        <f t="shared" si="10"/>
        <v>--</v>
      </c>
      <c r="V25" s="288" t="str">
        <f t="shared" si="11"/>
        <v>--</v>
      </c>
      <c r="W25" s="941" t="str">
        <f t="shared" si="12"/>
        <v>--</v>
      </c>
      <c r="X25" s="942" t="str">
        <f t="shared" si="13"/>
        <v>--</v>
      </c>
      <c r="Y25" s="943" t="str">
        <f t="shared" si="14"/>
        <v>--</v>
      </c>
      <c r="Z25" s="292" t="str">
        <f t="shared" si="15"/>
        <v>--</v>
      </c>
      <c r="AA25" s="293" t="str">
        <f t="shared" si="16"/>
        <v>--</v>
      </c>
      <c r="AB25" s="944">
        <f t="shared" si="18"/>
      </c>
      <c r="AC25" s="16">
        <f t="shared" si="17"/>
      </c>
      <c r="AD25" s="945"/>
    </row>
    <row r="26" spans="2:30" s="5" customFormat="1" ht="16.5" customHeight="1">
      <c r="B26" s="50"/>
      <c r="C26" s="168"/>
      <c r="D26" s="168"/>
      <c r="E26" s="203"/>
      <c r="F26" s="987"/>
      <c r="G26" s="203"/>
      <c r="H26" s="935">
        <f t="shared" si="0"/>
        <v>20</v>
      </c>
      <c r="I26" s="936">
        <f t="shared" si="1"/>
        <v>74.974</v>
      </c>
      <c r="J26" s="937"/>
      <c r="K26" s="938"/>
      <c r="L26" s="206">
        <f t="shared" si="2"/>
      </c>
      <c r="M26" s="207">
        <f t="shared" si="3"/>
      </c>
      <c r="N26" s="281"/>
      <c r="O26" s="208">
        <f t="shared" si="4"/>
      </c>
      <c r="P26" s="166">
        <f t="shared" si="5"/>
      </c>
      <c r="Q26" s="166">
        <f t="shared" si="6"/>
      </c>
      <c r="R26" s="939" t="str">
        <f t="shared" si="7"/>
        <v>--</v>
      </c>
      <c r="S26" s="940" t="str">
        <f t="shared" si="8"/>
        <v>--</v>
      </c>
      <c r="T26" s="286" t="str">
        <f t="shared" si="9"/>
        <v>--</v>
      </c>
      <c r="U26" s="287" t="str">
        <f t="shared" si="10"/>
        <v>--</v>
      </c>
      <c r="V26" s="288" t="str">
        <f t="shared" si="11"/>
        <v>--</v>
      </c>
      <c r="W26" s="941" t="str">
        <f t="shared" si="12"/>
        <v>--</v>
      </c>
      <c r="X26" s="942" t="str">
        <f t="shared" si="13"/>
        <v>--</v>
      </c>
      <c r="Y26" s="943" t="str">
        <f t="shared" si="14"/>
        <v>--</v>
      </c>
      <c r="Z26" s="292" t="str">
        <f t="shared" si="15"/>
        <v>--</v>
      </c>
      <c r="AA26" s="293" t="str">
        <f t="shared" si="16"/>
        <v>--</v>
      </c>
      <c r="AB26" s="944">
        <f t="shared" si="18"/>
      </c>
      <c r="AC26" s="16">
        <f t="shared" si="17"/>
      </c>
      <c r="AD26" s="945"/>
    </row>
    <row r="27" spans="2:30" s="5" customFormat="1" ht="16.5" customHeight="1">
      <c r="B27" s="50"/>
      <c r="C27" s="367"/>
      <c r="D27" s="168"/>
      <c r="E27" s="203"/>
      <c r="F27" s="987"/>
      <c r="G27" s="203"/>
      <c r="H27" s="935">
        <f t="shared" si="0"/>
        <v>20</v>
      </c>
      <c r="I27" s="936">
        <f t="shared" si="1"/>
        <v>74.974</v>
      </c>
      <c r="J27" s="937"/>
      <c r="K27" s="938"/>
      <c r="L27" s="206">
        <f t="shared" si="2"/>
      </c>
      <c r="M27" s="207">
        <f t="shared" si="3"/>
      </c>
      <c r="N27" s="281"/>
      <c r="O27" s="208">
        <f t="shared" si="4"/>
      </c>
      <c r="P27" s="166">
        <f t="shared" si="5"/>
      </c>
      <c r="Q27" s="166">
        <f t="shared" si="6"/>
      </c>
      <c r="R27" s="939" t="str">
        <f t="shared" si="7"/>
        <v>--</v>
      </c>
      <c r="S27" s="940" t="str">
        <f t="shared" si="8"/>
        <v>--</v>
      </c>
      <c r="T27" s="286" t="str">
        <f t="shared" si="9"/>
        <v>--</v>
      </c>
      <c r="U27" s="287" t="str">
        <f t="shared" si="10"/>
        <v>--</v>
      </c>
      <c r="V27" s="288" t="str">
        <f t="shared" si="11"/>
        <v>--</v>
      </c>
      <c r="W27" s="941" t="str">
        <f t="shared" si="12"/>
        <v>--</v>
      </c>
      <c r="X27" s="942" t="str">
        <f t="shared" si="13"/>
        <v>--</v>
      </c>
      <c r="Y27" s="943" t="str">
        <f t="shared" si="14"/>
        <v>--</v>
      </c>
      <c r="Z27" s="292" t="str">
        <f t="shared" si="15"/>
        <v>--</v>
      </c>
      <c r="AA27" s="293" t="str">
        <f t="shared" si="16"/>
        <v>--</v>
      </c>
      <c r="AB27" s="944">
        <f t="shared" si="18"/>
      </c>
      <c r="AC27" s="16">
        <f t="shared" si="17"/>
      </c>
      <c r="AD27" s="945"/>
    </row>
    <row r="28" spans="2:30" s="5" customFormat="1" ht="16.5" customHeight="1">
      <c r="B28" s="50"/>
      <c r="C28" s="168"/>
      <c r="D28" s="158"/>
      <c r="E28" s="160"/>
      <c r="F28" s="989"/>
      <c r="G28" s="160"/>
      <c r="H28" s="935">
        <f t="shared" si="0"/>
        <v>20</v>
      </c>
      <c r="I28" s="936">
        <f t="shared" si="1"/>
        <v>74.974</v>
      </c>
      <c r="J28" s="204"/>
      <c r="K28" s="280"/>
      <c r="L28" s="206">
        <f t="shared" si="2"/>
      </c>
      <c r="M28" s="207">
        <f t="shared" si="3"/>
      </c>
      <c r="N28" s="281"/>
      <c r="O28" s="208">
        <f t="shared" si="4"/>
      </c>
      <c r="P28" s="166">
        <f t="shared" si="5"/>
      </c>
      <c r="Q28" s="166">
        <f t="shared" si="6"/>
      </c>
      <c r="R28" s="939" t="str">
        <f t="shared" si="7"/>
        <v>--</v>
      </c>
      <c r="S28" s="940" t="str">
        <f t="shared" si="8"/>
        <v>--</v>
      </c>
      <c r="T28" s="286" t="str">
        <f t="shared" si="9"/>
        <v>--</v>
      </c>
      <c r="U28" s="287" t="str">
        <f t="shared" si="10"/>
        <v>--</v>
      </c>
      <c r="V28" s="288" t="str">
        <f t="shared" si="11"/>
        <v>--</v>
      </c>
      <c r="W28" s="941" t="str">
        <f t="shared" si="12"/>
        <v>--</v>
      </c>
      <c r="X28" s="942" t="str">
        <f t="shared" si="13"/>
        <v>--</v>
      </c>
      <c r="Y28" s="943" t="str">
        <f t="shared" si="14"/>
        <v>--</v>
      </c>
      <c r="Z28" s="292" t="str">
        <f t="shared" si="15"/>
        <v>--</v>
      </c>
      <c r="AA28" s="293" t="str">
        <f t="shared" si="16"/>
        <v>--</v>
      </c>
      <c r="AB28" s="944">
        <f t="shared" si="18"/>
      </c>
      <c r="AC28" s="16">
        <f t="shared" si="17"/>
      </c>
      <c r="AD28" s="945"/>
    </row>
    <row r="29" spans="2:30" s="5" customFormat="1" ht="16.5" customHeight="1">
      <c r="B29" s="50"/>
      <c r="C29" s="367"/>
      <c r="D29" s="158"/>
      <c r="E29" s="160"/>
      <c r="F29" s="989"/>
      <c r="G29" s="160"/>
      <c r="H29" s="935">
        <f t="shared" si="0"/>
        <v>20</v>
      </c>
      <c r="I29" s="936">
        <f t="shared" si="1"/>
        <v>74.974</v>
      </c>
      <c r="J29" s="204"/>
      <c r="K29" s="280"/>
      <c r="L29" s="206">
        <f t="shared" si="2"/>
      </c>
      <c r="M29" s="207">
        <f t="shared" si="3"/>
      </c>
      <c r="N29" s="281"/>
      <c r="O29" s="208">
        <f t="shared" si="4"/>
      </c>
      <c r="P29" s="166">
        <f t="shared" si="5"/>
      </c>
      <c r="Q29" s="166">
        <f t="shared" si="6"/>
      </c>
      <c r="R29" s="939" t="str">
        <f t="shared" si="7"/>
        <v>--</v>
      </c>
      <c r="S29" s="940" t="str">
        <f t="shared" si="8"/>
        <v>--</v>
      </c>
      <c r="T29" s="286" t="str">
        <f t="shared" si="9"/>
        <v>--</v>
      </c>
      <c r="U29" s="287" t="str">
        <f t="shared" si="10"/>
        <v>--</v>
      </c>
      <c r="V29" s="288" t="str">
        <f t="shared" si="11"/>
        <v>--</v>
      </c>
      <c r="W29" s="941" t="str">
        <f t="shared" si="12"/>
        <v>--</v>
      </c>
      <c r="X29" s="942" t="str">
        <f t="shared" si="13"/>
        <v>--</v>
      </c>
      <c r="Y29" s="943" t="str">
        <f t="shared" si="14"/>
        <v>--</v>
      </c>
      <c r="Z29" s="292" t="str">
        <f t="shared" si="15"/>
        <v>--</v>
      </c>
      <c r="AA29" s="293" t="str">
        <f t="shared" si="16"/>
        <v>--</v>
      </c>
      <c r="AB29" s="944">
        <f t="shared" si="18"/>
      </c>
      <c r="AC29" s="16">
        <f t="shared" si="17"/>
      </c>
      <c r="AD29" s="945"/>
    </row>
    <row r="30" spans="2:30" s="5" customFormat="1" ht="16.5" customHeight="1">
      <c r="B30" s="50"/>
      <c r="C30" s="168"/>
      <c r="D30" s="158"/>
      <c r="E30" s="160"/>
      <c r="F30" s="989"/>
      <c r="G30" s="160"/>
      <c r="H30" s="935">
        <f t="shared" si="0"/>
        <v>20</v>
      </c>
      <c r="I30" s="936">
        <f t="shared" si="1"/>
        <v>74.974</v>
      </c>
      <c r="J30" s="204"/>
      <c r="K30" s="280"/>
      <c r="L30" s="206">
        <f t="shared" si="2"/>
      </c>
      <c r="M30" s="207">
        <f t="shared" si="3"/>
      </c>
      <c r="N30" s="281"/>
      <c r="O30" s="208">
        <f t="shared" si="4"/>
      </c>
      <c r="P30" s="166">
        <f t="shared" si="5"/>
      </c>
      <c r="Q30" s="166">
        <f t="shared" si="6"/>
      </c>
      <c r="R30" s="939" t="str">
        <f t="shared" si="7"/>
        <v>--</v>
      </c>
      <c r="S30" s="940" t="str">
        <f t="shared" si="8"/>
        <v>--</v>
      </c>
      <c r="T30" s="286" t="str">
        <f t="shared" si="9"/>
        <v>--</v>
      </c>
      <c r="U30" s="287" t="str">
        <f t="shared" si="10"/>
        <v>--</v>
      </c>
      <c r="V30" s="288" t="str">
        <f t="shared" si="11"/>
        <v>--</v>
      </c>
      <c r="W30" s="941" t="str">
        <f t="shared" si="12"/>
        <v>--</v>
      </c>
      <c r="X30" s="942" t="str">
        <f t="shared" si="13"/>
        <v>--</v>
      </c>
      <c r="Y30" s="943" t="str">
        <f t="shared" si="14"/>
        <v>--</v>
      </c>
      <c r="Z30" s="292" t="str">
        <f t="shared" si="15"/>
        <v>--</v>
      </c>
      <c r="AA30" s="293" t="str">
        <f t="shared" si="16"/>
        <v>--</v>
      </c>
      <c r="AB30" s="944">
        <f t="shared" si="18"/>
      </c>
      <c r="AC30" s="16">
        <f t="shared" si="17"/>
      </c>
      <c r="AD30" s="945"/>
    </row>
    <row r="31" spans="2:30" s="5" customFormat="1" ht="16.5" customHeight="1">
      <c r="B31" s="50"/>
      <c r="C31" s="367"/>
      <c r="D31" s="158"/>
      <c r="E31" s="160"/>
      <c r="F31" s="989"/>
      <c r="G31" s="160"/>
      <c r="H31" s="935">
        <f t="shared" si="0"/>
        <v>20</v>
      </c>
      <c r="I31" s="936">
        <f t="shared" si="1"/>
        <v>74.974</v>
      </c>
      <c r="J31" s="204"/>
      <c r="K31" s="280"/>
      <c r="L31" s="206">
        <f t="shared" si="2"/>
      </c>
      <c r="M31" s="207">
        <f t="shared" si="3"/>
      </c>
      <c r="N31" s="281"/>
      <c r="O31" s="208">
        <f t="shared" si="4"/>
      </c>
      <c r="P31" s="166">
        <f t="shared" si="5"/>
      </c>
      <c r="Q31" s="166">
        <f t="shared" si="6"/>
      </c>
      <c r="R31" s="939" t="str">
        <f t="shared" si="7"/>
        <v>--</v>
      </c>
      <c r="S31" s="940" t="str">
        <f t="shared" si="8"/>
        <v>--</v>
      </c>
      <c r="T31" s="286" t="str">
        <f t="shared" si="9"/>
        <v>--</v>
      </c>
      <c r="U31" s="287" t="str">
        <f t="shared" si="10"/>
        <v>--</v>
      </c>
      <c r="V31" s="288" t="str">
        <f t="shared" si="11"/>
        <v>--</v>
      </c>
      <c r="W31" s="941" t="str">
        <f t="shared" si="12"/>
        <v>--</v>
      </c>
      <c r="X31" s="942" t="str">
        <f t="shared" si="13"/>
        <v>--</v>
      </c>
      <c r="Y31" s="943" t="str">
        <f t="shared" si="14"/>
        <v>--</v>
      </c>
      <c r="Z31" s="292" t="str">
        <f t="shared" si="15"/>
        <v>--</v>
      </c>
      <c r="AA31" s="293" t="str">
        <f t="shared" si="16"/>
        <v>--</v>
      </c>
      <c r="AB31" s="944">
        <f t="shared" si="18"/>
      </c>
      <c r="AC31" s="16">
        <f t="shared" si="17"/>
      </c>
      <c r="AD31" s="945"/>
    </row>
    <row r="32" spans="2:30" s="5" customFormat="1" ht="16.5" customHeight="1">
      <c r="B32" s="50"/>
      <c r="C32" s="168"/>
      <c r="D32" s="158"/>
      <c r="E32" s="160"/>
      <c r="F32" s="989"/>
      <c r="G32" s="160"/>
      <c r="H32" s="935">
        <f t="shared" si="0"/>
        <v>20</v>
      </c>
      <c r="I32" s="936">
        <f t="shared" si="1"/>
        <v>74.974</v>
      </c>
      <c r="J32" s="204"/>
      <c r="K32" s="280"/>
      <c r="L32" s="206">
        <f t="shared" si="2"/>
      </c>
      <c r="M32" s="207">
        <f t="shared" si="3"/>
      </c>
      <c r="N32" s="281"/>
      <c r="O32" s="208">
        <f t="shared" si="4"/>
      </c>
      <c r="P32" s="166">
        <f t="shared" si="5"/>
      </c>
      <c r="Q32" s="166">
        <f t="shared" si="6"/>
      </c>
      <c r="R32" s="939" t="str">
        <f t="shared" si="7"/>
        <v>--</v>
      </c>
      <c r="S32" s="940" t="str">
        <f t="shared" si="8"/>
        <v>--</v>
      </c>
      <c r="T32" s="286" t="str">
        <f t="shared" si="9"/>
        <v>--</v>
      </c>
      <c r="U32" s="287" t="str">
        <f t="shared" si="10"/>
        <v>--</v>
      </c>
      <c r="V32" s="288" t="str">
        <f t="shared" si="11"/>
        <v>--</v>
      </c>
      <c r="W32" s="941" t="str">
        <f t="shared" si="12"/>
        <v>--</v>
      </c>
      <c r="X32" s="942" t="str">
        <f t="shared" si="13"/>
        <v>--</v>
      </c>
      <c r="Y32" s="943" t="str">
        <f t="shared" si="14"/>
        <v>--</v>
      </c>
      <c r="Z32" s="292" t="str">
        <f t="shared" si="15"/>
        <v>--</v>
      </c>
      <c r="AA32" s="293" t="str">
        <f t="shared" si="16"/>
        <v>--</v>
      </c>
      <c r="AB32" s="944">
        <f t="shared" si="18"/>
      </c>
      <c r="AC32" s="16">
        <f t="shared" si="17"/>
      </c>
      <c r="AD32" s="945"/>
    </row>
    <row r="33" spans="2:30" s="5" customFormat="1" ht="16.5" customHeight="1">
      <c r="B33" s="50"/>
      <c r="C33" s="367"/>
      <c r="D33" s="158"/>
      <c r="E33" s="160"/>
      <c r="F33" s="989"/>
      <c r="G33" s="160"/>
      <c r="H33" s="935">
        <f t="shared" si="0"/>
        <v>20</v>
      </c>
      <c r="I33" s="936">
        <f t="shared" si="1"/>
        <v>74.974</v>
      </c>
      <c r="J33" s="204"/>
      <c r="K33" s="205"/>
      <c r="L33" s="206">
        <f t="shared" si="2"/>
      </c>
      <c r="M33" s="207">
        <f t="shared" si="3"/>
      </c>
      <c r="N33" s="281"/>
      <c r="O33" s="208">
        <f t="shared" si="4"/>
      </c>
      <c r="P33" s="166">
        <f t="shared" si="5"/>
      </c>
      <c r="Q33" s="166">
        <f t="shared" si="6"/>
      </c>
      <c r="R33" s="939" t="str">
        <f t="shared" si="7"/>
        <v>--</v>
      </c>
      <c r="S33" s="940" t="str">
        <f t="shared" si="8"/>
        <v>--</v>
      </c>
      <c r="T33" s="286" t="str">
        <f t="shared" si="9"/>
        <v>--</v>
      </c>
      <c r="U33" s="287" t="str">
        <f t="shared" si="10"/>
        <v>--</v>
      </c>
      <c r="V33" s="288" t="str">
        <f t="shared" si="11"/>
        <v>--</v>
      </c>
      <c r="W33" s="941" t="str">
        <f t="shared" si="12"/>
        <v>--</v>
      </c>
      <c r="X33" s="942" t="str">
        <f t="shared" si="13"/>
        <v>--</v>
      </c>
      <c r="Y33" s="943" t="str">
        <f t="shared" si="14"/>
        <v>--</v>
      </c>
      <c r="Z33" s="292" t="str">
        <f t="shared" si="15"/>
        <v>--</v>
      </c>
      <c r="AA33" s="293" t="str">
        <f t="shared" si="16"/>
        <v>--</v>
      </c>
      <c r="AB33" s="944">
        <f t="shared" si="18"/>
      </c>
      <c r="AC33" s="16">
        <f t="shared" si="17"/>
      </c>
      <c r="AD33" s="945"/>
    </row>
    <row r="34" spans="2:30" s="5" customFormat="1" ht="16.5" customHeight="1">
      <c r="B34" s="50"/>
      <c r="C34" s="168"/>
      <c r="D34" s="158"/>
      <c r="E34" s="160"/>
      <c r="F34" s="989"/>
      <c r="G34" s="160"/>
      <c r="H34" s="935">
        <f t="shared" si="0"/>
        <v>20</v>
      </c>
      <c r="I34" s="936">
        <f t="shared" si="1"/>
        <v>74.974</v>
      </c>
      <c r="J34" s="204"/>
      <c r="K34" s="205"/>
      <c r="L34" s="206">
        <f t="shared" si="2"/>
      </c>
      <c r="M34" s="207">
        <f t="shared" si="3"/>
      </c>
      <c r="N34" s="281"/>
      <c r="O34" s="208">
        <f t="shared" si="4"/>
      </c>
      <c r="P34" s="166">
        <f t="shared" si="5"/>
      </c>
      <c r="Q34" s="166">
        <f t="shared" si="6"/>
      </c>
      <c r="R34" s="939" t="str">
        <f t="shared" si="7"/>
        <v>--</v>
      </c>
      <c r="S34" s="940" t="str">
        <f t="shared" si="8"/>
        <v>--</v>
      </c>
      <c r="T34" s="286" t="str">
        <f t="shared" si="9"/>
        <v>--</v>
      </c>
      <c r="U34" s="287" t="str">
        <f t="shared" si="10"/>
        <v>--</v>
      </c>
      <c r="V34" s="288" t="str">
        <f t="shared" si="11"/>
        <v>--</v>
      </c>
      <c r="W34" s="941" t="str">
        <f t="shared" si="12"/>
        <v>--</v>
      </c>
      <c r="X34" s="942" t="str">
        <f t="shared" si="13"/>
        <v>--</v>
      </c>
      <c r="Y34" s="943" t="str">
        <f t="shared" si="14"/>
        <v>--</v>
      </c>
      <c r="Z34" s="292" t="str">
        <f t="shared" si="15"/>
        <v>--</v>
      </c>
      <c r="AA34" s="293" t="str">
        <f t="shared" si="16"/>
        <v>--</v>
      </c>
      <c r="AB34" s="944">
        <f t="shared" si="18"/>
      </c>
      <c r="AC34" s="16">
        <f t="shared" si="17"/>
      </c>
      <c r="AD34" s="945"/>
    </row>
    <row r="35" spans="2:30" s="5" customFormat="1" ht="16.5" customHeight="1">
      <c r="B35" s="50"/>
      <c r="C35" s="367"/>
      <c r="D35" s="158"/>
      <c r="E35" s="160"/>
      <c r="F35" s="989"/>
      <c r="G35" s="160"/>
      <c r="H35" s="935">
        <f t="shared" si="0"/>
        <v>20</v>
      </c>
      <c r="I35" s="936">
        <f t="shared" si="1"/>
        <v>74.974</v>
      </c>
      <c r="J35" s="204"/>
      <c r="K35" s="205"/>
      <c r="L35" s="206">
        <f t="shared" si="2"/>
      </c>
      <c r="M35" s="207">
        <f t="shared" si="3"/>
      </c>
      <c r="N35" s="281"/>
      <c r="O35" s="208">
        <f t="shared" si="4"/>
      </c>
      <c r="P35" s="166">
        <f t="shared" si="5"/>
      </c>
      <c r="Q35" s="166">
        <f t="shared" si="6"/>
      </c>
      <c r="R35" s="939" t="str">
        <f t="shared" si="7"/>
        <v>--</v>
      </c>
      <c r="S35" s="940" t="str">
        <f t="shared" si="8"/>
        <v>--</v>
      </c>
      <c r="T35" s="286" t="str">
        <f t="shared" si="9"/>
        <v>--</v>
      </c>
      <c r="U35" s="287" t="str">
        <f t="shared" si="10"/>
        <v>--</v>
      </c>
      <c r="V35" s="288" t="str">
        <f t="shared" si="11"/>
        <v>--</v>
      </c>
      <c r="W35" s="941" t="str">
        <f t="shared" si="12"/>
        <v>--</v>
      </c>
      <c r="X35" s="942" t="str">
        <f t="shared" si="13"/>
        <v>--</v>
      </c>
      <c r="Y35" s="943" t="str">
        <f t="shared" si="14"/>
        <v>--</v>
      </c>
      <c r="Z35" s="292" t="str">
        <f t="shared" si="15"/>
        <v>--</v>
      </c>
      <c r="AA35" s="293" t="str">
        <f t="shared" si="16"/>
        <v>--</v>
      </c>
      <c r="AB35" s="944">
        <f t="shared" si="18"/>
      </c>
      <c r="AC35" s="16">
        <f t="shared" si="17"/>
      </c>
      <c r="AD35" s="945"/>
    </row>
    <row r="36" spans="2:30" s="5" customFormat="1" ht="16.5" customHeight="1">
      <c r="B36" s="50"/>
      <c r="C36" s="168"/>
      <c r="D36" s="158"/>
      <c r="E36" s="160"/>
      <c r="F36" s="989"/>
      <c r="G36" s="160"/>
      <c r="H36" s="935">
        <f t="shared" si="0"/>
        <v>20</v>
      </c>
      <c r="I36" s="936">
        <f t="shared" si="1"/>
        <v>74.974</v>
      </c>
      <c r="J36" s="204"/>
      <c r="K36" s="205"/>
      <c r="L36" s="206">
        <f t="shared" si="2"/>
      </c>
      <c r="M36" s="207">
        <f t="shared" si="3"/>
      </c>
      <c r="N36" s="281"/>
      <c r="O36" s="208">
        <f t="shared" si="4"/>
      </c>
      <c r="P36" s="166">
        <f t="shared" si="5"/>
      </c>
      <c r="Q36" s="166">
        <f t="shared" si="6"/>
      </c>
      <c r="R36" s="939" t="str">
        <f t="shared" si="7"/>
        <v>--</v>
      </c>
      <c r="S36" s="940" t="str">
        <f t="shared" si="8"/>
        <v>--</v>
      </c>
      <c r="T36" s="286" t="str">
        <f t="shared" si="9"/>
        <v>--</v>
      </c>
      <c r="U36" s="287" t="str">
        <f t="shared" si="10"/>
        <v>--</v>
      </c>
      <c r="V36" s="288" t="str">
        <f t="shared" si="11"/>
        <v>--</v>
      </c>
      <c r="W36" s="941" t="str">
        <f t="shared" si="12"/>
        <v>--</v>
      </c>
      <c r="X36" s="942" t="str">
        <f t="shared" si="13"/>
        <v>--</v>
      </c>
      <c r="Y36" s="943" t="str">
        <f t="shared" si="14"/>
        <v>--</v>
      </c>
      <c r="Z36" s="292" t="str">
        <f t="shared" si="15"/>
        <v>--</v>
      </c>
      <c r="AA36" s="293" t="str">
        <f t="shared" si="16"/>
        <v>--</v>
      </c>
      <c r="AB36" s="944">
        <f t="shared" si="18"/>
      </c>
      <c r="AC36" s="16">
        <f t="shared" si="17"/>
      </c>
      <c r="AD36" s="945"/>
    </row>
    <row r="37" spans="2:30" s="5" customFormat="1" ht="16.5" customHeight="1">
      <c r="B37" s="50"/>
      <c r="C37" s="367"/>
      <c r="D37" s="158"/>
      <c r="E37" s="160"/>
      <c r="F37" s="989"/>
      <c r="G37" s="160"/>
      <c r="H37" s="935">
        <f t="shared" si="0"/>
        <v>20</v>
      </c>
      <c r="I37" s="936">
        <f t="shared" si="1"/>
        <v>74.974</v>
      </c>
      <c r="J37" s="204"/>
      <c r="K37" s="205"/>
      <c r="L37" s="206">
        <f t="shared" si="2"/>
      </c>
      <c r="M37" s="207">
        <f t="shared" si="3"/>
      </c>
      <c r="N37" s="281"/>
      <c r="O37" s="208">
        <f t="shared" si="4"/>
      </c>
      <c r="P37" s="166">
        <f t="shared" si="5"/>
      </c>
      <c r="Q37" s="166">
        <f t="shared" si="6"/>
      </c>
      <c r="R37" s="939" t="str">
        <f t="shared" si="7"/>
        <v>--</v>
      </c>
      <c r="S37" s="940" t="str">
        <f t="shared" si="8"/>
        <v>--</v>
      </c>
      <c r="T37" s="286" t="str">
        <f t="shared" si="9"/>
        <v>--</v>
      </c>
      <c r="U37" s="287" t="str">
        <f t="shared" si="10"/>
        <v>--</v>
      </c>
      <c r="V37" s="288" t="str">
        <f t="shared" si="11"/>
        <v>--</v>
      </c>
      <c r="W37" s="941" t="str">
        <f t="shared" si="12"/>
        <v>--</v>
      </c>
      <c r="X37" s="942" t="str">
        <f t="shared" si="13"/>
        <v>--</v>
      </c>
      <c r="Y37" s="943" t="str">
        <f t="shared" si="14"/>
        <v>--</v>
      </c>
      <c r="Z37" s="292" t="str">
        <f t="shared" si="15"/>
        <v>--</v>
      </c>
      <c r="AA37" s="293" t="str">
        <f t="shared" si="16"/>
        <v>--</v>
      </c>
      <c r="AB37" s="944">
        <f t="shared" si="18"/>
      </c>
      <c r="AC37" s="16">
        <f t="shared" si="17"/>
      </c>
      <c r="AD37" s="945"/>
    </row>
    <row r="38" spans="2:30" s="5" customFormat="1" ht="16.5" customHeight="1">
      <c r="B38" s="50"/>
      <c r="C38" s="168"/>
      <c r="D38" s="158"/>
      <c r="E38" s="160"/>
      <c r="F38" s="989"/>
      <c r="G38" s="160"/>
      <c r="H38" s="935">
        <f t="shared" si="0"/>
        <v>20</v>
      </c>
      <c r="I38" s="936">
        <f t="shared" si="1"/>
        <v>74.974</v>
      </c>
      <c r="J38" s="204"/>
      <c r="K38" s="205"/>
      <c r="L38" s="206">
        <f t="shared" si="2"/>
      </c>
      <c r="M38" s="207">
        <f t="shared" si="3"/>
      </c>
      <c r="N38" s="281"/>
      <c r="O38" s="208">
        <f t="shared" si="4"/>
      </c>
      <c r="P38" s="166">
        <f t="shared" si="5"/>
      </c>
      <c r="Q38" s="166">
        <f t="shared" si="6"/>
      </c>
      <c r="R38" s="939" t="str">
        <f t="shared" si="7"/>
        <v>--</v>
      </c>
      <c r="S38" s="940" t="str">
        <f t="shared" si="8"/>
        <v>--</v>
      </c>
      <c r="T38" s="286" t="str">
        <f t="shared" si="9"/>
        <v>--</v>
      </c>
      <c r="U38" s="287" t="str">
        <f t="shared" si="10"/>
        <v>--</v>
      </c>
      <c r="V38" s="288" t="str">
        <f t="shared" si="11"/>
        <v>--</v>
      </c>
      <c r="W38" s="941" t="str">
        <f t="shared" si="12"/>
        <v>--</v>
      </c>
      <c r="X38" s="942" t="str">
        <f t="shared" si="13"/>
        <v>--</v>
      </c>
      <c r="Y38" s="943" t="str">
        <f t="shared" si="14"/>
        <v>--</v>
      </c>
      <c r="Z38" s="292" t="str">
        <f t="shared" si="15"/>
        <v>--</v>
      </c>
      <c r="AA38" s="293" t="str">
        <f t="shared" si="16"/>
        <v>--</v>
      </c>
      <c r="AB38" s="944">
        <f t="shared" si="18"/>
      </c>
      <c r="AC38" s="16">
        <f t="shared" si="17"/>
      </c>
      <c r="AD38" s="945"/>
    </row>
    <row r="39" spans="2:30" s="5" customFormat="1" ht="16.5" customHeight="1">
      <c r="B39" s="50"/>
      <c r="C39" s="367"/>
      <c r="D39" s="158"/>
      <c r="E39" s="160"/>
      <c r="F39" s="989"/>
      <c r="G39" s="160"/>
      <c r="H39" s="935">
        <f t="shared" si="0"/>
        <v>20</v>
      </c>
      <c r="I39" s="936">
        <f t="shared" si="1"/>
        <v>74.974</v>
      </c>
      <c r="J39" s="204"/>
      <c r="K39" s="205"/>
      <c r="L39" s="206">
        <f t="shared" si="2"/>
      </c>
      <c r="M39" s="207">
        <f t="shared" si="3"/>
      </c>
      <c r="N39" s="281"/>
      <c r="O39" s="208">
        <f t="shared" si="4"/>
      </c>
      <c r="P39" s="166">
        <f t="shared" si="5"/>
      </c>
      <c r="Q39" s="166">
        <f t="shared" si="6"/>
      </c>
      <c r="R39" s="939" t="str">
        <f t="shared" si="7"/>
        <v>--</v>
      </c>
      <c r="S39" s="940" t="str">
        <f t="shared" si="8"/>
        <v>--</v>
      </c>
      <c r="T39" s="286" t="str">
        <f t="shared" si="9"/>
        <v>--</v>
      </c>
      <c r="U39" s="287" t="str">
        <f t="shared" si="10"/>
        <v>--</v>
      </c>
      <c r="V39" s="288" t="str">
        <f t="shared" si="11"/>
        <v>--</v>
      </c>
      <c r="W39" s="941" t="str">
        <f t="shared" si="12"/>
        <v>--</v>
      </c>
      <c r="X39" s="942" t="str">
        <f t="shared" si="13"/>
        <v>--</v>
      </c>
      <c r="Y39" s="943" t="str">
        <f t="shared" si="14"/>
        <v>--</v>
      </c>
      <c r="Z39" s="292" t="str">
        <f t="shared" si="15"/>
        <v>--</v>
      </c>
      <c r="AA39" s="293" t="str">
        <f t="shared" si="16"/>
        <v>--</v>
      </c>
      <c r="AB39" s="944">
        <f t="shared" si="18"/>
      </c>
      <c r="AC39" s="16">
        <f t="shared" si="17"/>
      </c>
      <c r="AD39" s="945"/>
    </row>
    <row r="40" spans="2:30" s="5" customFormat="1" ht="16.5" customHeight="1">
      <c r="B40" s="50"/>
      <c r="C40" s="168"/>
      <c r="D40" s="158"/>
      <c r="E40" s="160"/>
      <c r="F40" s="989"/>
      <c r="G40" s="160"/>
      <c r="H40" s="935">
        <f t="shared" si="0"/>
        <v>20</v>
      </c>
      <c r="I40" s="936">
        <f t="shared" si="1"/>
        <v>74.974</v>
      </c>
      <c r="J40" s="204"/>
      <c r="K40" s="205"/>
      <c r="L40" s="206">
        <f t="shared" si="2"/>
      </c>
      <c r="M40" s="207">
        <f t="shared" si="3"/>
      </c>
      <c r="N40" s="281"/>
      <c r="O40" s="208">
        <f t="shared" si="4"/>
      </c>
      <c r="P40" s="166">
        <f t="shared" si="5"/>
      </c>
      <c r="Q40" s="166">
        <f t="shared" si="6"/>
      </c>
      <c r="R40" s="939" t="str">
        <f t="shared" si="7"/>
        <v>--</v>
      </c>
      <c r="S40" s="940" t="str">
        <f t="shared" si="8"/>
        <v>--</v>
      </c>
      <c r="T40" s="286" t="str">
        <f t="shared" si="9"/>
        <v>--</v>
      </c>
      <c r="U40" s="287" t="str">
        <f t="shared" si="10"/>
        <v>--</v>
      </c>
      <c r="V40" s="288" t="str">
        <f t="shared" si="11"/>
        <v>--</v>
      </c>
      <c r="W40" s="941" t="str">
        <f t="shared" si="12"/>
        <v>--</v>
      </c>
      <c r="X40" s="942" t="str">
        <f t="shared" si="13"/>
        <v>--</v>
      </c>
      <c r="Y40" s="943" t="str">
        <f t="shared" si="14"/>
        <v>--</v>
      </c>
      <c r="Z40" s="292" t="str">
        <f t="shared" si="15"/>
        <v>--</v>
      </c>
      <c r="AA40" s="293" t="str">
        <f t="shared" si="16"/>
        <v>--</v>
      </c>
      <c r="AB40" s="944">
        <f t="shared" si="18"/>
      </c>
      <c r="AC40" s="16">
        <f t="shared" si="17"/>
      </c>
      <c r="AD40" s="945"/>
    </row>
    <row r="41" spans="2:30" s="5" customFormat="1" ht="16.5" customHeight="1">
      <c r="B41" s="50"/>
      <c r="C41" s="367"/>
      <c r="D41" s="158"/>
      <c r="E41" s="160"/>
      <c r="F41" s="989"/>
      <c r="G41" s="160"/>
      <c r="H41" s="935">
        <f t="shared" si="0"/>
        <v>20</v>
      </c>
      <c r="I41" s="936">
        <f t="shared" si="1"/>
        <v>74.974</v>
      </c>
      <c r="J41" s="204"/>
      <c r="K41" s="205"/>
      <c r="L41" s="206">
        <f t="shared" si="2"/>
      </c>
      <c r="M41" s="207">
        <f t="shared" si="3"/>
      </c>
      <c r="N41" s="281"/>
      <c r="O41" s="208">
        <f t="shared" si="4"/>
      </c>
      <c r="P41" s="166">
        <f t="shared" si="5"/>
      </c>
      <c r="Q41" s="166">
        <f t="shared" si="6"/>
      </c>
      <c r="R41" s="939" t="str">
        <f t="shared" si="7"/>
        <v>--</v>
      </c>
      <c r="S41" s="940" t="str">
        <f t="shared" si="8"/>
        <v>--</v>
      </c>
      <c r="T41" s="286" t="str">
        <f t="shared" si="9"/>
        <v>--</v>
      </c>
      <c r="U41" s="287" t="str">
        <f t="shared" si="10"/>
        <v>--</v>
      </c>
      <c r="V41" s="288" t="str">
        <f t="shared" si="11"/>
        <v>--</v>
      </c>
      <c r="W41" s="941" t="str">
        <f t="shared" si="12"/>
        <v>--</v>
      </c>
      <c r="X41" s="942" t="str">
        <f t="shared" si="13"/>
        <v>--</v>
      </c>
      <c r="Y41" s="943" t="str">
        <f t="shared" si="14"/>
        <v>--</v>
      </c>
      <c r="Z41" s="292" t="str">
        <f t="shared" si="15"/>
        <v>--</v>
      </c>
      <c r="AA41" s="293" t="str">
        <f t="shared" si="16"/>
        <v>--</v>
      </c>
      <c r="AB41" s="944">
        <f t="shared" si="18"/>
      </c>
      <c r="AC41" s="16">
        <f t="shared" si="17"/>
      </c>
      <c r="AD41" s="945"/>
    </row>
    <row r="42" spans="2:30" s="5" customFormat="1" ht="16.5" customHeight="1" thickBot="1">
      <c r="B42" s="50"/>
      <c r="C42" s="168"/>
      <c r="D42" s="163"/>
      <c r="E42" s="298"/>
      <c r="F42" s="983"/>
      <c r="G42" s="299"/>
      <c r="H42" s="950"/>
      <c r="I42" s="951"/>
      <c r="J42" s="981"/>
      <c r="K42" s="981"/>
      <c r="L42" s="9"/>
      <c r="M42" s="9"/>
      <c r="N42" s="165"/>
      <c r="O42" s="210"/>
      <c r="P42" s="165"/>
      <c r="Q42" s="165"/>
      <c r="R42" s="952"/>
      <c r="S42" s="953"/>
      <c r="T42" s="304"/>
      <c r="U42" s="305"/>
      <c r="V42" s="306"/>
      <c r="W42" s="954"/>
      <c r="X42" s="955"/>
      <c r="Y42" s="956"/>
      <c r="Z42" s="310"/>
      <c r="AA42" s="311"/>
      <c r="AB42" s="957"/>
      <c r="AC42" s="314"/>
      <c r="AD42" s="945"/>
    </row>
    <row r="43" spans="2:30" s="5" customFormat="1" ht="16.5" customHeight="1" thickBot="1" thickTop="1">
      <c r="B43" s="50"/>
      <c r="C43" s="129" t="s">
        <v>25</v>
      </c>
      <c r="D43" s="130" t="s">
        <v>288</v>
      </c>
      <c r="E43" s="315"/>
      <c r="F43" s="236"/>
      <c r="G43" s="316"/>
      <c r="H43" s="236"/>
      <c r="I43" s="211"/>
      <c r="J43" s="211"/>
      <c r="K43" s="211"/>
      <c r="L43" s="211"/>
      <c r="M43" s="211"/>
      <c r="N43" s="211"/>
      <c r="O43" s="317"/>
      <c r="P43" s="211"/>
      <c r="Q43" s="211"/>
      <c r="R43" s="958">
        <f aca="true" t="shared" si="19" ref="R43:AA43">SUM(R20:R42)</f>
        <v>0</v>
      </c>
      <c r="S43" s="959">
        <f t="shared" si="19"/>
        <v>0</v>
      </c>
      <c r="T43" s="960">
        <f t="shared" si="19"/>
        <v>69582.02679650878</v>
      </c>
      <c r="U43" s="960">
        <f t="shared" si="19"/>
        <v>11828.944555406495</v>
      </c>
      <c r="V43" s="960">
        <f t="shared" si="19"/>
        <v>0</v>
      </c>
      <c r="W43" s="961">
        <f t="shared" si="19"/>
        <v>0</v>
      </c>
      <c r="X43" s="961">
        <f t="shared" si="19"/>
        <v>0</v>
      </c>
      <c r="Y43" s="961">
        <f t="shared" si="19"/>
        <v>0</v>
      </c>
      <c r="Z43" s="325">
        <f t="shared" si="19"/>
        <v>0</v>
      </c>
      <c r="AA43" s="326">
        <f t="shared" si="19"/>
        <v>0</v>
      </c>
      <c r="AB43" s="327"/>
      <c r="AC43" s="329">
        <f>ROUND(SUM(AC20:AC42),2)</f>
        <v>81410.97</v>
      </c>
      <c r="AD43" s="945"/>
    </row>
    <row r="44" spans="2:30" s="135" customFormat="1" ht="9.75" thickTop="1">
      <c r="B44" s="134"/>
      <c r="C44" s="131"/>
      <c r="D44" s="132"/>
      <c r="E44" s="330"/>
      <c r="F44" s="331"/>
      <c r="G44" s="332"/>
      <c r="H44" s="331"/>
      <c r="I44" s="214"/>
      <c r="J44" s="214"/>
      <c r="K44" s="214"/>
      <c r="L44" s="214"/>
      <c r="M44" s="214"/>
      <c r="N44" s="214"/>
      <c r="O44" s="333"/>
      <c r="P44" s="214"/>
      <c r="Q44" s="214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334"/>
      <c r="AD44" s="335"/>
    </row>
    <row r="45" spans="2:30" s="5" customFormat="1" ht="16.5" customHeight="1" thickBot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</row>
    <row r="46" spans="2:30" ht="16.5" customHeight="1" thickTop="1">
      <c r="B46" s="1"/>
      <c r="AD46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160"/>
  <sheetViews>
    <sheetView zoomScale="75" zoomScaleNormal="75" workbookViewId="0" topLeftCell="D13">
      <selection activeCell="K28" sqref="K2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3" width="9.7109375" style="0" customWidth="1"/>
    <col min="14" max="14" width="9.7109375" style="1073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9" width="15.7109375" style="0" customWidth="1"/>
  </cols>
  <sheetData>
    <row r="1" spans="2:29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058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157"/>
    </row>
    <row r="2" spans="1:29" s="18" customFormat="1" ht="26.25">
      <c r="A2" s="91"/>
      <c r="B2" s="336" t="str">
        <f>+'TOT-1007'!B2</f>
        <v>ANEXO V al Memorandum D.T.E.E. N° 1955 /2009</v>
      </c>
      <c r="C2" s="336"/>
      <c r="D2" s="336"/>
      <c r="E2" s="19"/>
      <c r="F2" s="336"/>
      <c r="G2" s="336"/>
      <c r="H2" s="336"/>
      <c r="I2" s="336"/>
      <c r="J2" s="336"/>
      <c r="K2" s="336"/>
      <c r="L2" s="336"/>
      <c r="M2" s="336"/>
      <c r="N2" s="1059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</row>
    <row r="3" spans="1:29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06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s="25" customFormat="1" ht="11.25">
      <c r="A4" s="337" t="s">
        <v>75</v>
      </c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1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s="25" customFormat="1" ht="11.25">
      <c r="A5" s="337" t="s">
        <v>3</v>
      </c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1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06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29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1062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</row>
    <row r="8" spans="1:29" s="29" customFormat="1" ht="20.25">
      <c r="A8" s="107"/>
      <c r="B8" s="108"/>
      <c r="C8" s="107"/>
      <c r="D8" s="338" t="s">
        <v>61</v>
      </c>
      <c r="E8" s="107"/>
      <c r="F8" s="107"/>
      <c r="G8" s="339"/>
      <c r="H8" s="107"/>
      <c r="I8" s="107"/>
      <c r="J8" s="107"/>
      <c r="K8" s="107"/>
      <c r="L8" s="107"/>
      <c r="M8" s="107"/>
      <c r="N8" s="1063"/>
      <c r="O8" s="107"/>
      <c r="P8" s="107"/>
      <c r="Q8" s="107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109"/>
    </row>
    <row r="9" spans="1:29" s="5" customFormat="1" ht="12.75">
      <c r="A9" s="90"/>
      <c r="B9" s="95"/>
      <c r="C9" s="90"/>
      <c r="D9" s="15"/>
      <c r="E9" s="340"/>
      <c r="F9" s="90"/>
      <c r="G9" s="15"/>
      <c r="H9" s="90"/>
      <c r="I9" s="90"/>
      <c r="J9" s="90"/>
      <c r="K9" s="90"/>
      <c r="L9" s="90"/>
      <c r="M9" s="90"/>
      <c r="N9" s="106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7"/>
    </row>
    <row r="10" spans="1:29" s="29" customFormat="1" ht="20.25">
      <c r="A10" s="107"/>
      <c r="B10" s="108"/>
      <c r="C10" s="107"/>
      <c r="D10" s="338" t="s">
        <v>26</v>
      </c>
      <c r="E10" s="107"/>
      <c r="F10" s="12"/>
      <c r="G10" s="96"/>
      <c r="H10" s="107"/>
      <c r="I10" s="107"/>
      <c r="J10" s="107"/>
      <c r="K10" s="107"/>
      <c r="L10" s="107"/>
      <c r="M10" s="107"/>
      <c r="N10" s="1063"/>
      <c r="O10" s="107"/>
      <c r="P10" s="107"/>
      <c r="Q10" s="10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09"/>
    </row>
    <row r="11" spans="1:29" s="5" customFormat="1" ht="12.75">
      <c r="A11" s="90"/>
      <c r="B11" s="95"/>
      <c r="C11" s="90"/>
      <c r="D11" s="15"/>
      <c r="E11" s="15"/>
      <c r="F11" s="15"/>
      <c r="G11" s="15"/>
      <c r="H11" s="90"/>
      <c r="I11" s="90"/>
      <c r="J11" s="90"/>
      <c r="K11" s="90"/>
      <c r="L11" s="90"/>
      <c r="M11" s="90"/>
      <c r="N11" s="1060"/>
      <c r="O11" s="90"/>
      <c r="P11" s="90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7"/>
    </row>
    <row r="12" spans="1:29" s="5" customFormat="1" ht="20.25">
      <c r="A12" s="107"/>
      <c r="B12" s="108"/>
      <c r="C12" s="107"/>
      <c r="D12" s="115" t="s">
        <v>27</v>
      </c>
      <c r="E12" s="107"/>
      <c r="F12" s="107"/>
      <c r="G12" s="107"/>
      <c r="H12" s="105"/>
      <c r="I12" s="105"/>
      <c r="J12" s="105"/>
      <c r="K12" s="105"/>
      <c r="L12" s="105"/>
      <c r="M12" s="90"/>
      <c r="N12" s="1060"/>
      <c r="O12" s="90"/>
      <c r="P12" s="90"/>
      <c r="Q12" s="9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7"/>
    </row>
    <row r="13" spans="1:29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106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7"/>
    </row>
    <row r="14" spans="1:29" s="36" customFormat="1" ht="19.5">
      <c r="A14" s="111"/>
      <c r="B14" s="37" t="str">
        <f>'TOT-1007'!B14</f>
        <v>Desde el 01 al 31 de octubre de 2007</v>
      </c>
      <c r="C14" s="341"/>
      <c r="D14" s="114"/>
      <c r="E14" s="114"/>
      <c r="F14" s="114"/>
      <c r="G14" s="114"/>
      <c r="H14" s="114"/>
      <c r="I14" s="114"/>
      <c r="J14" s="114"/>
      <c r="K14" s="114"/>
      <c r="L14" s="114"/>
      <c r="M14" s="341"/>
      <c r="N14" s="1064"/>
      <c r="O14" s="341"/>
      <c r="P14" s="341"/>
      <c r="Q14" s="341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342"/>
    </row>
    <row r="15" spans="1:29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106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7"/>
    </row>
    <row r="16" spans="1:29" s="5" customFormat="1" ht="16.5" customHeight="1" thickBot="1" thickTop="1">
      <c r="A16" s="90"/>
      <c r="B16" s="95"/>
      <c r="C16" s="90"/>
      <c r="D16" s="343" t="s">
        <v>76</v>
      </c>
      <c r="E16" s="344"/>
      <c r="F16" s="345">
        <v>0.245</v>
      </c>
      <c r="H16" s="90"/>
      <c r="I16" s="90"/>
      <c r="J16" s="90"/>
      <c r="K16" s="90"/>
      <c r="L16" s="90"/>
      <c r="M16" s="90"/>
      <c r="N16" s="106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7"/>
    </row>
    <row r="17" spans="1:29" s="5" customFormat="1" ht="16.5" customHeight="1" thickBot="1" thickTop="1">
      <c r="A17" s="90"/>
      <c r="B17" s="95"/>
      <c r="C17" s="90"/>
      <c r="D17" s="112" t="s">
        <v>28</v>
      </c>
      <c r="E17" s="113"/>
      <c r="F17" s="993">
        <v>200</v>
      </c>
      <c r="G17"/>
      <c r="H17" s="15"/>
      <c r="I17" s="232"/>
      <c r="J17" s="233"/>
      <c r="K17" s="4"/>
      <c r="L17" s="15"/>
      <c r="M17" s="15"/>
      <c r="N17" s="106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90"/>
      <c r="AC17" s="17"/>
    </row>
    <row r="18" spans="1:29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06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7"/>
    </row>
    <row r="19" spans="1:29" s="5" customFormat="1" ht="33.75" customHeight="1" thickBot="1" thickTop="1">
      <c r="A19" s="90"/>
      <c r="B19" s="95"/>
      <c r="C19" s="125" t="s">
        <v>13</v>
      </c>
      <c r="D19" s="121" t="s">
        <v>29</v>
      </c>
      <c r="E19" s="120" t="s">
        <v>30</v>
      </c>
      <c r="F19" s="122" t="s">
        <v>31</v>
      </c>
      <c r="G19" s="123" t="s">
        <v>14</v>
      </c>
      <c r="H19" s="137" t="s">
        <v>16</v>
      </c>
      <c r="I19" s="120" t="s">
        <v>17</v>
      </c>
      <c r="J19" s="120" t="s">
        <v>18</v>
      </c>
      <c r="K19" s="121" t="s">
        <v>32</v>
      </c>
      <c r="L19" s="121" t="s">
        <v>33</v>
      </c>
      <c r="M19" s="88" t="s">
        <v>19</v>
      </c>
      <c r="N19" s="1066" t="s">
        <v>48</v>
      </c>
      <c r="O19" s="124" t="s">
        <v>34</v>
      </c>
      <c r="P19" s="120" t="s">
        <v>35</v>
      </c>
      <c r="Q19" s="346" t="s">
        <v>39</v>
      </c>
      <c r="R19" s="347" t="s">
        <v>20</v>
      </c>
      <c r="S19" s="348" t="s">
        <v>21</v>
      </c>
      <c r="T19" s="243" t="s">
        <v>77</v>
      </c>
      <c r="U19" s="245"/>
      <c r="V19" s="349" t="s">
        <v>78</v>
      </c>
      <c r="W19" s="350"/>
      <c r="X19" s="351" t="s">
        <v>22</v>
      </c>
      <c r="Y19" s="352" t="s">
        <v>73</v>
      </c>
      <c r="Z19" s="142" t="s">
        <v>74</v>
      </c>
      <c r="AA19" s="123" t="s">
        <v>24</v>
      </c>
      <c r="AB19" s="123" t="s">
        <v>304</v>
      </c>
      <c r="AC19" s="17"/>
    </row>
    <row r="20" spans="1:29" s="5" customFormat="1" ht="16.5" customHeight="1" thickTop="1">
      <c r="A20" s="90"/>
      <c r="B20" s="95"/>
      <c r="C20" s="353"/>
      <c r="D20" s="353"/>
      <c r="E20" s="353"/>
      <c r="F20" s="353"/>
      <c r="G20" s="354"/>
      <c r="H20" s="355"/>
      <c r="I20" s="353"/>
      <c r="J20" s="353"/>
      <c r="K20" s="353"/>
      <c r="L20" s="353"/>
      <c r="M20" s="353"/>
      <c r="N20" s="1067"/>
      <c r="O20" s="356"/>
      <c r="P20" s="353"/>
      <c r="Q20" s="357"/>
      <c r="R20" s="358"/>
      <c r="S20" s="359"/>
      <c r="T20" s="360"/>
      <c r="U20" s="361"/>
      <c r="V20" s="362"/>
      <c r="W20" s="363"/>
      <c r="X20" s="364"/>
      <c r="Y20" s="365"/>
      <c r="Z20" s="356"/>
      <c r="AA20" s="366"/>
      <c r="AB20" s="366"/>
      <c r="AC20" s="17"/>
    </row>
    <row r="21" spans="1:30" s="5" customFormat="1" ht="16.5" customHeight="1">
      <c r="A21" s="90"/>
      <c r="B21" s="95"/>
      <c r="C21" s="168"/>
      <c r="D21" s="162"/>
      <c r="E21" s="381"/>
      <c r="F21" s="382"/>
      <c r="G21" s="383"/>
      <c r="H21" s="384"/>
      <c r="I21" s="169"/>
      <c r="J21" s="169"/>
      <c r="K21" s="385"/>
      <c r="L21" s="14"/>
      <c r="M21" s="170"/>
      <c r="N21" s="1068"/>
      <c r="O21" s="167"/>
      <c r="P21" s="166"/>
      <c r="Q21" s="386"/>
      <c r="R21" s="387"/>
      <c r="S21" s="388"/>
      <c r="T21" s="389"/>
      <c r="U21" s="390"/>
      <c r="V21" s="391"/>
      <c r="W21" s="392"/>
      <c r="X21" s="393"/>
      <c r="Y21" s="394"/>
      <c r="Z21" s="395"/>
      <c r="AA21" s="396"/>
      <c r="AB21" s="396"/>
      <c r="AC21" s="17"/>
      <c r="AD21" s="1079">
        <v>0.784729504173</v>
      </c>
    </row>
    <row r="22" spans="1:29" s="5" customFormat="1" ht="16.5" customHeight="1">
      <c r="A22" s="90"/>
      <c r="B22" s="95"/>
      <c r="C22" s="367">
        <v>21</v>
      </c>
      <c r="D22" s="162" t="s">
        <v>208</v>
      </c>
      <c r="E22" s="381" t="s">
        <v>209</v>
      </c>
      <c r="F22" s="382">
        <v>150</v>
      </c>
      <c r="G22" s="383" t="s">
        <v>149</v>
      </c>
      <c r="H22" s="384">
        <f aca="true" t="shared" si="0" ref="H22:H30">F22*$F$16</f>
        <v>36.75</v>
      </c>
      <c r="I22" s="169">
        <v>39357.36041666667</v>
      </c>
      <c r="J22" s="169">
        <v>39357.45208333333</v>
      </c>
      <c r="K22" s="385">
        <f aca="true" t="shared" si="1" ref="K22:K30">IF(D22="","",(J22-I22)*24)</f>
        <v>2.1999999998370185</v>
      </c>
      <c r="L22" s="14">
        <f aca="true" t="shared" si="2" ref="L22:L30">IF(D22="","",ROUND((J22-I22)*24*60,0))</f>
        <v>132</v>
      </c>
      <c r="M22" s="170" t="s">
        <v>187</v>
      </c>
      <c r="N22" s="1068" t="str">
        <f aca="true" t="shared" si="3" ref="N22:N40">IF(D22="","","--")</f>
        <v>--</v>
      </c>
      <c r="O22" s="167" t="str">
        <f aca="true" t="shared" si="4" ref="O22:O30">IF(D22="","",IF(OR(M22="P",M22="RP"),"--","NO"))</f>
        <v>--</v>
      </c>
      <c r="P22" s="166" t="str">
        <f aca="true" t="shared" si="5" ref="P22:P30">IF(D22="","","NO")</f>
        <v>NO</v>
      </c>
      <c r="Q22" s="386">
        <f aca="true" t="shared" si="6" ref="Q22:Q30">$F$17*IF(OR(M22="P",M22="RP"),0.1,1)*IF(P22="SI",1,0.1)</f>
        <v>2</v>
      </c>
      <c r="R22" s="387">
        <f aca="true" t="shared" si="7" ref="R22:R30">IF(M22="P",H22*Q22*ROUND(L22/60,2),"--")</f>
        <v>161.70000000000002</v>
      </c>
      <c r="S22" s="388" t="str">
        <f aca="true" t="shared" si="8" ref="S22:S30">IF(M22="RP",H22*Q22*N22/100*ROUND(L22/60,2),"--")</f>
        <v>--</v>
      </c>
      <c r="T22" s="389" t="str">
        <f aca="true" t="shared" si="9" ref="T22:T30">IF(AND(M22="F",O22="NO"),H22*Q22,"--")</f>
        <v>--</v>
      </c>
      <c r="U22" s="390" t="str">
        <f aca="true" t="shared" si="10" ref="U22:U30">IF(M22="F",H22*Q22*ROUND(L22/60,2),"--")</f>
        <v>--</v>
      </c>
      <c r="V22" s="391" t="str">
        <f aca="true" t="shared" si="11" ref="V22:V30">IF(AND(M22="R",O22="NO"),H22*Q22*N22/100,"--")</f>
        <v>--</v>
      </c>
      <c r="W22" s="392" t="str">
        <f aca="true" t="shared" si="12" ref="W22:W30">IF(M22="R",H22*Q22*N22/100*ROUND(L22/60,2),"--")</f>
        <v>--</v>
      </c>
      <c r="X22" s="393" t="str">
        <f>IF(M22="RF",H22*Q22*N22*ROUND(L22/60,2),"--")</f>
        <v>--</v>
      </c>
      <c r="Y22" s="394" t="str">
        <f aca="true" t="shared" si="13" ref="Y22:Y30">IF(M22="RR",H22*Q22*N22/100*ROUND(L22/60,2),"--")</f>
        <v>--</v>
      </c>
      <c r="Z22" s="395" t="s">
        <v>188</v>
      </c>
      <c r="AA22" s="396">
        <f aca="true" t="shared" si="14" ref="AA22:AA30">IF(D22="","",SUM(R22:Y22)*IF(Z22="SI",1,2))</f>
        <v>161.70000000000002</v>
      </c>
      <c r="AB22" s="396">
        <f>AA22*(1-$AD$21)</f>
        <v>34.8092391752259</v>
      </c>
      <c r="AC22" s="17"/>
    </row>
    <row r="23" spans="1:29" s="5" customFormat="1" ht="16.5" customHeight="1">
      <c r="A23" s="90"/>
      <c r="B23" s="95"/>
      <c r="C23" s="168">
        <v>22</v>
      </c>
      <c r="D23" s="162" t="s">
        <v>215</v>
      </c>
      <c r="E23" s="381" t="s">
        <v>214</v>
      </c>
      <c r="F23" s="382">
        <v>300</v>
      </c>
      <c r="G23" s="383" t="s">
        <v>207</v>
      </c>
      <c r="H23" s="384">
        <f t="shared" si="0"/>
        <v>73.5</v>
      </c>
      <c r="I23" s="169">
        <v>39362.33819444444</v>
      </c>
      <c r="J23" s="169">
        <v>39362.68194444444</v>
      </c>
      <c r="K23" s="385">
        <f t="shared" si="1"/>
        <v>8.25</v>
      </c>
      <c r="L23" s="14">
        <f t="shared" si="2"/>
        <v>495</v>
      </c>
      <c r="M23" s="170" t="s">
        <v>187</v>
      </c>
      <c r="N23" s="1068" t="str">
        <f t="shared" si="3"/>
        <v>--</v>
      </c>
      <c r="O23" s="167" t="str">
        <f t="shared" si="4"/>
        <v>--</v>
      </c>
      <c r="P23" s="166" t="str">
        <f t="shared" si="5"/>
        <v>NO</v>
      </c>
      <c r="Q23" s="386">
        <f t="shared" si="6"/>
        <v>2</v>
      </c>
      <c r="R23" s="387">
        <f t="shared" si="7"/>
        <v>1212.75</v>
      </c>
      <c r="S23" s="388" t="str">
        <f t="shared" si="8"/>
        <v>--</v>
      </c>
      <c r="T23" s="389" t="str">
        <f t="shared" si="9"/>
        <v>--</v>
      </c>
      <c r="U23" s="390" t="str">
        <f t="shared" si="10"/>
        <v>--</v>
      </c>
      <c r="V23" s="391" t="str">
        <f t="shared" si="11"/>
        <v>--</v>
      </c>
      <c r="W23" s="392" t="str">
        <f t="shared" si="12"/>
        <v>--</v>
      </c>
      <c r="X23" s="393" t="str">
        <f>IF(M23="RF",H23*Q23*N23*ROUND(L23/60,2),"--")</f>
        <v>--</v>
      </c>
      <c r="Y23" s="394" t="str">
        <f t="shared" si="13"/>
        <v>--</v>
      </c>
      <c r="Z23" s="395" t="s">
        <v>188</v>
      </c>
      <c r="AA23" s="396">
        <f t="shared" si="14"/>
        <v>1212.75</v>
      </c>
      <c r="AB23" s="396">
        <f aca="true" t="shared" si="15" ref="AB23:AB43">AA23*(1-$AD$21)</f>
        <v>261.0692938141942</v>
      </c>
      <c r="AC23" s="17"/>
    </row>
    <row r="24" spans="1:29" s="5" customFormat="1" ht="16.5" customHeight="1">
      <c r="A24" s="90"/>
      <c r="B24" s="95"/>
      <c r="C24" s="367">
        <v>23</v>
      </c>
      <c r="D24" s="162" t="s">
        <v>210</v>
      </c>
      <c r="E24" s="381" t="s">
        <v>211</v>
      </c>
      <c r="F24" s="382">
        <v>300</v>
      </c>
      <c r="G24" s="383" t="s">
        <v>212</v>
      </c>
      <c r="H24" s="384">
        <f t="shared" si="0"/>
        <v>73.5</v>
      </c>
      <c r="I24" s="169">
        <v>39364.24513888889</v>
      </c>
      <c r="J24" s="169">
        <v>39364.26527777778</v>
      </c>
      <c r="K24" s="385">
        <f t="shared" si="1"/>
        <v>0.48333333333721384</v>
      </c>
      <c r="L24" s="14">
        <f t="shared" si="2"/>
        <v>29</v>
      </c>
      <c r="M24" s="170" t="s">
        <v>190</v>
      </c>
      <c r="N24" s="1068" t="str">
        <f t="shared" si="3"/>
        <v>--</v>
      </c>
      <c r="O24" s="167" t="str">
        <f t="shared" si="4"/>
        <v>NO</v>
      </c>
      <c r="P24" s="166" t="str">
        <f t="shared" si="5"/>
        <v>NO</v>
      </c>
      <c r="Q24" s="386">
        <f t="shared" si="6"/>
        <v>20</v>
      </c>
      <c r="R24" s="387" t="str">
        <f t="shared" si="7"/>
        <v>--</v>
      </c>
      <c r="S24" s="388" t="str">
        <f t="shared" si="8"/>
        <v>--</v>
      </c>
      <c r="T24" s="389">
        <f t="shared" si="9"/>
        <v>1470</v>
      </c>
      <c r="U24" s="390">
        <f t="shared" si="10"/>
        <v>705.6</v>
      </c>
      <c r="V24" s="391" t="str">
        <f t="shared" si="11"/>
        <v>--</v>
      </c>
      <c r="W24" s="392" t="str">
        <f t="shared" si="12"/>
        <v>--</v>
      </c>
      <c r="X24" s="393" t="str">
        <f>IF(M24="RF",H24*Q24*N24*ROUND(L24/60,2),"--")</f>
        <v>--</v>
      </c>
      <c r="Y24" s="394" t="str">
        <f t="shared" si="13"/>
        <v>--</v>
      </c>
      <c r="Z24" s="395" t="s">
        <v>188</v>
      </c>
      <c r="AA24" s="396">
        <f t="shared" si="14"/>
        <v>2175.6</v>
      </c>
      <c r="AB24" s="396">
        <f t="shared" si="15"/>
        <v>468.3424907212211</v>
      </c>
      <c r="AC24" s="17"/>
    </row>
    <row r="25" spans="1:29" s="5" customFormat="1" ht="16.5" customHeight="1">
      <c r="A25" s="90"/>
      <c r="B25" s="95"/>
      <c r="C25" s="168">
        <v>24</v>
      </c>
      <c r="D25" s="162" t="s">
        <v>210</v>
      </c>
      <c r="E25" s="381" t="s">
        <v>211</v>
      </c>
      <c r="F25" s="382">
        <v>300</v>
      </c>
      <c r="G25" s="383" t="s">
        <v>212</v>
      </c>
      <c r="H25" s="384">
        <f t="shared" si="0"/>
        <v>73.5</v>
      </c>
      <c r="I25" s="169">
        <v>39365.02291666667</v>
      </c>
      <c r="J25" s="169">
        <v>39365.19513888889</v>
      </c>
      <c r="K25" s="385">
        <f t="shared" si="1"/>
        <v>4.133333333360497</v>
      </c>
      <c r="L25" s="14">
        <f t="shared" si="2"/>
        <v>248</v>
      </c>
      <c r="M25" s="170" t="s">
        <v>187</v>
      </c>
      <c r="N25" s="1068" t="str">
        <f t="shared" si="3"/>
        <v>--</v>
      </c>
      <c r="O25" s="167" t="str">
        <f t="shared" si="4"/>
        <v>--</v>
      </c>
      <c r="P25" s="166" t="str">
        <f t="shared" si="5"/>
        <v>NO</v>
      </c>
      <c r="Q25" s="386">
        <f t="shared" si="6"/>
        <v>2</v>
      </c>
      <c r="R25" s="387">
        <f t="shared" si="7"/>
        <v>607.11</v>
      </c>
      <c r="S25" s="388" t="str">
        <f t="shared" si="8"/>
        <v>--</v>
      </c>
      <c r="T25" s="389" t="str">
        <f t="shared" si="9"/>
        <v>--</v>
      </c>
      <c r="U25" s="390" t="str">
        <f t="shared" si="10"/>
        <v>--</v>
      </c>
      <c r="V25" s="391" t="str">
        <f t="shared" si="11"/>
        <v>--</v>
      </c>
      <c r="W25" s="392" t="str">
        <f t="shared" si="12"/>
        <v>--</v>
      </c>
      <c r="X25" s="393" t="str">
        <f>IF(M25="RF",H25*Q25*N25*ROUND(L25/60,2),"--")</f>
        <v>--</v>
      </c>
      <c r="Y25" s="394" t="str">
        <f t="shared" si="13"/>
        <v>--</v>
      </c>
      <c r="Z25" s="395" t="s">
        <v>188</v>
      </c>
      <c r="AA25" s="396">
        <f t="shared" si="14"/>
        <v>607.11</v>
      </c>
      <c r="AB25" s="396">
        <f t="shared" si="15"/>
        <v>130.69287072152997</v>
      </c>
      <c r="AC25" s="17"/>
    </row>
    <row r="26" spans="1:29" s="5" customFormat="1" ht="16.5" customHeight="1">
      <c r="A26" s="90"/>
      <c r="B26" s="95"/>
      <c r="C26" s="367">
        <v>25</v>
      </c>
      <c r="D26" s="162" t="s">
        <v>213</v>
      </c>
      <c r="E26" s="381" t="s">
        <v>214</v>
      </c>
      <c r="F26" s="382">
        <v>150</v>
      </c>
      <c r="G26" s="383" t="s">
        <v>126</v>
      </c>
      <c r="H26" s="384">
        <f t="shared" si="0"/>
        <v>36.75</v>
      </c>
      <c r="I26" s="169">
        <v>39366.354166666664</v>
      </c>
      <c r="J26" s="169">
        <v>39366.77222222222</v>
      </c>
      <c r="K26" s="385">
        <f t="shared" si="1"/>
        <v>10.03333333338378</v>
      </c>
      <c r="L26" s="14">
        <f t="shared" si="2"/>
        <v>602</v>
      </c>
      <c r="M26" s="170" t="s">
        <v>187</v>
      </c>
      <c r="N26" s="1068" t="str">
        <f t="shared" si="3"/>
        <v>--</v>
      </c>
      <c r="O26" s="167" t="str">
        <f t="shared" si="4"/>
        <v>--</v>
      </c>
      <c r="P26" s="166" t="str">
        <f t="shared" si="5"/>
        <v>NO</v>
      </c>
      <c r="Q26" s="386">
        <f t="shared" si="6"/>
        <v>2</v>
      </c>
      <c r="R26" s="387">
        <f t="shared" si="7"/>
        <v>737.2049999999999</v>
      </c>
      <c r="S26" s="388" t="str">
        <f t="shared" si="8"/>
        <v>--</v>
      </c>
      <c r="T26" s="389" t="str">
        <f t="shared" si="9"/>
        <v>--</v>
      </c>
      <c r="U26" s="390" t="str">
        <f t="shared" si="10"/>
        <v>--</v>
      </c>
      <c r="V26" s="391" t="str">
        <f t="shared" si="11"/>
        <v>--</v>
      </c>
      <c r="W26" s="392" t="str">
        <f t="shared" si="12"/>
        <v>--</v>
      </c>
      <c r="X26" s="393" t="str">
        <f>IF(M26="RF",H26*Q26*N26*ROUND(L26/60,2),"--")</f>
        <v>--</v>
      </c>
      <c r="Y26" s="394" t="str">
        <f t="shared" si="13"/>
        <v>--</v>
      </c>
      <c r="Z26" s="395" t="s">
        <v>188</v>
      </c>
      <c r="AA26" s="396">
        <f t="shared" si="14"/>
        <v>737.2049999999999</v>
      </c>
      <c r="AB26" s="396">
        <f t="shared" si="15"/>
        <v>158.6984858761435</v>
      </c>
      <c r="AC26" s="17"/>
    </row>
    <row r="27" spans="1:29" s="5" customFormat="1" ht="16.5" customHeight="1">
      <c r="A27" s="90"/>
      <c r="B27" s="95"/>
      <c r="C27" s="168">
        <v>32</v>
      </c>
      <c r="D27" s="162" t="s">
        <v>215</v>
      </c>
      <c r="E27" s="397" t="s">
        <v>216</v>
      </c>
      <c r="F27" s="382">
        <v>150</v>
      </c>
      <c r="G27" s="383" t="s">
        <v>217</v>
      </c>
      <c r="H27" s="384">
        <f t="shared" si="0"/>
        <v>36.75</v>
      </c>
      <c r="I27" s="169">
        <v>39372.99097222222</v>
      </c>
      <c r="J27" s="169">
        <v>39373.30625</v>
      </c>
      <c r="K27" s="385">
        <f t="shared" si="1"/>
        <v>7.566666666709352</v>
      </c>
      <c r="L27" s="14">
        <f t="shared" si="2"/>
        <v>454</v>
      </c>
      <c r="M27" s="170" t="s">
        <v>187</v>
      </c>
      <c r="N27" s="1068" t="str">
        <f t="shared" si="3"/>
        <v>--</v>
      </c>
      <c r="O27" s="167" t="str">
        <f t="shared" si="4"/>
        <v>--</v>
      </c>
      <c r="P27" s="166" t="str">
        <f t="shared" si="5"/>
        <v>NO</v>
      </c>
      <c r="Q27" s="386">
        <f t="shared" si="6"/>
        <v>2</v>
      </c>
      <c r="R27" s="387">
        <f t="shared" si="7"/>
        <v>556.395</v>
      </c>
      <c r="S27" s="388" t="str">
        <f t="shared" si="8"/>
        <v>--</v>
      </c>
      <c r="T27" s="389" t="str">
        <f t="shared" si="9"/>
        <v>--</v>
      </c>
      <c r="U27" s="390" t="str">
        <f t="shared" si="10"/>
        <v>--</v>
      </c>
      <c r="V27" s="391" t="str">
        <f t="shared" si="11"/>
        <v>--</v>
      </c>
      <c r="W27" s="392" t="str">
        <f t="shared" si="12"/>
        <v>--</v>
      </c>
      <c r="X27" s="393" t="str">
        <f aca="true" t="shared" si="16" ref="X27:X34">IF(M27="RF",H27*Q27*N27*ROUND(L27/60,2),"--")</f>
        <v>--</v>
      </c>
      <c r="Y27" s="394" t="str">
        <f t="shared" si="13"/>
        <v>--</v>
      </c>
      <c r="Z27" s="395" t="s">
        <v>188</v>
      </c>
      <c r="AA27" s="396">
        <f t="shared" si="14"/>
        <v>556.395</v>
      </c>
      <c r="AB27" s="396">
        <f t="shared" si="15"/>
        <v>119.77542752566364</v>
      </c>
      <c r="AC27" s="17"/>
    </row>
    <row r="28" spans="1:29" s="5" customFormat="1" ht="16.5" customHeight="1">
      <c r="A28" s="90"/>
      <c r="B28" s="95"/>
      <c r="C28" s="367">
        <v>33</v>
      </c>
      <c r="D28" s="162" t="s">
        <v>215</v>
      </c>
      <c r="E28" s="397" t="s">
        <v>209</v>
      </c>
      <c r="F28" s="382">
        <v>150</v>
      </c>
      <c r="G28" s="383" t="s">
        <v>217</v>
      </c>
      <c r="H28" s="384">
        <f t="shared" si="0"/>
        <v>36.75</v>
      </c>
      <c r="I28" s="169">
        <v>39374.00277777778</v>
      </c>
      <c r="J28" s="169">
        <v>39374.25069444445</v>
      </c>
      <c r="K28" s="385">
        <f t="shared" si="1"/>
        <v>5.9500000000116415</v>
      </c>
      <c r="L28" s="14">
        <f t="shared" si="2"/>
        <v>357</v>
      </c>
      <c r="M28" s="170" t="s">
        <v>187</v>
      </c>
      <c r="N28" s="1068" t="str">
        <f t="shared" si="3"/>
        <v>--</v>
      </c>
      <c r="O28" s="167" t="str">
        <f t="shared" si="4"/>
        <v>--</v>
      </c>
      <c r="P28" s="166" t="str">
        <f t="shared" si="5"/>
        <v>NO</v>
      </c>
      <c r="Q28" s="386">
        <f t="shared" si="6"/>
        <v>2</v>
      </c>
      <c r="R28" s="387">
        <f t="shared" si="7"/>
        <v>437.325</v>
      </c>
      <c r="S28" s="388" t="str">
        <f t="shared" si="8"/>
        <v>--</v>
      </c>
      <c r="T28" s="389" t="str">
        <f t="shared" si="9"/>
        <v>--</v>
      </c>
      <c r="U28" s="390" t="str">
        <f t="shared" si="10"/>
        <v>--</v>
      </c>
      <c r="V28" s="391" t="str">
        <f t="shared" si="11"/>
        <v>--</v>
      </c>
      <c r="W28" s="392" t="str">
        <f t="shared" si="12"/>
        <v>--</v>
      </c>
      <c r="X28" s="393" t="str">
        <f t="shared" si="16"/>
        <v>--</v>
      </c>
      <c r="Y28" s="394" t="str">
        <f t="shared" si="13"/>
        <v>--</v>
      </c>
      <c r="Z28" s="395" t="s">
        <v>188</v>
      </c>
      <c r="AA28" s="396">
        <f t="shared" si="14"/>
        <v>437.325</v>
      </c>
      <c r="AB28" s="396">
        <f t="shared" si="15"/>
        <v>94.14316958754276</v>
      </c>
      <c r="AC28" s="17"/>
    </row>
    <row r="29" spans="1:29" s="5" customFormat="1" ht="16.5" customHeight="1">
      <c r="A29" s="90"/>
      <c r="B29" s="95"/>
      <c r="C29" s="168">
        <v>34</v>
      </c>
      <c r="D29" s="162" t="s">
        <v>233</v>
      </c>
      <c r="E29" s="397" t="s">
        <v>206</v>
      </c>
      <c r="F29" s="382">
        <v>300</v>
      </c>
      <c r="G29" s="383" t="s">
        <v>149</v>
      </c>
      <c r="H29" s="384">
        <f t="shared" si="0"/>
        <v>73.5</v>
      </c>
      <c r="I29" s="169">
        <v>39376.34027777778</v>
      </c>
      <c r="J29" s="169">
        <v>39376.48402777778</v>
      </c>
      <c r="K29" s="385">
        <f t="shared" si="1"/>
        <v>3.449999999895226</v>
      </c>
      <c r="L29" s="14">
        <f t="shared" si="2"/>
        <v>207</v>
      </c>
      <c r="M29" s="170" t="s">
        <v>187</v>
      </c>
      <c r="N29" s="1068" t="str">
        <f t="shared" si="3"/>
        <v>--</v>
      </c>
      <c r="O29" s="167" t="str">
        <f t="shared" si="4"/>
        <v>--</v>
      </c>
      <c r="P29" s="166" t="str">
        <f t="shared" si="5"/>
        <v>NO</v>
      </c>
      <c r="Q29" s="386">
        <f t="shared" si="6"/>
        <v>2</v>
      </c>
      <c r="R29" s="387">
        <f t="shared" si="7"/>
        <v>507.15000000000003</v>
      </c>
      <c r="S29" s="388" t="str">
        <f t="shared" si="8"/>
        <v>--</v>
      </c>
      <c r="T29" s="389" t="str">
        <f t="shared" si="9"/>
        <v>--</v>
      </c>
      <c r="U29" s="390" t="str">
        <f t="shared" si="10"/>
        <v>--</v>
      </c>
      <c r="V29" s="391" t="str">
        <f t="shared" si="11"/>
        <v>--</v>
      </c>
      <c r="W29" s="392" t="str">
        <f t="shared" si="12"/>
        <v>--</v>
      </c>
      <c r="X29" s="393" t="str">
        <f t="shared" si="16"/>
        <v>--</v>
      </c>
      <c r="Y29" s="394" t="str">
        <f t="shared" si="13"/>
        <v>--</v>
      </c>
      <c r="Z29" s="395" t="s">
        <v>188</v>
      </c>
      <c r="AA29" s="396">
        <f t="shared" si="14"/>
        <v>507.15000000000003</v>
      </c>
      <c r="AB29" s="396">
        <f t="shared" si="15"/>
        <v>109.17443195866305</v>
      </c>
      <c r="AC29" s="17"/>
    </row>
    <row r="30" spans="1:29" s="5" customFormat="1" ht="16.5" customHeight="1">
      <c r="A30" s="90"/>
      <c r="B30" s="95"/>
      <c r="C30" s="367">
        <v>35</v>
      </c>
      <c r="D30" s="162" t="s">
        <v>218</v>
      </c>
      <c r="E30" s="397" t="s">
        <v>219</v>
      </c>
      <c r="F30" s="382">
        <v>300</v>
      </c>
      <c r="G30" s="383" t="s">
        <v>220</v>
      </c>
      <c r="H30" s="384">
        <f t="shared" si="0"/>
        <v>73.5</v>
      </c>
      <c r="I30" s="169">
        <v>39376.42916666667</v>
      </c>
      <c r="J30" s="169">
        <v>39376.43958333333</v>
      </c>
      <c r="K30" s="385">
        <f t="shared" si="1"/>
        <v>0.24999999994179234</v>
      </c>
      <c r="L30" s="14">
        <f t="shared" si="2"/>
        <v>15</v>
      </c>
      <c r="M30" s="170" t="s">
        <v>190</v>
      </c>
      <c r="N30" s="1068" t="str">
        <f t="shared" si="3"/>
        <v>--</v>
      </c>
      <c r="O30" s="167" t="str">
        <f t="shared" si="4"/>
        <v>NO</v>
      </c>
      <c r="P30" s="166" t="str">
        <f t="shared" si="5"/>
        <v>NO</v>
      </c>
      <c r="Q30" s="386">
        <f t="shared" si="6"/>
        <v>20</v>
      </c>
      <c r="R30" s="387" t="str">
        <f t="shared" si="7"/>
        <v>--</v>
      </c>
      <c r="S30" s="388" t="str">
        <f t="shared" si="8"/>
        <v>--</v>
      </c>
      <c r="T30" s="389">
        <f t="shared" si="9"/>
        <v>1470</v>
      </c>
      <c r="U30" s="390">
        <f t="shared" si="10"/>
        <v>367.5</v>
      </c>
      <c r="V30" s="391" t="str">
        <f t="shared" si="11"/>
        <v>--</v>
      </c>
      <c r="W30" s="392" t="str">
        <f t="shared" si="12"/>
        <v>--</v>
      </c>
      <c r="X30" s="393" t="str">
        <f t="shared" si="16"/>
        <v>--</v>
      </c>
      <c r="Y30" s="394" t="str">
        <f t="shared" si="13"/>
        <v>--</v>
      </c>
      <c r="Z30" s="395" t="s">
        <v>188</v>
      </c>
      <c r="AA30" s="396">
        <f t="shared" si="14"/>
        <v>1837.5</v>
      </c>
      <c r="AB30" s="396">
        <f t="shared" si="15"/>
        <v>395.55953608211246</v>
      </c>
      <c r="AC30" s="17"/>
    </row>
    <row r="31" spans="1:29" s="5" customFormat="1" ht="16.5" customHeight="1">
      <c r="A31" s="90"/>
      <c r="B31" s="95"/>
      <c r="C31" s="367">
        <v>39</v>
      </c>
      <c r="D31" s="162" t="s">
        <v>208</v>
      </c>
      <c r="E31" s="397" t="s">
        <v>209</v>
      </c>
      <c r="F31" s="382">
        <v>150</v>
      </c>
      <c r="G31" s="383" t="s">
        <v>149</v>
      </c>
      <c r="H31" s="384">
        <f>F31*$F$16</f>
        <v>36.75</v>
      </c>
      <c r="I31" s="169">
        <v>39378.36111111111</v>
      </c>
      <c r="J31" s="169">
        <v>39378.76111111111</v>
      </c>
      <c r="K31" s="385">
        <f>IF(D31="","",(J31-I31)*24)</f>
        <v>9.600000000034925</v>
      </c>
      <c r="L31" s="14">
        <f>IF(D31="","",ROUND((J31-I31)*24*60,0))</f>
        <v>576</v>
      </c>
      <c r="M31" s="170" t="s">
        <v>187</v>
      </c>
      <c r="N31" s="1068" t="str">
        <f>IF(D31="","","--")</f>
        <v>--</v>
      </c>
      <c r="O31" s="167" t="str">
        <f>IF(D31="","",IF(OR(M31="P",M31="RP"),"--","NO"))</f>
        <v>--</v>
      </c>
      <c r="P31" s="166" t="str">
        <f>IF(D31="","","NO")</f>
        <v>NO</v>
      </c>
      <c r="Q31" s="386">
        <f>$F$17*IF(OR(M31="P",M31="RP"),0.1,1)*IF(P31="SI",1,0.1)</f>
        <v>2</v>
      </c>
      <c r="R31" s="387">
        <f>IF(M31="P",H31*Q31*ROUND(L31/60,2),"--")</f>
        <v>705.6</v>
      </c>
      <c r="S31" s="388" t="str">
        <f>IF(M31="RP",H31*Q31*N31/100*ROUND(L31/60,2),"--")</f>
        <v>--</v>
      </c>
      <c r="T31" s="389" t="str">
        <f>IF(AND(M31="F",O31="NO"),H31*Q31,"--")</f>
        <v>--</v>
      </c>
      <c r="U31" s="390" t="str">
        <f>IF(M31="F",H31*Q31*ROUND(L31/60,2),"--")</f>
        <v>--</v>
      </c>
      <c r="V31" s="391" t="str">
        <f>IF(AND(M31="R",O31="NO"),H31*Q31*N31/100,"--")</f>
        <v>--</v>
      </c>
      <c r="W31" s="392" t="str">
        <f>IF(M31="R",H31*Q31*N31/100*ROUND(L31/60,2),"--")</f>
        <v>--</v>
      </c>
      <c r="X31" s="393" t="str">
        <f t="shared" si="16"/>
        <v>--</v>
      </c>
      <c r="Y31" s="394" t="str">
        <f>IF(M31="RR",H31*Q31*N31/100*ROUND(L31/60,2),"--")</f>
        <v>--</v>
      </c>
      <c r="Z31" s="395" t="s">
        <v>188</v>
      </c>
      <c r="AA31" s="396">
        <f>IF(D31="","",SUM(R31:Y31)*IF(Z31="SI",1,2))</f>
        <v>705.6</v>
      </c>
      <c r="AB31" s="396">
        <f t="shared" si="15"/>
        <v>151.8948618555312</v>
      </c>
      <c r="AC31" s="17"/>
    </row>
    <row r="32" spans="1:29" s="5" customFormat="1" ht="16.5" customHeight="1">
      <c r="A32" s="90"/>
      <c r="B32" s="95"/>
      <c r="C32" s="168">
        <v>40</v>
      </c>
      <c r="D32" s="162" t="s">
        <v>208</v>
      </c>
      <c r="E32" s="397" t="s">
        <v>209</v>
      </c>
      <c r="F32" s="382">
        <v>150</v>
      </c>
      <c r="G32" s="383" t="s">
        <v>149</v>
      </c>
      <c r="H32" s="384">
        <f>F32*$F$16</f>
        <v>36.75</v>
      </c>
      <c r="I32" s="169">
        <v>39379.36944444444</v>
      </c>
      <c r="J32" s="169">
        <v>39379.69375</v>
      </c>
      <c r="K32" s="385">
        <f>IF(D32="","",(J32-I32)*24)</f>
        <v>7.78333333338378</v>
      </c>
      <c r="L32" s="14">
        <f>IF(D32="","",ROUND((J32-I32)*24*60,0))</f>
        <v>467</v>
      </c>
      <c r="M32" s="170" t="s">
        <v>187</v>
      </c>
      <c r="N32" s="1068" t="str">
        <f>IF(D32="","","--")</f>
        <v>--</v>
      </c>
      <c r="O32" s="167" t="str">
        <f>IF(D32="","",IF(OR(M32="P",M32="RP"),"--","NO"))</f>
        <v>--</v>
      </c>
      <c r="P32" s="166" t="str">
        <f>IF(D32="","","NO")</f>
        <v>NO</v>
      </c>
      <c r="Q32" s="386">
        <f>$F$17*IF(OR(M32="P",M32="RP"),0.1,1)*IF(P32="SI",1,0.1)</f>
        <v>2</v>
      </c>
      <c r="R32" s="387">
        <f>IF(M32="P",H32*Q32*ROUND(L32/60,2),"--")</f>
        <v>571.83</v>
      </c>
      <c r="S32" s="388" t="str">
        <f>IF(M32="RP",H32*Q32*N32/100*ROUND(L32/60,2),"--")</f>
        <v>--</v>
      </c>
      <c r="T32" s="389" t="str">
        <f>IF(AND(M32="F",O32="NO"),H32*Q32,"--")</f>
        <v>--</v>
      </c>
      <c r="U32" s="390" t="str">
        <f>IF(M32="F",H32*Q32*ROUND(L32/60,2),"--")</f>
        <v>--</v>
      </c>
      <c r="V32" s="391" t="str">
        <f>IF(AND(M32="R",O32="NO"),H32*Q32*N32/100,"--")</f>
        <v>--</v>
      </c>
      <c r="W32" s="392" t="str">
        <f>IF(M32="R",H32*Q32*N32/100*ROUND(L32/60,2),"--")</f>
        <v>--</v>
      </c>
      <c r="X32" s="393" t="str">
        <f t="shared" si="16"/>
        <v>--</v>
      </c>
      <c r="Y32" s="394" t="str">
        <f>IF(M32="RR",H32*Q32*N32/100*ROUND(L32/60,2),"--")</f>
        <v>--</v>
      </c>
      <c r="Z32" s="395" t="s">
        <v>188</v>
      </c>
      <c r="AA32" s="396">
        <f>IF(D32="","",SUM(R32:Y32)*IF(Z32="SI",1,2))</f>
        <v>571.83</v>
      </c>
      <c r="AB32" s="396">
        <f t="shared" si="15"/>
        <v>123.0981276287534</v>
      </c>
      <c r="AC32" s="17"/>
    </row>
    <row r="33" spans="1:29" s="5" customFormat="1" ht="16.5" customHeight="1">
      <c r="A33" s="90"/>
      <c r="B33" s="95"/>
      <c r="C33" s="367">
        <v>41</v>
      </c>
      <c r="D33" s="162" t="s">
        <v>208</v>
      </c>
      <c r="E33" s="397" t="s">
        <v>209</v>
      </c>
      <c r="F33" s="382">
        <v>150</v>
      </c>
      <c r="G33" s="383" t="s">
        <v>149</v>
      </c>
      <c r="H33" s="384">
        <f>F33*$F$16</f>
        <v>36.75</v>
      </c>
      <c r="I33" s="169">
        <v>39380.35138888889</v>
      </c>
      <c r="J33" s="169">
        <v>39380.67361111111</v>
      </c>
      <c r="K33" s="385">
        <f>IF(D33="","",(J33-I33)*24)</f>
        <v>7.7333333332207985</v>
      </c>
      <c r="L33" s="14">
        <f>IF(D33="","",ROUND((J33-I33)*24*60,0))</f>
        <v>464</v>
      </c>
      <c r="M33" s="170" t="s">
        <v>187</v>
      </c>
      <c r="N33" s="1068" t="str">
        <f>IF(D33="","","--")</f>
        <v>--</v>
      </c>
      <c r="O33" s="167" t="str">
        <f>IF(D33="","",IF(OR(M33="P",M33="RP"),"--","NO"))</f>
        <v>--</v>
      </c>
      <c r="P33" s="166" t="str">
        <f>IF(D33="","","NO")</f>
        <v>NO</v>
      </c>
      <c r="Q33" s="386">
        <f>$F$17*IF(OR(M33="P",M33="RP"),0.1,1)*IF(P33="SI",1,0.1)</f>
        <v>2</v>
      </c>
      <c r="R33" s="387">
        <f>IF(M33="P",H33*Q33*ROUND(L33/60,2),"--")</f>
        <v>568.1550000000001</v>
      </c>
      <c r="S33" s="388" t="str">
        <f>IF(M33="RP",H33*Q33*N33/100*ROUND(L33/60,2),"--")</f>
        <v>--</v>
      </c>
      <c r="T33" s="389" t="str">
        <f>IF(AND(M33="F",O33="NO"),H33*Q33,"--")</f>
        <v>--</v>
      </c>
      <c r="U33" s="390" t="str">
        <f>IF(M33="F",H33*Q33*ROUND(L33/60,2),"--")</f>
        <v>--</v>
      </c>
      <c r="V33" s="391" t="str">
        <f>IF(AND(M33="R",O33="NO"),H33*Q33*N33/100,"--")</f>
        <v>--</v>
      </c>
      <c r="W33" s="392" t="str">
        <f>IF(M33="R",H33*Q33*N33/100*ROUND(L33/60,2),"--")</f>
        <v>--</v>
      </c>
      <c r="X33" s="393" t="str">
        <f t="shared" si="16"/>
        <v>--</v>
      </c>
      <c r="Y33" s="394" t="str">
        <f>IF(M33="RR",H33*Q33*N33/100*ROUND(L33/60,2),"--")</f>
        <v>--</v>
      </c>
      <c r="Z33" s="395" t="s">
        <v>188</v>
      </c>
      <c r="AA33" s="396">
        <f>IF(D33="","",SUM(R33:Y33)*IF(Z33="SI",1,2))</f>
        <v>568.1550000000001</v>
      </c>
      <c r="AB33" s="396">
        <f t="shared" si="15"/>
        <v>122.3070085565892</v>
      </c>
      <c r="AC33" s="17"/>
    </row>
    <row r="34" spans="1:29" s="5" customFormat="1" ht="16.5" customHeight="1">
      <c r="A34" s="90"/>
      <c r="B34" s="95"/>
      <c r="C34" s="168">
        <v>44</v>
      </c>
      <c r="D34" s="162" t="s">
        <v>205</v>
      </c>
      <c r="E34" s="381" t="s">
        <v>216</v>
      </c>
      <c r="F34" s="382">
        <v>800</v>
      </c>
      <c r="G34" s="383" t="s">
        <v>207</v>
      </c>
      <c r="H34" s="384">
        <f>F34*$F$16</f>
        <v>196</v>
      </c>
      <c r="I34" s="169">
        <v>39382.322916666664</v>
      </c>
      <c r="J34" s="169">
        <v>39382.67638888889</v>
      </c>
      <c r="K34" s="385">
        <f>IF(D34="","",(J34-I34)*24)</f>
        <v>8.483333333395422</v>
      </c>
      <c r="L34" s="14">
        <f>IF(D34="","",ROUND((J34-I34)*24*60,0))</f>
        <v>509</v>
      </c>
      <c r="M34" s="170" t="s">
        <v>187</v>
      </c>
      <c r="N34" s="1068" t="str">
        <f>IF(D34="","","--")</f>
        <v>--</v>
      </c>
      <c r="O34" s="167" t="str">
        <f>IF(D34="","",IF(OR(M34="P",M34="RP"),"--","NO"))</f>
        <v>--</v>
      </c>
      <c r="P34" s="166" t="str">
        <f>IF(D34="","","NO")</f>
        <v>NO</v>
      </c>
      <c r="Q34" s="386">
        <f>$F$17*IF(OR(M34="P",M34="RP"),0.1,1)*IF(P34="SI",1,0.1)</f>
        <v>2</v>
      </c>
      <c r="R34" s="387">
        <f>IF(M34="P",H34*Q34*ROUND(L34/60,2),"--")</f>
        <v>3324.1600000000003</v>
      </c>
      <c r="S34" s="388" t="str">
        <f>IF(M34="RP",H34*Q34*N34/100*ROUND(L34/60,2),"--")</f>
        <v>--</v>
      </c>
      <c r="T34" s="389" t="str">
        <f>IF(AND(M34="F",O34="NO"),H34*Q34,"--")</f>
        <v>--</v>
      </c>
      <c r="U34" s="390" t="str">
        <f>IF(M34="F",H34*Q34*ROUND(L34/60,2),"--")</f>
        <v>--</v>
      </c>
      <c r="V34" s="391" t="str">
        <f>IF(AND(M34="R",O34="NO"),H34*Q34*N34/100,"--")</f>
        <v>--</v>
      </c>
      <c r="W34" s="392" t="str">
        <f>IF(M34="R",H34*Q34*N34/100*ROUND(L34/60,2),"--")</f>
        <v>--</v>
      </c>
      <c r="X34" s="393" t="str">
        <f t="shared" si="16"/>
        <v>--</v>
      </c>
      <c r="Y34" s="394" t="str">
        <f>IF(M34="RR",H34*Q34*N34/100*ROUND(L34/60,2),"--")</f>
        <v>--</v>
      </c>
      <c r="Z34" s="395" t="s">
        <v>188</v>
      </c>
      <c r="AA34" s="396">
        <f>IF(D34="","",SUM(R34:Y34)*IF(Z34="SI",1,2))</f>
        <v>3324.1600000000003</v>
      </c>
      <c r="AB34" s="396">
        <f t="shared" si="15"/>
        <v>715.5935714082804</v>
      </c>
      <c r="AC34" s="17"/>
    </row>
    <row r="35" spans="1:29" s="5" customFormat="1" ht="16.5" customHeight="1">
      <c r="A35" s="90"/>
      <c r="B35" s="95"/>
      <c r="C35" s="168" t="s">
        <v>296</v>
      </c>
      <c r="D35" s="162" t="s">
        <v>205</v>
      </c>
      <c r="E35" s="397" t="s">
        <v>206</v>
      </c>
      <c r="F35" s="382">
        <v>800</v>
      </c>
      <c r="G35" s="383" t="s">
        <v>207</v>
      </c>
      <c r="H35" s="384">
        <f>F35*$F$16</f>
        <v>196</v>
      </c>
      <c r="I35" s="169">
        <v>39356</v>
      </c>
      <c r="J35" s="169">
        <v>39367.981944444444</v>
      </c>
      <c r="K35" s="385">
        <f>IF(D35="","",(J35-I35)*24)</f>
        <v>287.56666666665114</v>
      </c>
      <c r="L35" s="14">
        <f>IF(D35="","",ROUND((J35-I35)*24*60,0))</f>
        <v>17254</v>
      </c>
      <c r="M35" s="170" t="s">
        <v>266</v>
      </c>
      <c r="N35" s="1068">
        <v>0.375</v>
      </c>
      <c r="O35" s="167" t="str">
        <f>IF(D35="","",IF(OR(M35="P",M35="RP"),"--","NO"))</f>
        <v>NO</v>
      </c>
      <c r="P35" s="166" t="str">
        <f>IF(D35="","","NO")</f>
        <v>NO</v>
      </c>
      <c r="Q35" s="386">
        <f>$F$17*IF(OR(M35="P",M35="RP"),0.1,1)*IF(P35="SI",1,0.1)</f>
        <v>20</v>
      </c>
      <c r="R35" s="387" t="str">
        <f>IF(M35="P",H35*Q35*ROUND(L35/60,2),"--")</f>
        <v>--</v>
      </c>
      <c r="S35" s="388" t="str">
        <f>IF(M35="RP",H35*Q35*N35/100*ROUND(L35/60,2),"--")</f>
        <v>--</v>
      </c>
      <c r="T35" s="389" t="str">
        <f>IF(AND(M35="F",O35="NO"),H35*Q35,"--")</f>
        <v>--</v>
      </c>
      <c r="U35" s="390" t="str">
        <f>IF(M35="F",H35*Q35*ROUND(L35/60,2),"--")</f>
        <v>--</v>
      </c>
      <c r="V35" s="391" t="str">
        <f>IF(AND(M35="R",O35="NO"),H35*Q35*N35/100,"--")</f>
        <v>--</v>
      </c>
      <c r="W35" s="392" t="str">
        <f>IF(M35="R",H35*Q35*N35/100*ROUND(L35/60,2),"--")</f>
        <v>--</v>
      </c>
      <c r="X35" s="393">
        <f>IF(M35="RF",H35*Q35*N35*ROUND(L35/60,2),"--")</f>
        <v>422727.89999999997</v>
      </c>
      <c r="Y35" s="394" t="str">
        <f>IF(M35="RR",H35*Q35*N35/100*ROUND(L35/60,2),"--")</f>
        <v>--</v>
      </c>
      <c r="Z35" s="395" t="s">
        <v>188</v>
      </c>
      <c r="AA35" s="396">
        <v>0</v>
      </c>
      <c r="AB35" s="396">
        <f t="shared" si="15"/>
        <v>0</v>
      </c>
      <c r="AC35" s="17"/>
    </row>
    <row r="36" spans="1:29" s="5" customFormat="1" ht="16.5" customHeight="1">
      <c r="A36" s="90"/>
      <c r="B36" s="95"/>
      <c r="C36" s="168" t="s">
        <v>296</v>
      </c>
      <c r="D36" s="162" t="s">
        <v>205</v>
      </c>
      <c r="E36" s="381" t="s">
        <v>206</v>
      </c>
      <c r="F36" s="382">
        <v>800</v>
      </c>
      <c r="G36" s="383" t="s">
        <v>207</v>
      </c>
      <c r="H36" s="384">
        <f aca="true" t="shared" si="17" ref="H36:H43">F36*$F$16</f>
        <v>196</v>
      </c>
      <c r="I36" s="169">
        <v>39367.98263888889</v>
      </c>
      <c r="J36" s="169">
        <v>39368.291666666664</v>
      </c>
      <c r="K36" s="385">
        <f aca="true" t="shared" si="18" ref="K36:K43">IF(D36="","",(J36-I36)*24)</f>
        <v>7.416666666569654</v>
      </c>
      <c r="L36" s="14">
        <f aca="true" t="shared" si="19" ref="L36:L43">IF(D36="","",ROUND((J36-I36)*24*60,0))</f>
        <v>445</v>
      </c>
      <c r="M36" s="170" t="s">
        <v>187</v>
      </c>
      <c r="N36" s="1068" t="str">
        <f t="shared" si="3"/>
        <v>--</v>
      </c>
      <c r="O36" s="167" t="str">
        <f aca="true" t="shared" si="20" ref="O36:O43">IF(D36="","",IF(OR(M36="P",M36="RP"),"--","NO"))</f>
        <v>--</v>
      </c>
      <c r="P36" s="166" t="str">
        <f aca="true" t="shared" si="21" ref="P36:P43">IF(D36="","","NO")</f>
        <v>NO</v>
      </c>
      <c r="Q36" s="386">
        <f aca="true" t="shared" si="22" ref="Q36:Q43">$F$17*IF(OR(M36="P",M36="RP"),0.1,1)*IF(P36="SI",1,0.1)</f>
        <v>2</v>
      </c>
      <c r="R36" s="387">
        <f aca="true" t="shared" si="23" ref="R36:R43">IF(M36="P",H36*Q36*ROUND(L36/60,2),"--")</f>
        <v>2908.64</v>
      </c>
      <c r="S36" s="388" t="str">
        <f aca="true" t="shared" si="24" ref="S36:S43">IF(M36="RP",H36*Q36*N36/100*ROUND(L36/60,2),"--")</f>
        <v>--</v>
      </c>
      <c r="T36" s="389" t="str">
        <f aca="true" t="shared" si="25" ref="T36:T43">IF(AND(M36="F",O36="NO"),H36*Q36,"--")</f>
        <v>--</v>
      </c>
      <c r="U36" s="390" t="str">
        <f aca="true" t="shared" si="26" ref="U36:U43">IF(M36="F",H36*Q36*ROUND(L36/60,2),"--")</f>
        <v>--</v>
      </c>
      <c r="V36" s="391" t="str">
        <f aca="true" t="shared" si="27" ref="V36:V43">IF(AND(M36="R",O36="NO"),H36*Q36*N36/100,"--")</f>
        <v>--</v>
      </c>
      <c r="W36" s="392" t="str">
        <f aca="true" t="shared" si="28" ref="W36:W43">IF(M36="R",H36*Q36*N36/100*ROUND(L36/60,2),"--")</f>
        <v>--</v>
      </c>
      <c r="X36" s="393" t="str">
        <f aca="true" t="shared" si="29" ref="X36:X43">IF(M36="RF",H36*Q36*N36*ROUND(L36/60,2),"--")</f>
        <v>--</v>
      </c>
      <c r="Y36" s="394" t="str">
        <f aca="true" t="shared" si="30" ref="Y36:Y43">IF(M36="RR",H36*Q36*N36/100*ROUND(L36/60,2),"--")</f>
        <v>--</v>
      </c>
      <c r="Z36" s="395" t="s">
        <v>188</v>
      </c>
      <c r="AA36" s="396">
        <f aca="true" t="shared" si="31" ref="AA36:AA42">IF(D36="","",SUM(R36:Y36)*IF(Z36="SI",1,2))</f>
        <v>2908.64</v>
      </c>
      <c r="AB36" s="396">
        <f t="shared" si="15"/>
        <v>626.1443749822452</v>
      </c>
      <c r="AC36" s="17"/>
    </row>
    <row r="37" spans="1:29" s="5" customFormat="1" ht="16.5" customHeight="1">
      <c r="A37" s="90"/>
      <c r="B37" s="95"/>
      <c r="C37" s="168" t="s">
        <v>296</v>
      </c>
      <c r="D37" s="162" t="s">
        <v>205</v>
      </c>
      <c r="E37" s="381" t="s">
        <v>206</v>
      </c>
      <c r="F37" s="382">
        <v>800</v>
      </c>
      <c r="G37" s="383" t="s">
        <v>207</v>
      </c>
      <c r="H37" s="384">
        <f t="shared" si="17"/>
        <v>196</v>
      </c>
      <c r="I37" s="169">
        <v>39368.29236111111</v>
      </c>
      <c r="J37" s="169">
        <v>39370.933333333334</v>
      </c>
      <c r="K37" s="385">
        <f>IF(D37="","",(J37-I37)*24)</f>
        <v>63.3833333333605</v>
      </c>
      <c r="L37" s="14">
        <f>IF(D37="","",ROUND((J37-I37)*24*60,0))</f>
        <v>3803</v>
      </c>
      <c r="M37" s="170" t="s">
        <v>266</v>
      </c>
      <c r="N37" s="1068">
        <v>0.625</v>
      </c>
      <c r="O37" s="167" t="str">
        <f t="shared" si="20"/>
        <v>NO</v>
      </c>
      <c r="P37" s="166" t="str">
        <f t="shared" si="21"/>
        <v>NO</v>
      </c>
      <c r="Q37" s="386">
        <f t="shared" si="22"/>
        <v>20</v>
      </c>
      <c r="R37" s="387" t="str">
        <f t="shared" si="23"/>
        <v>--</v>
      </c>
      <c r="S37" s="388" t="str">
        <f t="shared" si="24"/>
        <v>--</v>
      </c>
      <c r="T37" s="389" t="str">
        <f t="shared" si="25"/>
        <v>--</v>
      </c>
      <c r="U37" s="390" t="str">
        <f t="shared" si="26"/>
        <v>--</v>
      </c>
      <c r="V37" s="391" t="str">
        <f t="shared" si="27"/>
        <v>--</v>
      </c>
      <c r="W37" s="392" t="str">
        <f t="shared" si="28"/>
        <v>--</v>
      </c>
      <c r="X37" s="393">
        <f t="shared" si="29"/>
        <v>155281</v>
      </c>
      <c r="Y37" s="394" t="str">
        <f t="shared" si="30"/>
        <v>--</v>
      </c>
      <c r="Z37" s="395" t="s">
        <v>188</v>
      </c>
      <c r="AA37" s="396">
        <f t="shared" si="31"/>
        <v>155281</v>
      </c>
      <c r="AB37" s="396">
        <f t="shared" si="15"/>
        <v>33427.41786251238</v>
      </c>
      <c r="AC37" s="17"/>
    </row>
    <row r="38" spans="1:29" s="5" customFormat="1" ht="16.5" customHeight="1">
      <c r="A38" s="90"/>
      <c r="B38" s="95"/>
      <c r="C38" s="168" t="s">
        <v>296</v>
      </c>
      <c r="D38" s="162" t="s">
        <v>205</v>
      </c>
      <c r="E38" s="381" t="s">
        <v>206</v>
      </c>
      <c r="F38" s="382">
        <v>800</v>
      </c>
      <c r="G38" s="383" t="s">
        <v>207</v>
      </c>
      <c r="H38" s="384">
        <f t="shared" si="17"/>
        <v>196</v>
      </c>
      <c r="I38" s="169">
        <v>39370.93402777778</v>
      </c>
      <c r="J38" s="169">
        <v>39371.15</v>
      </c>
      <c r="K38" s="385">
        <f>IF(D38="","",(J38-I38)*24)</f>
        <v>5.183333333290648</v>
      </c>
      <c r="L38" s="14">
        <f>IF(D38="","",ROUND((J38-I38)*24*60,0))</f>
        <v>311</v>
      </c>
      <c r="M38" s="170" t="s">
        <v>187</v>
      </c>
      <c r="N38" s="1068" t="str">
        <f t="shared" si="3"/>
        <v>--</v>
      </c>
      <c r="O38" s="167" t="str">
        <f t="shared" si="20"/>
        <v>--</v>
      </c>
      <c r="P38" s="166" t="str">
        <f t="shared" si="21"/>
        <v>NO</v>
      </c>
      <c r="Q38" s="386">
        <f t="shared" si="22"/>
        <v>2</v>
      </c>
      <c r="R38" s="387">
        <f t="shared" si="23"/>
        <v>2030.56</v>
      </c>
      <c r="S38" s="388" t="str">
        <f t="shared" si="24"/>
        <v>--</v>
      </c>
      <c r="T38" s="389" t="str">
        <f t="shared" si="25"/>
        <v>--</v>
      </c>
      <c r="U38" s="390" t="str">
        <f t="shared" si="26"/>
        <v>--</v>
      </c>
      <c r="V38" s="391" t="str">
        <f t="shared" si="27"/>
        <v>--</v>
      </c>
      <c r="W38" s="392" t="str">
        <f t="shared" si="28"/>
        <v>--</v>
      </c>
      <c r="X38" s="393" t="str">
        <f t="shared" si="29"/>
        <v>--</v>
      </c>
      <c r="Y38" s="394" t="str">
        <f t="shared" si="30"/>
        <v>--</v>
      </c>
      <c r="Z38" s="395" t="s">
        <v>188</v>
      </c>
      <c r="AA38" s="396">
        <f t="shared" si="31"/>
        <v>2030.56</v>
      </c>
      <c r="AB38" s="396">
        <f t="shared" si="15"/>
        <v>437.11965800647306</v>
      </c>
      <c r="AC38" s="17"/>
    </row>
    <row r="39" spans="1:29" s="5" customFormat="1" ht="16.5" customHeight="1">
      <c r="A39" s="90"/>
      <c r="B39" s="95"/>
      <c r="C39" s="168" t="s">
        <v>296</v>
      </c>
      <c r="D39" s="162" t="s">
        <v>205</v>
      </c>
      <c r="E39" s="381" t="s">
        <v>206</v>
      </c>
      <c r="F39" s="382">
        <v>800</v>
      </c>
      <c r="G39" s="383" t="s">
        <v>207</v>
      </c>
      <c r="H39" s="384">
        <f t="shared" si="17"/>
        <v>196</v>
      </c>
      <c r="I39" s="169">
        <v>39371.15069444444</v>
      </c>
      <c r="J39" s="169">
        <v>39376.93541666667</v>
      </c>
      <c r="K39" s="385">
        <f t="shared" si="18"/>
        <v>138.83333333343035</v>
      </c>
      <c r="L39" s="14">
        <f t="shared" si="19"/>
        <v>8330</v>
      </c>
      <c r="M39" s="170" t="s">
        <v>266</v>
      </c>
      <c r="N39" s="1068">
        <v>0.375</v>
      </c>
      <c r="O39" s="167" t="str">
        <f t="shared" si="20"/>
        <v>NO</v>
      </c>
      <c r="P39" s="166" t="str">
        <f t="shared" si="21"/>
        <v>NO</v>
      </c>
      <c r="Q39" s="386">
        <f t="shared" si="22"/>
        <v>20</v>
      </c>
      <c r="R39" s="387" t="str">
        <f t="shared" si="23"/>
        <v>--</v>
      </c>
      <c r="S39" s="388" t="str">
        <f t="shared" si="24"/>
        <v>--</v>
      </c>
      <c r="T39" s="389" t="str">
        <f t="shared" si="25"/>
        <v>--</v>
      </c>
      <c r="U39" s="390" t="str">
        <f t="shared" si="26"/>
        <v>--</v>
      </c>
      <c r="V39" s="391" t="str">
        <f t="shared" si="27"/>
        <v>--</v>
      </c>
      <c r="W39" s="392" t="str">
        <f t="shared" si="28"/>
        <v>--</v>
      </c>
      <c r="X39" s="393">
        <f t="shared" si="29"/>
        <v>204080.1</v>
      </c>
      <c r="Y39" s="394" t="str">
        <f t="shared" si="30"/>
        <v>--</v>
      </c>
      <c r="Z39" s="395" t="s">
        <v>188</v>
      </c>
      <c r="AA39" s="396">
        <v>0</v>
      </c>
      <c r="AB39" s="396">
        <f t="shared" si="15"/>
        <v>0</v>
      </c>
      <c r="AC39" s="17"/>
    </row>
    <row r="40" spans="1:29" s="5" customFormat="1" ht="16.5" customHeight="1">
      <c r="A40" s="90"/>
      <c r="B40" s="95"/>
      <c r="C40" s="168" t="s">
        <v>296</v>
      </c>
      <c r="D40" s="162" t="s">
        <v>205</v>
      </c>
      <c r="E40" s="381" t="s">
        <v>206</v>
      </c>
      <c r="F40" s="382">
        <v>800</v>
      </c>
      <c r="G40" s="383" t="s">
        <v>207</v>
      </c>
      <c r="H40" s="384">
        <f t="shared" si="17"/>
        <v>196</v>
      </c>
      <c r="I40" s="169">
        <v>39376.936111111114</v>
      </c>
      <c r="J40" s="169">
        <v>39377.19375</v>
      </c>
      <c r="K40" s="385">
        <f t="shared" si="18"/>
        <v>6.18333333323244</v>
      </c>
      <c r="L40" s="14">
        <f t="shared" si="19"/>
        <v>371</v>
      </c>
      <c r="M40" s="170" t="s">
        <v>187</v>
      </c>
      <c r="N40" s="1068" t="str">
        <f t="shared" si="3"/>
        <v>--</v>
      </c>
      <c r="O40" s="167" t="str">
        <f t="shared" si="20"/>
        <v>--</v>
      </c>
      <c r="P40" s="166" t="str">
        <f t="shared" si="21"/>
        <v>NO</v>
      </c>
      <c r="Q40" s="386">
        <f t="shared" si="22"/>
        <v>2</v>
      </c>
      <c r="R40" s="387">
        <f t="shared" si="23"/>
        <v>2422.56</v>
      </c>
      <c r="S40" s="388" t="str">
        <f t="shared" si="24"/>
        <v>--</v>
      </c>
      <c r="T40" s="389" t="str">
        <f t="shared" si="25"/>
        <v>--</v>
      </c>
      <c r="U40" s="390" t="str">
        <f t="shared" si="26"/>
        <v>--</v>
      </c>
      <c r="V40" s="391" t="str">
        <f t="shared" si="27"/>
        <v>--</v>
      </c>
      <c r="W40" s="392" t="str">
        <f t="shared" si="28"/>
        <v>--</v>
      </c>
      <c r="X40" s="393" t="str">
        <f t="shared" si="29"/>
        <v>--</v>
      </c>
      <c r="Y40" s="394" t="str">
        <f t="shared" si="30"/>
        <v>--</v>
      </c>
      <c r="Z40" s="395" t="s">
        <v>188</v>
      </c>
      <c r="AA40" s="396">
        <f t="shared" si="31"/>
        <v>2422.56</v>
      </c>
      <c r="AB40" s="396">
        <f t="shared" si="15"/>
        <v>521.505692370657</v>
      </c>
      <c r="AC40" s="17"/>
    </row>
    <row r="41" spans="1:29" s="5" customFormat="1" ht="16.5" customHeight="1">
      <c r="A41" s="90"/>
      <c r="B41" s="95"/>
      <c r="C41" s="168" t="s">
        <v>296</v>
      </c>
      <c r="D41" s="162" t="s">
        <v>205</v>
      </c>
      <c r="E41" s="381" t="s">
        <v>206</v>
      </c>
      <c r="F41" s="382">
        <v>800</v>
      </c>
      <c r="G41" s="383" t="s">
        <v>207</v>
      </c>
      <c r="H41" s="384">
        <f t="shared" si="17"/>
        <v>196</v>
      </c>
      <c r="I41" s="169">
        <v>39377.194444444445</v>
      </c>
      <c r="J41" s="169">
        <v>39380.98472222222</v>
      </c>
      <c r="K41" s="385">
        <f t="shared" si="18"/>
        <v>90.96666666667443</v>
      </c>
      <c r="L41" s="14">
        <f t="shared" si="19"/>
        <v>5458</v>
      </c>
      <c r="M41" s="170" t="s">
        <v>266</v>
      </c>
      <c r="N41" s="1068">
        <v>0.625</v>
      </c>
      <c r="O41" s="167" t="str">
        <f t="shared" si="20"/>
        <v>NO</v>
      </c>
      <c r="P41" s="166" t="str">
        <f t="shared" si="21"/>
        <v>NO</v>
      </c>
      <c r="Q41" s="386">
        <f t="shared" si="22"/>
        <v>20</v>
      </c>
      <c r="R41" s="387" t="str">
        <f t="shared" si="23"/>
        <v>--</v>
      </c>
      <c r="S41" s="388" t="str">
        <f t="shared" si="24"/>
        <v>--</v>
      </c>
      <c r="T41" s="389" t="str">
        <f t="shared" si="25"/>
        <v>--</v>
      </c>
      <c r="U41" s="390" t="str">
        <f t="shared" si="26"/>
        <v>--</v>
      </c>
      <c r="V41" s="391" t="str">
        <f t="shared" si="27"/>
        <v>--</v>
      </c>
      <c r="W41" s="392" t="str">
        <f t="shared" si="28"/>
        <v>--</v>
      </c>
      <c r="X41" s="393">
        <f t="shared" si="29"/>
        <v>222876.5</v>
      </c>
      <c r="Y41" s="394" t="str">
        <f t="shared" si="30"/>
        <v>--</v>
      </c>
      <c r="Z41" s="395" t="s">
        <v>188</v>
      </c>
      <c r="AA41" s="396">
        <f t="shared" si="31"/>
        <v>222876.5</v>
      </c>
      <c r="AB41" s="396">
        <f t="shared" si="15"/>
        <v>47978.73466318636</v>
      </c>
      <c r="AC41" s="17"/>
    </row>
    <row r="42" spans="1:29" s="5" customFormat="1" ht="16.5" customHeight="1">
      <c r="A42" s="90"/>
      <c r="B42" s="95"/>
      <c r="C42" s="168" t="s">
        <v>296</v>
      </c>
      <c r="D42" s="162" t="s">
        <v>205</v>
      </c>
      <c r="E42" s="381" t="s">
        <v>206</v>
      </c>
      <c r="F42" s="382">
        <v>800</v>
      </c>
      <c r="G42" s="383" t="s">
        <v>207</v>
      </c>
      <c r="H42" s="384">
        <f t="shared" si="17"/>
        <v>196</v>
      </c>
      <c r="I42" s="169">
        <v>39380.98541666667</v>
      </c>
      <c r="J42" s="169">
        <v>39381.14861111111</v>
      </c>
      <c r="K42" s="385">
        <f t="shared" si="18"/>
        <v>3.9166666665114462</v>
      </c>
      <c r="L42" s="14">
        <f t="shared" si="19"/>
        <v>235</v>
      </c>
      <c r="M42" s="170" t="s">
        <v>187</v>
      </c>
      <c r="N42" s="1068">
        <v>0.625</v>
      </c>
      <c r="O42" s="167" t="str">
        <f t="shared" si="20"/>
        <v>--</v>
      </c>
      <c r="P42" s="166" t="str">
        <f t="shared" si="21"/>
        <v>NO</v>
      </c>
      <c r="Q42" s="386">
        <f t="shared" si="22"/>
        <v>2</v>
      </c>
      <c r="R42" s="387">
        <f t="shared" si="23"/>
        <v>1536.6399999999999</v>
      </c>
      <c r="S42" s="388" t="str">
        <f t="shared" si="24"/>
        <v>--</v>
      </c>
      <c r="T42" s="389" t="str">
        <f t="shared" si="25"/>
        <v>--</v>
      </c>
      <c r="U42" s="390" t="str">
        <f t="shared" si="26"/>
        <v>--</v>
      </c>
      <c r="V42" s="391" t="str">
        <f t="shared" si="27"/>
        <v>--</v>
      </c>
      <c r="W42" s="392" t="str">
        <f t="shared" si="28"/>
        <v>--</v>
      </c>
      <c r="X42" s="393" t="str">
        <f t="shared" si="29"/>
        <v>--</v>
      </c>
      <c r="Y42" s="394" t="str">
        <f t="shared" si="30"/>
        <v>--</v>
      </c>
      <c r="Z42" s="395" t="s">
        <v>188</v>
      </c>
      <c r="AA42" s="396">
        <f t="shared" si="31"/>
        <v>1536.6399999999999</v>
      </c>
      <c r="AB42" s="396">
        <f t="shared" si="15"/>
        <v>330.7932547076012</v>
      </c>
      <c r="AC42" s="17"/>
    </row>
    <row r="43" spans="1:29" s="5" customFormat="1" ht="16.5" customHeight="1">
      <c r="A43" s="90"/>
      <c r="B43" s="95"/>
      <c r="C43" s="168" t="s">
        <v>296</v>
      </c>
      <c r="D43" s="162" t="s">
        <v>205</v>
      </c>
      <c r="E43" s="381" t="s">
        <v>206</v>
      </c>
      <c r="F43" s="382">
        <v>800</v>
      </c>
      <c r="G43" s="383" t="s">
        <v>207</v>
      </c>
      <c r="H43" s="384">
        <f t="shared" si="17"/>
        <v>196</v>
      </c>
      <c r="I43" s="169">
        <v>39381.149305555555</v>
      </c>
      <c r="J43" s="169">
        <v>39386.99930555555</v>
      </c>
      <c r="K43" s="385">
        <f t="shared" si="18"/>
        <v>140.39999999996508</v>
      </c>
      <c r="L43" s="14">
        <f t="shared" si="19"/>
        <v>8424</v>
      </c>
      <c r="M43" s="170" t="s">
        <v>266</v>
      </c>
      <c r="N43" s="1068">
        <v>0.375</v>
      </c>
      <c r="O43" s="167" t="str">
        <f t="shared" si="20"/>
        <v>NO</v>
      </c>
      <c r="P43" s="166" t="str">
        <f t="shared" si="21"/>
        <v>NO</v>
      </c>
      <c r="Q43" s="386">
        <f t="shared" si="22"/>
        <v>20</v>
      </c>
      <c r="R43" s="387" t="str">
        <f t="shared" si="23"/>
        <v>--</v>
      </c>
      <c r="S43" s="388" t="str">
        <f t="shared" si="24"/>
        <v>--</v>
      </c>
      <c r="T43" s="389" t="str">
        <f t="shared" si="25"/>
        <v>--</v>
      </c>
      <c r="U43" s="390" t="str">
        <f t="shared" si="26"/>
        <v>--</v>
      </c>
      <c r="V43" s="391" t="str">
        <f t="shared" si="27"/>
        <v>--</v>
      </c>
      <c r="W43" s="392" t="str">
        <f t="shared" si="28"/>
        <v>--</v>
      </c>
      <c r="X43" s="393">
        <f t="shared" si="29"/>
        <v>206388</v>
      </c>
      <c r="Y43" s="394" t="str">
        <f t="shared" si="30"/>
        <v>--</v>
      </c>
      <c r="Z43" s="395" t="s">
        <v>188</v>
      </c>
      <c r="AA43" s="396">
        <v>0</v>
      </c>
      <c r="AB43" s="396">
        <f t="shared" si="15"/>
        <v>0</v>
      </c>
      <c r="AC43" s="17"/>
    </row>
    <row r="44" spans="1:29" s="5" customFormat="1" ht="16.5" customHeight="1">
      <c r="A44" s="90"/>
      <c r="B44" s="95"/>
      <c r="C44" s="367"/>
      <c r="D44" s="162"/>
      <c r="E44" s="381"/>
      <c r="F44" s="382"/>
      <c r="G44" s="383"/>
      <c r="H44" s="384"/>
      <c r="I44" s="169"/>
      <c r="J44" s="169"/>
      <c r="K44" s="385"/>
      <c r="L44" s="14"/>
      <c r="M44" s="170"/>
      <c r="N44" s="1068"/>
      <c r="O44" s="167"/>
      <c r="P44" s="166"/>
      <c r="Q44" s="386"/>
      <c r="R44" s="387"/>
      <c r="S44" s="388"/>
      <c r="T44" s="389"/>
      <c r="U44" s="390"/>
      <c r="V44" s="391"/>
      <c r="W44" s="392"/>
      <c r="X44" s="393"/>
      <c r="Y44" s="394"/>
      <c r="Z44" s="395"/>
      <c r="AA44" s="396"/>
      <c r="AB44" s="396"/>
      <c r="AC44" s="17"/>
    </row>
    <row r="45" spans="1:29" s="5" customFormat="1" ht="16.5" customHeight="1" thickBot="1">
      <c r="A45" s="90"/>
      <c r="B45" s="95"/>
      <c r="C45" s="168"/>
      <c r="D45" s="398"/>
      <c r="E45" s="399"/>
      <c r="F45" s="398"/>
      <c r="G45" s="400"/>
      <c r="H45" s="139"/>
      <c r="I45" s="171"/>
      <c r="J45" s="401"/>
      <c r="K45" s="402"/>
      <c r="L45" s="403"/>
      <c r="M45" s="177"/>
      <c r="N45" s="1069"/>
      <c r="O45" s="175"/>
      <c r="P45" s="177"/>
      <c r="Q45" s="404"/>
      <c r="R45" s="405"/>
      <c r="S45" s="406"/>
      <c r="T45" s="407"/>
      <c r="U45" s="408"/>
      <c r="V45" s="409"/>
      <c r="W45" s="410"/>
      <c r="X45" s="393" t="str">
        <f>IF(M45="RF",H45*Q45*N45*ROUND(L45/60,2),"--")</f>
        <v>--</v>
      </c>
      <c r="Y45" s="411"/>
      <c r="Z45" s="412"/>
      <c r="AA45" s="413"/>
      <c r="AB45" s="413"/>
      <c r="AC45" s="17"/>
    </row>
    <row r="46" spans="1:29" s="5" customFormat="1" ht="16.5" customHeight="1" thickBot="1" thickTop="1">
      <c r="A46" s="90"/>
      <c r="B46" s="95"/>
      <c r="C46" s="129" t="s">
        <v>25</v>
      </c>
      <c r="D46" s="130" t="s">
        <v>289</v>
      </c>
      <c r="E46" s="15"/>
      <c r="F46" s="15"/>
      <c r="G46" s="15"/>
      <c r="H46" s="15"/>
      <c r="I46" s="15"/>
      <c r="J46" s="99"/>
      <c r="K46" s="15"/>
      <c r="L46" s="15"/>
      <c r="M46" s="15"/>
      <c r="N46" s="1065"/>
      <c r="O46" s="15"/>
      <c r="P46" s="15"/>
      <c r="Q46" s="15"/>
      <c r="R46" s="414">
        <f aca="true" t="shared" si="32" ref="R46:Y46">SUM(R20:R45)</f>
        <v>18287.78</v>
      </c>
      <c r="S46" s="415">
        <f t="shared" si="32"/>
        <v>0</v>
      </c>
      <c r="T46" s="416">
        <f t="shared" si="32"/>
        <v>2940</v>
      </c>
      <c r="U46" s="417">
        <f t="shared" si="32"/>
        <v>1073.1</v>
      </c>
      <c r="V46" s="418">
        <f t="shared" si="32"/>
        <v>0</v>
      </c>
      <c r="W46" s="419">
        <f t="shared" si="32"/>
        <v>0</v>
      </c>
      <c r="X46" s="420">
        <f t="shared" si="32"/>
        <v>1211353.5</v>
      </c>
      <c r="Y46" s="421">
        <f t="shared" si="32"/>
        <v>0</v>
      </c>
      <c r="Z46" s="90"/>
      <c r="AA46" s="422">
        <f>ROUND(SUM(AA20:AA45),2)</f>
        <v>400458.38</v>
      </c>
      <c r="AB46" s="422">
        <f>SUM(AB22:AB43)</f>
        <v>86206.87402067718</v>
      </c>
      <c r="AC46" s="17"/>
    </row>
    <row r="47" spans="1:29" s="135" customFormat="1" ht="9.75" thickTop="1">
      <c r="A47" s="423"/>
      <c r="B47" s="424"/>
      <c r="C47" s="131"/>
      <c r="D47" s="132" t="s">
        <v>290</v>
      </c>
      <c r="E47" s="425"/>
      <c r="F47" s="425"/>
      <c r="G47" s="425" t="s">
        <v>297</v>
      </c>
      <c r="H47" s="425"/>
      <c r="I47" s="425"/>
      <c r="J47" s="426"/>
      <c r="K47" s="425"/>
      <c r="L47" s="425"/>
      <c r="M47" s="425"/>
      <c r="N47" s="1070"/>
      <c r="O47" s="425"/>
      <c r="P47" s="425"/>
      <c r="Q47" s="425"/>
      <c r="R47" s="427"/>
      <c r="S47" s="427"/>
      <c r="T47" s="427"/>
      <c r="U47" s="427"/>
      <c r="V47" s="427"/>
      <c r="W47" s="427"/>
      <c r="X47" s="427"/>
      <c r="Y47" s="427"/>
      <c r="Z47" s="423"/>
      <c r="AA47" s="428"/>
      <c r="AB47" s="428"/>
      <c r="AC47" s="136"/>
    </row>
    <row r="48" spans="1:29" s="5" customFormat="1" ht="16.5" customHeight="1" thickBot="1">
      <c r="A48" s="90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71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</row>
    <row r="49" spans="1:30" ht="16.5" customHeight="1" thickTop="1">
      <c r="A49" s="2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072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</row>
    <row r="50" spans="1:30" ht="16.5" customHeight="1">
      <c r="A50" s="2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072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</row>
    <row r="51" spans="1:30" ht="16.5" customHeight="1">
      <c r="A51" s="2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072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</row>
    <row r="52" spans="1:30" ht="16.5" customHeight="1">
      <c r="A52" s="2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072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</row>
    <row r="53" spans="4:30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072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</row>
    <row r="54" spans="4:30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072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</row>
    <row r="55" spans="4:30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072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</row>
    <row r="56" spans="4:30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072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</row>
    <row r="57" spans="4:30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072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</row>
    <row r="58" spans="4:30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072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</row>
    <row r="59" spans="4:30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072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</row>
    <row r="60" spans="4:30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072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</row>
    <row r="61" spans="4:30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072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</row>
    <row r="62" spans="4:30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072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</row>
    <row r="63" spans="4:30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072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</row>
    <row r="64" spans="4:30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072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</row>
    <row r="65" spans="4:30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072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</row>
    <row r="66" spans="4:30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072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</row>
    <row r="67" spans="4:30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072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</row>
    <row r="68" spans="4:30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072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</row>
    <row r="69" spans="4:30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072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</row>
    <row r="70" spans="4:30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072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</row>
    <row r="71" spans="4:30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072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</row>
    <row r="72" spans="4:30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072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</row>
    <row r="73" spans="4:30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072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</row>
    <row r="74" spans="4:30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072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</row>
    <row r="75" spans="4:30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072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</row>
    <row r="76" spans="4:30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072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</row>
    <row r="77" spans="4:30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072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</row>
    <row r="78" spans="4:30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072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</row>
    <row r="79" spans="4:30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072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</row>
    <row r="80" spans="4:30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072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</row>
    <row r="81" spans="4:30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072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</row>
    <row r="82" spans="4:30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072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</row>
    <row r="83" spans="4:30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072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</row>
    <row r="84" spans="4:30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072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</row>
    <row r="85" spans="4:30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072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</row>
    <row r="86" spans="4:30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072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</row>
    <row r="87" spans="4:30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072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</row>
    <row r="88" spans="4:30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072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</row>
    <row r="89" spans="4:30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072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</row>
    <row r="90" spans="4:30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072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</row>
    <row r="91" spans="4:30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072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</row>
    <row r="92" spans="4:30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072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</row>
    <row r="93" spans="4:30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072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</row>
    <row r="94" spans="4:30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072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</row>
    <row r="95" spans="4:30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072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</row>
    <row r="96" spans="4:30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072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</row>
    <row r="97" spans="4:30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072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</row>
    <row r="98" spans="4:30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072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</row>
    <row r="99" spans="4:30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072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</row>
    <row r="100" spans="4:30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072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</row>
    <row r="101" spans="4:30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072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</row>
    <row r="102" spans="4:30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072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</row>
    <row r="103" spans="4:30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072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</row>
    <row r="104" spans="4:30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072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</row>
    <row r="105" spans="4:30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072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</row>
    <row r="106" spans="4:30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072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</row>
    <row r="107" spans="4:30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072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</row>
    <row r="108" spans="4:30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072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</row>
    <row r="109" spans="4:30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072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</row>
    <row r="110" spans="4:30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072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</row>
    <row r="111" spans="4:30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072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</row>
    <row r="112" spans="4:30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072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</row>
    <row r="113" spans="4:30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072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</row>
    <row r="114" spans="4:30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072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</row>
    <row r="115" spans="4:30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072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</row>
    <row r="116" spans="4:30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072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</row>
    <row r="117" spans="4:30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072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</row>
    <row r="118" spans="4:30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072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</row>
    <row r="119" spans="4:30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072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</row>
    <row r="120" spans="4:30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072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</row>
    <row r="121" spans="4:30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072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</row>
    <row r="122" spans="4:30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072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</row>
    <row r="123" spans="4:30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072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</row>
    <row r="124" spans="4:30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072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</row>
    <row r="125" spans="4:30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072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</row>
    <row r="126" spans="4:30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072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</row>
    <row r="127" spans="4:30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072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</row>
    <row r="128" spans="4:30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072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</row>
    <row r="129" spans="4:30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072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</row>
    <row r="130" spans="4:30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072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</row>
    <row r="131" spans="4:30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072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</row>
    <row r="132" spans="4:30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072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</row>
    <row r="133" spans="4:30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072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</row>
    <row r="134" spans="4:30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072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</row>
    <row r="135" spans="4:30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072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</row>
    <row r="136" spans="4:30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072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</row>
    <row r="137" spans="4:30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072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</row>
    <row r="138" spans="4:30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072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</row>
    <row r="139" spans="4:30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072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</row>
    <row r="140" spans="4:30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072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</row>
    <row r="141" spans="4:30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072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</row>
    <row r="142" spans="4:30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072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</row>
    <row r="143" spans="4:30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072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</row>
    <row r="144" spans="4:30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072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</row>
    <row r="145" spans="4:30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072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</row>
    <row r="146" spans="4:30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072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</row>
    <row r="147" spans="4:30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072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</row>
    <row r="148" spans="4:30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072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</row>
    <row r="149" spans="4:30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072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</row>
    <row r="150" spans="4:30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072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</row>
    <row r="151" spans="4:30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072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</row>
    <row r="152" spans="4:30" ht="16.5" customHeight="1"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072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</row>
    <row r="153" spans="4:30" ht="16.5" customHeight="1"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072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</row>
    <row r="154" spans="4:30" ht="16.5" customHeight="1"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072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</row>
    <row r="155" spans="4:30" ht="16.5" customHeight="1"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072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</row>
    <row r="156" spans="4:30" ht="16.5" customHeight="1"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072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</row>
    <row r="157" ht="16.5" customHeight="1">
      <c r="AD157" s="191"/>
    </row>
    <row r="158" ht="16.5" customHeight="1">
      <c r="AD158" s="191"/>
    </row>
    <row r="159" ht="16.5" customHeight="1">
      <c r="AD159" s="191"/>
    </row>
    <row r="160" ht="16.5" customHeight="1">
      <c r="AD160" s="191"/>
    </row>
    <row r="161" ht="16.5" customHeight="1"/>
    <row r="162" ht="16.5" customHeight="1"/>
    <row r="16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X160"/>
  <sheetViews>
    <sheetView zoomScale="75" zoomScaleNormal="75" workbookViewId="0" topLeftCell="D10">
      <selection activeCell="U24" sqref="U24:U4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2" width="15.7109375" style="0" customWidth="1"/>
  </cols>
  <sheetData>
    <row r="1" s="18" customFormat="1" ht="26.25">
      <c r="V1" s="156"/>
    </row>
    <row r="2" spans="1:22" s="18" customFormat="1" ht="26.25">
      <c r="A2" s="91"/>
      <c r="B2" s="19" t="str">
        <f>+'TOT-1007'!B2</f>
        <v>ANEXO V al Memorandum D.T.E.E. N° 1955 /2009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22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s="29" customFormat="1" ht="20.25">
      <c r="B8" s="79"/>
      <c r="C8" s="30"/>
      <c r="D8" s="12" t="s">
        <v>61</v>
      </c>
      <c r="L8" s="107"/>
      <c r="M8" s="107"/>
      <c r="N8" s="96"/>
      <c r="O8" s="30"/>
      <c r="P8" s="30"/>
      <c r="Q8" s="30"/>
      <c r="R8" s="30"/>
      <c r="S8" s="30"/>
      <c r="T8" s="30"/>
      <c r="U8" s="30"/>
      <c r="V8" s="80"/>
    </row>
    <row r="9" spans="2:22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4"/>
      <c r="V9" s="6"/>
    </row>
    <row r="10" spans="2:22" s="29" customFormat="1" ht="20.25">
      <c r="B10" s="79"/>
      <c r="C10" s="30"/>
      <c r="D10" s="115" t="s">
        <v>83</v>
      </c>
      <c r="E10" s="485"/>
      <c r="F10" s="107"/>
      <c r="G10" s="110"/>
      <c r="I10" s="110"/>
      <c r="J10" s="110"/>
      <c r="K10" s="110"/>
      <c r="L10" s="110"/>
      <c r="M10" s="110"/>
      <c r="N10" s="110"/>
      <c r="O10" s="30"/>
      <c r="P10" s="30"/>
      <c r="Q10" s="30"/>
      <c r="R10" s="30"/>
      <c r="S10" s="30"/>
      <c r="T10" s="30"/>
      <c r="U10" s="30"/>
      <c r="V10" s="80"/>
    </row>
    <row r="11" spans="2:22" s="5" customFormat="1" ht="13.5">
      <c r="B11" s="50"/>
      <c r="C11" s="4"/>
      <c r="D11" s="486"/>
      <c r="E11" s="486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4"/>
      <c r="V11" s="6"/>
    </row>
    <row r="12" spans="2:22" s="29" customFormat="1" ht="20.25">
      <c r="B12" s="79"/>
      <c r="C12" s="30"/>
      <c r="D12" s="115" t="s">
        <v>84</v>
      </c>
      <c r="E12" s="485"/>
      <c r="F12" s="107"/>
      <c r="G12" s="110"/>
      <c r="I12" s="110"/>
      <c r="J12" s="110"/>
      <c r="K12" s="110"/>
      <c r="L12" s="110"/>
      <c r="M12" s="110"/>
      <c r="N12" s="110"/>
      <c r="O12" s="30"/>
      <c r="P12" s="30"/>
      <c r="Q12" s="30"/>
      <c r="R12" s="30"/>
      <c r="S12" s="30"/>
      <c r="T12" s="30"/>
      <c r="U12" s="30"/>
      <c r="V12" s="80"/>
    </row>
    <row r="13" spans="2:22" s="5" customFormat="1" ht="13.5">
      <c r="B13" s="50"/>
      <c r="C13" s="4"/>
      <c r="D13" s="486"/>
      <c r="E13" s="486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4"/>
      <c r="V13" s="6"/>
    </row>
    <row r="14" spans="2:22" s="5" customFormat="1" ht="19.5">
      <c r="B14" s="37" t="str">
        <f>'TOT-1007'!B14</f>
        <v>Desde el 01 al 31 de octubre de 2007</v>
      </c>
      <c r="C14" s="40"/>
      <c r="D14" s="40"/>
      <c r="E14" s="40"/>
      <c r="F14" s="40"/>
      <c r="G14" s="487"/>
      <c r="H14" s="487"/>
      <c r="I14" s="487"/>
      <c r="J14" s="487"/>
      <c r="K14" s="487"/>
      <c r="L14" s="487"/>
      <c r="M14" s="487"/>
      <c r="N14" s="487"/>
      <c r="O14" s="40"/>
      <c r="P14" s="40"/>
      <c r="Q14" s="40"/>
      <c r="R14" s="40"/>
      <c r="S14" s="40"/>
      <c r="T14" s="40"/>
      <c r="U14" s="40"/>
      <c r="V14" s="488"/>
    </row>
    <row r="15" spans="2:22" s="5" customFormat="1" ht="14.25" thickBot="1">
      <c r="B15" s="489"/>
      <c r="C15" s="490"/>
      <c r="D15" s="490"/>
      <c r="E15" s="490"/>
      <c r="F15" s="490"/>
      <c r="G15" s="491"/>
      <c r="H15" s="491"/>
      <c r="I15" s="491"/>
      <c r="J15" s="491"/>
      <c r="K15" s="491"/>
      <c r="L15" s="491"/>
      <c r="M15" s="491"/>
      <c r="N15" s="491"/>
      <c r="O15" s="490"/>
      <c r="P15" s="490"/>
      <c r="Q15" s="490"/>
      <c r="R15" s="490"/>
      <c r="S15" s="490"/>
      <c r="T15" s="490"/>
      <c r="U15" s="490"/>
      <c r="V15" s="492"/>
    </row>
    <row r="16" spans="2:22" s="5" customFormat="1" ht="15" thickBot="1" thickTop="1">
      <c r="B16" s="50"/>
      <c r="C16" s="4"/>
      <c r="D16" s="493"/>
      <c r="E16" s="493"/>
      <c r="F16" s="119" t="s">
        <v>85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50"/>
      <c r="C17" s="4"/>
      <c r="D17" s="494" t="s">
        <v>86</v>
      </c>
      <c r="E17" s="495">
        <v>49.065</v>
      </c>
      <c r="F17" s="496">
        <v>200</v>
      </c>
      <c r="T17" s="117"/>
      <c r="U17" s="117"/>
      <c r="V17" s="6"/>
    </row>
    <row r="18" spans="2:22" s="5" customFormat="1" ht="16.5" customHeight="1" thickBot="1" thickTop="1">
      <c r="B18" s="50"/>
      <c r="C18" s="4"/>
      <c r="D18" s="497" t="s">
        <v>87</v>
      </c>
      <c r="E18" s="498">
        <v>44.156</v>
      </c>
      <c r="F18" s="496">
        <v>100</v>
      </c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2:22" s="5" customFormat="1" ht="16.5" customHeight="1" thickBot="1" thickTop="1">
      <c r="B19" s="50"/>
      <c r="C19" s="4"/>
      <c r="D19" s="499" t="s">
        <v>88</v>
      </c>
      <c r="E19" s="498">
        <v>39.254</v>
      </c>
      <c r="F19" s="496">
        <v>40</v>
      </c>
      <c r="I19" s="232"/>
      <c r="J19" s="233"/>
      <c r="K19" s="4"/>
      <c r="M19" s="4"/>
      <c r="O19" s="4"/>
      <c r="P19" s="4"/>
      <c r="Q19" s="4"/>
      <c r="R19" s="4"/>
      <c r="S19" s="4"/>
      <c r="T19" s="4"/>
      <c r="U19" s="4"/>
      <c r="V19" s="6"/>
    </row>
    <row r="20" spans="2:22" s="5" customFormat="1" ht="16.5" customHeight="1" thickBot="1" thickTop="1">
      <c r="B20" s="50"/>
      <c r="C20" s="500"/>
      <c r="D20" s="501"/>
      <c r="E20" s="501"/>
      <c r="F20" s="502"/>
      <c r="G20" s="503"/>
      <c r="H20" s="503"/>
      <c r="I20" s="503"/>
      <c r="J20" s="503"/>
      <c r="K20" s="503"/>
      <c r="L20" s="503"/>
      <c r="M20" s="503"/>
      <c r="N20" s="504"/>
      <c r="O20" s="505"/>
      <c r="P20" s="506"/>
      <c r="Q20" s="506"/>
      <c r="R20" s="506"/>
      <c r="S20" s="507"/>
      <c r="T20" s="508"/>
      <c r="U20" s="1076"/>
      <c r="V20" s="6"/>
    </row>
    <row r="21" spans="2:22" s="5" customFormat="1" ht="33.75" customHeight="1" thickBot="1" thickTop="1">
      <c r="B21" s="50"/>
      <c r="C21" s="84" t="s">
        <v>13</v>
      </c>
      <c r="D21" s="86" t="s">
        <v>29</v>
      </c>
      <c r="E21" s="509" t="s">
        <v>30</v>
      </c>
      <c r="F21" s="510" t="s">
        <v>14</v>
      </c>
      <c r="G21" s="137" t="s">
        <v>16</v>
      </c>
      <c r="H21" s="85" t="s">
        <v>17</v>
      </c>
      <c r="I21" s="509" t="s">
        <v>18</v>
      </c>
      <c r="J21" s="511" t="s">
        <v>38</v>
      </c>
      <c r="K21" s="511" t="s">
        <v>33</v>
      </c>
      <c r="L21" s="88" t="s">
        <v>19</v>
      </c>
      <c r="M21" s="195" t="s">
        <v>34</v>
      </c>
      <c r="N21" s="145" t="s">
        <v>39</v>
      </c>
      <c r="O21" s="512" t="s">
        <v>62</v>
      </c>
      <c r="P21" s="197" t="s">
        <v>37</v>
      </c>
      <c r="Q21" s="513"/>
      <c r="R21" s="144" t="s">
        <v>22</v>
      </c>
      <c r="S21" s="142" t="s">
        <v>74</v>
      </c>
      <c r="T21" s="123" t="s">
        <v>24</v>
      </c>
      <c r="U21" s="123" t="s">
        <v>304</v>
      </c>
      <c r="V21" s="6"/>
    </row>
    <row r="22" spans="2:22" s="5" customFormat="1" ht="16.5" customHeight="1" thickTop="1">
      <c r="B22" s="50"/>
      <c r="C22" s="7"/>
      <c r="D22" s="514"/>
      <c r="E22" s="514"/>
      <c r="F22" s="514"/>
      <c r="G22" s="278"/>
      <c r="H22" s="514"/>
      <c r="I22" s="514"/>
      <c r="J22" s="514"/>
      <c r="K22" s="514"/>
      <c r="L22" s="514"/>
      <c r="M22" s="514"/>
      <c r="N22" s="515"/>
      <c r="O22" s="516"/>
      <c r="P22" s="517"/>
      <c r="Q22" s="518"/>
      <c r="R22" s="519"/>
      <c r="S22" s="514"/>
      <c r="T22" s="520"/>
      <c r="U22" s="520"/>
      <c r="V22" s="6"/>
    </row>
    <row r="23" spans="2:23" s="5" customFormat="1" ht="16.5" customHeight="1">
      <c r="B23" s="50"/>
      <c r="C23" s="367"/>
      <c r="D23" s="521"/>
      <c r="E23" s="521"/>
      <c r="F23" s="521"/>
      <c r="G23" s="522"/>
      <c r="H23" s="521"/>
      <c r="I23" s="521"/>
      <c r="J23" s="521"/>
      <c r="K23" s="521"/>
      <c r="L23" s="521"/>
      <c r="M23" s="521"/>
      <c r="N23" s="523"/>
      <c r="O23" s="524"/>
      <c r="P23" s="209"/>
      <c r="Q23" s="525"/>
      <c r="R23" s="526"/>
      <c r="S23" s="521"/>
      <c r="T23" s="527"/>
      <c r="U23" s="527"/>
      <c r="V23" s="6"/>
      <c r="W23" s="1079">
        <v>0.784729504173</v>
      </c>
    </row>
    <row r="24" spans="2:22" s="5" customFormat="1" ht="16.5" customHeight="1">
      <c r="B24" s="50"/>
      <c r="C24" s="168">
        <v>45</v>
      </c>
      <c r="D24" s="528" t="s">
        <v>221</v>
      </c>
      <c r="E24" s="528" t="s">
        <v>222</v>
      </c>
      <c r="F24" s="529">
        <v>132</v>
      </c>
      <c r="G24" s="138">
        <f aca="true" t="shared" si="0" ref="G24:G42">IF(F24=500,$E$17,IF(F24=220,$E$18,$E$19))</f>
        <v>39.254</v>
      </c>
      <c r="H24" s="530">
        <v>39360.245833333334</v>
      </c>
      <c r="I24" s="164">
        <v>39360.25069444445</v>
      </c>
      <c r="J24" s="531">
        <f aca="true" t="shared" si="1" ref="J24:J42">IF(D24="","",(I24-H24)*24)</f>
        <v>0.11666666669771075</v>
      </c>
      <c r="K24" s="532">
        <f aca="true" t="shared" si="2" ref="K24:K42">IF(D24="","",ROUND((I24-H24)*24*60,0))</f>
        <v>7</v>
      </c>
      <c r="L24" s="281" t="s">
        <v>187</v>
      </c>
      <c r="M24" s="166" t="str">
        <f aca="true" t="shared" si="3" ref="M24:M42">IF(D24="","",IF(L24="P","--","NO"))</f>
        <v>--</v>
      </c>
      <c r="N24" s="533">
        <f aca="true" t="shared" si="4" ref="N24:N42">IF(F24=500,$F$17,IF(F24=220,$F$18,$F$19))</f>
        <v>40</v>
      </c>
      <c r="O24" s="534">
        <f aca="true" t="shared" si="5" ref="O24:O42">IF(L24="P",G24*N24*ROUND(K24/60,2)*0.1,"--")</f>
        <v>18.84192</v>
      </c>
      <c r="P24" s="535" t="str">
        <f aca="true" t="shared" si="6" ref="P24:P42">IF(AND(L24="F",M24="NO"),G24*N24,"--")</f>
        <v>--</v>
      </c>
      <c r="Q24" s="536" t="str">
        <f aca="true" t="shared" si="7" ref="Q24:Q42">IF(L24="F",G24*N24*ROUND(K24/60,2),"--")</f>
        <v>--</v>
      </c>
      <c r="R24" s="174" t="str">
        <f aca="true" t="shared" si="8" ref="R24:R42">IF(L24="RF",G24*N24*ROUND(K24/60,2),"--")</f>
        <v>--</v>
      </c>
      <c r="S24" s="166" t="str">
        <f aca="true" t="shared" si="9" ref="S24:S42">IF(D24="","","SI")</f>
        <v>SI</v>
      </c>
      <c r="T24" s="537">
        <v>0</v>
      </c>
      <c r="U24" s="537">
        <f>T24*(1-$W$23)</f>
        <v>0</v>
      </c>
      <c r="V24" s="6"/>
    </row>
    <row r="25" spans="2:22" s="5" customFormat="1" ht="16.5" customHeight="1">
      <c r="B25" s="50"/>
      <c r="C25" s="367">
        <v>46</v>
      </c>
      <c r="D25" s="528" t="s">
        <v>223</v>
      </c>
      <c r="E25" s="528" t="s">
        <v>224</v>
      </c>
      <c r="F25" s="529">
        <v>220</v>
      </c>
      <c r="G25" s="138">
        <f t="shared" si="0"/>
        <v>44.156</v>
      </c>
      <c r="H25" s="530">
        <v>39360.33611111111</v>
      </c>
      <c r="I25" s="164">
        <v>39360.75555555556</v>
      </c>
      <c r="J25" s="531">
        <f t="shared" si="1"/>
        <v>10.066666666825768</v>
      </c>
      <c r="K25" s="532">
        <f t="shared" si="2"/>
        <v>604</v>
      </c>
      <c r="L25" s="281" t="s">
        <v>187</v>
      </c>
      <c r="M25" s="166" t="str">
        <f t="shared" si="3"/>
        <v>--</v>
      </c>
      <c r="N25" s="533">
        <f t="shared" si="4"/>
        <v>100</v>
      </c>
      <c r="O25" s="534">
        <f t="shared" si="5"/>
        <v>4446.5091999999995</v>
      </c>
      <c r="P25" s="535" t="str">
        <f t="shared" si="6"/>
        <v>--</v>
      </c>
      <c r="Q25" s="536" t="str">
        <f t="shared" si="7"/>
        <v>--</v>
      </c>
      <c r="R25" s="174" t="str">
        <f t="shared" si="8"/>
        <v>--</v>
      </c>
      <c r="S25" s="166" t="str">
        <f t="shared" si="9"/>
        <v>SI</v>
      </c>
      <c r="T25" s="537">
        <v>0</v>
      </c>
      <c r="U25" s="537">
        <f aca="true" t="shared" si="10" ref="U25:U43">T25*(1-$W$23)</f>
        <v>0</v>
      </c>
      <c r="V25" s="6"/>
    </row>
    <row r="26" spans="2:22" s="5" customFormat="1" ht="16.5" customHeight="1">
      <c r="B26" s="50"/>
      <c r="C26" s="168">
        <v>47</v>
      </c>
      <c r="D26" s="528" t="s">
        <v>218</v>
      </c>
      <c r="E26" s="528" t="s">
        <v>225</v>
      </c>
      <c r="F26" s="529">
        <v>132</v>
      </c>
      <c r="G26" s="138">
        <f t="shared" si="0"/>
        <v>39.254</v>
      </c>
      <c r="H26" s="530">
        <v>39361.32638888889</v>
      </c>
      <c r="I26" s="164">
        <v>39361.604166666664</v>
      </c>
      <c r="J26" s="531">
        <f t="shared" si="1"/>
        <v>6.666666666569654</v>
      </c>
      <c r="K26" s="532">
        <f t="shared" si="2"/>
        <v>400</v>
      </c>
      <c r="L26" s="281" t="s">
        <v>187</v>
      </c>
      <c r="M26" s="166" t="str">
        <f t="shared" si="3"/>
        <v>--</v>
      </c>
      <c r="N26" s="533">
        <f t="shared" si="4"/>
        <v>40</v>
      </c>
      <c r="O26" s="534">
        <f t="shared" si="5"/>
        <v>1047.29672</v>
      </c>
      <c r="P26" s="535" t="str">
        <f t="shared" si="6"/>
        <v>--</v>
      </c>
      <c r="Q26" s="536" t="str">
        <f t="shared" si="7"/>
        <v>--</v>
      </c>
      <c r="R26" s="174" t="str">
        <f t="shared" si="8"/>
        <v>--</v>
      </c>
      <c r="S26" s="166" t="str">
        <f t="shared" si="9"/>
        <v>SI</v>
      </c>
      <c r="T26" s="537">
        <f aca="true" t="shared" si="11" ref="T26:T39">IF(D26="","",SUM(O26:R26)*IF(S26="SI",1,2))</f>
        <v>1047.29672</v>
      </c>
      <c r="U26" s="537">
        <f t="shared" si="10"/>
        <v>225.45208419239077</v>
      </c>
      <c r="V26" s="6"/>
    </row>
    <row r="27" spans="2:22" s="5" customFormat="1" ht="16.5" customHeight="1">
      <c r="B27" s="50"/>
      <c r="C27" s="367">
        <v>48</v>
      </c>
      <c r="D27" s="528" t="s">
        <v>215</v>
      </c>
      <c r="E27" s="528" t="s">
        <v>226</v>
      </c>
      <c r="F27" s="529">
        <v>132</v>
      </c>
      <c r="G27" s="138">
        <f t="shared" si="0"/>
        <v>39.254</v>
      </c>
      <c r="H27" s="530">
        <v>39362.27291666667</v>
      </c>
      <c r="I27" s="164">
        <v>39362.833333333336</v>
      </c>
      <c r="J27" s="531">
        <f t="shared" si="1"/>
        <v>13.450000000011642</v>
      </c>
      <c r="K27" s="532">
        <f t="shared" si="2"/>
        <v>807</v>
      </c>
      <c r="L27" s="281" t="s">
        <v>187</v>
      </c>
      <c r="M27" s="166" t="str">
        <f t="shared" si="3"/>
        <v>--</v>
      </c>
      <c r="N27" s="533">
        <f t="shared" si="4"/>
        <v>40</v>
      </c>
      <c r="O27" s="534">
        <f t="shared" si="5"/>
        <v>2111.8651999999997</v>
      </c>
      <c r="P27" s="535" t="str">
        <f t="shared" si="6"/>
        <v>--</v>
      </c>
      <c r="Q27" s="536" t="str">
        <f t="shared" si="7"/>
        <v>--</v>
      </c>
      <c r="R27" s="174" t="str">
        <f t="shared" si="8"/>
        <v>--</v>
      </c>
      <c r="S27" s="166" t="str">
        <f t="shared" si="9"/>
        <v>SI</v>
      </c>
      <c r="T27" s="537">
        <f t="shared" si="11"/>
        <v>2111.8651999999997</v>
      </c>
      <c r="U27" s="537">
        <f t="shared" si="10"/>
        <v>454.6222687237864</v>
      </c>
      <c r="V27" s="6"/>
    </row>
    <row r="28" spans="2:22" s="5" customFormat="1" ht="16.5" customHeight="1">
      <c r="B28" s="50"/>
      <c r="C28" s="168">
        <v>49</v>
      </c>
      <c r="D28" s="528" t="s">
        <v>227</v>
      </c>
      <c r="E28" s="528" t="s">
        <v>228</v>
      </c>
      <c r="F28" s="529">
        <v>132</v>
      </c>
      <c r="G28" s="138">
        <f t="shared" si="0"/>
        <v>39.254</v>
      </c>
      <c r="H28" s="530">
        <v>39362.30625</v>
      </c>
      <c r="I28" s="164">
        <v>39362.73472222222</v>
      </c>
      <c r="J28" s="531">
        <f t="shared" si="1"/>
        <v>10.283333333325572</v>
      </c>
      <c r="K28" s="532">
        <f t="shared" si="2"/>
        <v>617</v>
      </c>
      <c r="L28" s="281" t="s">
        <v>187</v>
      </c>
      <c r="M28" s="166" t="str">
        <f t="shared" si="3"/>
        <v>--</v>
      </c>
      <c r="N28" s="533">
        <f t="shared" si="4"/>
        <v>40</v>
      </c>
      <c r="O28" s="534">
        <f t="shared" si="5"/>
        <v>1614.1244799999997</v>
      </c>
      <c r="P28" s="535" t="str">
        <f t="shared" si="6"/>
        <v>--</v>
      </c>
      <c r="Q28" s="536" t="str">
        <f t="shared" si="7"/>
        <v>--</v>
      </c>
      <c r="R28" s="174" t="str">
        <f t="shared" si="8"/>
        <v>--</v>
      </c>
      <c r="S28" s="166" t="str">
        <f t="shared" si="9"/>
        <v>SI</v>
      </c>
      <c r="T28" s="537">
        <f t="shared" si="11"/>
        <v>1614.1244799999997</v>
      </c>
      <c r="U28" s="537">
        <f t="shared" si="10"/>
        <v>347.47337713609846</v>
      </c>
      <c r="V28" s="6"/>
    </row>
    <row r="29" spans="2:22" s="5" customFormat="1" ht="16.5" customHeight="1">
      <c r="B29" s="50"/>
      <c r="C29" s="367">
        <v>50</v>
      </c>
      <c r="D29" s="528" t="s">
        <v>229</v>
      </c>
      <c r="E29" s="528" t="s">
        <v>230</v>
      </c>
      <c r="F29" s="529">
        <v>132</v>
      </c>
      <c r="G29" s="138">
        <f t="shared" si="0"/>
        <v>39.254</v>
      </c>
      <c r="H29" s="530">
        <v>39363.90416666667</v>
      </c>
      <c r="I29" s="164">
        <v>39363.90625</v>
      </c>
      <c r="J29" s="531">
        <f t="shared" si="1"/>
        <v>0.04999999998835847</v>
      </c>
      <c r="K29" s="532">
        <f t="shared" si="2"/>
        <v>3</v>
      </c>
      <c r="L29" s="281" t="s">
        <v>190</v>
      </c>
      <c r="M29" s="166" t="str">
        <f t="shared" si="3"/>
        <v>NO</v>
      </c>
      <c r="N29" s="533">
        <f t="shared" si="4"/>
        <v>40</v>
      </c>
      <c r="O29" s="534" t="str">
        <f t="shared" si="5"/>
        <v>--</v>
      </c>
      <c r="P29" s="535">
        <f t="shared" si="6"/>
        <v>1570.1599999999999</v>
      </c>
      <c r="Q29" s="536">
        <f t="shared" si="7"/>
        <v>78.508</v>
      </c>
      <c r="R29" s="174" t="str">
        <f t="shared" si="8"/>
        <v>--</v>
      </c>
      <c r="S29" s="166" t="str">
        <f t="shared" si="9"/>
        <v>SI</v>
      </c>
      <c r="T29" s="537">
        <f t="shared" si="11"/>
        <v>1648.668</v>
      </c>
      <c r="U29" s="537">
        <f t="shared" si="10"/>
        <v>354.9095778141084</v>
      </c>
      <c r="V29" s="6"/>
    </row>
    <row r="30" spans="2:22" s="5" customFormat="1" ht="16.5" customHeight="1">
      <c r="B30" s="50"/>
      <c r="C30" s="168">
        <v>51</v>
      </c>
      <c r="D30" s="528" t="s">
        <v>231</v>
      </c>
      <c r="E30" s="528" t="s">
        <v>232</v>
      </c>
      <c r="F30" s="529">
        <v>132</v>
      </c>
      <c r="G30" s="138">
        <f t="shared" si="0"/>
        <v>39.254</v>
      </c>
      <c r="H30" s="530">
        <v>39364.256944444445</v>
      </c>
      <c r="I30" s="164">
        <v>39364.316666666666</v>
      </c>
      <c r="J30" s="531">
        <f t="shared" si="1"/>
        <v>1.4333333332906477</v>
      </c>
      <c r="K30" s="532">
        <f t="shared" si="2"/>
        <v>86</v>
      </c>
      <c r="L30" s="281" t="s">
        <v>190</v>
      </c>
      <c r="M30" s="166" t="s">
        <v>188</v>
      </c>
      <c r="N30" s="533">
        <f t="shared" si="4"/>
        <v>40</v>
      </c>
      <c r="O30" s="534" t="str">
        <f t="shared" si="5"/>
        <v>--</v>
      </c>
      <c r="P30" s="535" t="str">
        <f t="shared" si="6"/>
        <v>--</v>
      </c>
      <c r="Q30" s="536">
        <f t="shared" si="7"/>
        <v>2245.3288</v>
      </c>
      <c r="R30" s="174" t="str">
        <f t="shared" si="8"/>
        <v>--</v>
      </c>
      <c r="S30" s="166" t="str">
        <f t="shared" si="9"/>
        <v>SI</v>
      </c>
      <c r="T30" s="537">
        <f t="shared" si="11"/>
        <v>2245.3288</v>
      </c>
      <c r="U30" s="537">
        <f t="shared" si="10"/>
        <v>483.3530440706428</v>
      </c>
      <c r="V30" s="6"/>
    </row>
    <row r="31" spans="2:22" s="5" customFormat="1" ht="16.5" customHeight="1">
      <c r="B31" s="50"/>
      <c r="C31" s="367">
        <v>52</v>
      </c>
      <c r="D31" s="528" t="s">
        <v>233</v>
      </c>
      <c r="E31" s="528" t="s">
        <v>234</v>
      </c>
      <c r="F31" s="529">
        <v>132</v>
      </c>
      <c r="G31" s="138">
        <f t="shared" si="0"/>
        <v>39.254</v>
      </c>
      <c r="H31" s="530">
        <v>39367.37847222222</v>
      </c>
      <c r="I31" s="164">
        <v>39367.467361111114</v>
      </c>
      <c r="J31" s="531">
        <f t="shared" si="1"/>
        <v>2.1333333334769122</v>
      </c>
      <c r="K31" s="532">
        <f t="shared" si="2"/>
        <v>128</v>
      </c>
      <c r="L31" s="281" t="s">
        <v>187</v>
      </c>
      <c r="M31" s="166" t="str">
        <f t="shared" si="3"/>
        <v>--</v>
      </c>
      <c r="N31" s="533">
        <f t="shared" si="4"/>
        <v>40</v>
      </c>
      <c r="O31" s="534">
        <f t="shared" si="5"/>
        <v>334.44408</v>
      </c>
      <c r="P31" s="535" t="str">
        <f t="shared" si="6"/>
        <v>--</v>
      </c>
      <c r="Q31" s="536" t="str">
        <f t="shared" si="7"/>
        <v>--</v>
      </c>
      <c r="R31" s="174" t="str">
        <f t="shared" si="8"/>
        <v>--</v>
      </c>
      <c r="S31" s="166" t="str">
        <f t="shared" si="9"/>
        <v>SI</v>
      </c>
      <c r="T31" s="537">
        <f t="shared" si="11"/>
        <v>334.44408</v>
      </c>
      <c r="U31" s="537">
        <f t="shared" si="10"/>
        <v>71.99594292800484</v>
      </c>
      <c r="V31" s="6"/>
    </row>
    <row r="32" spans="2:22" s="5" customFormat="1" ht="16.5" customHeight="1">
      <c r="B32" s="50"/>
      <c r="C32" s="168">
        <v>53</v>
      </c>
      <c r="D32" s="528" t="s">
        <v>215</v>
      </c>
      <c r="E32" s="528" t="s">
        <v>235</v>
      </c>
      <c r="F32" s="529">
        <v>132</v>
      </c>
      <c r="G32" s="138">
        <f t="shared" si="0"/>
        <v>39.254</v>
      </c>
      <c r="H32" s="530">
        <v>39370.33125</v>
      </c>
      <c r="I32" s="164">
        <v>39370.76111111111</v>
      </c>
      <c r="J32" s="531">
        <f t="shared" si="1"/>
        <v>10.316666666592937</v>
      </c>
      <c r="K32" s="532">
        <f t="shared" si="2"/>
        <v>619</v>
      </c>
      <c r="L32" s="281" t="s">
        <v>187</v>
      </c>
      <c r="M32" s="166" t="str">
        <f t="shared" si="3"/>
        <v>--</v>
      </c>
      <c r="N32" s="533">
        <f t="shared" si="4"/>
        <v>40</v>
      </c>
      <c r="O32" s="534">
        <f t="shared" si="5"/>
        <v>1620.40512</v>
      </c>
      <c r="P32" s="535" t="str">
        <f t="shared" si="6"/>
        <v>--</v>
      </c>
      <c r="Q32" s="536" t="str">
        <f t="shared" si="7"/>
        <v>--</v>
      </c>
      <c r="R32" s="174" t="str">
        <f t="shared" si="8"/>
        <v>--</v>
      </c>
      <c r="S32" s="166" t="str">
        <f t="shared" si="9"/>
        <v>SI</v>
      </c>
      <c r="T32" s="537">
        <v>0</v>
      </c>
      <c r="U32" s="537">
        <f t="shared" si="10"/>
        <v>0</v>
      </c>
      <c r="V32" s="6"/>
    </row>
    <row r="33" spans="2:22" s="5" customFormat="1" ht="16.5" customHeight="1">
      <c r="B33" s="50"/>
      <c r="C33" s="367">
        <v>54</v>
      </c>
      <c r="D33" s="528" t="s">
        <v>215</v>
      </c>
      <c r="E33" s="528" t="s">
        <v>226</v>
      </c>
      <c r="F33" s="529">
        <v>132</v>
      </c>
      <c r="G33" s="138">
        <f t="shared" si="0"/>
        <v>39.254</v>
      </c>
      <c r="H33" s="530">
        <v>39375.28125</v>
      </c>
      <c r="I33" s="164">
        <v>39375.325</v>
      </c>
      <c r="J33" s="531">
        <f t="shared" si="1"/>
        <v>1.0499999999301508</v>
      </c>
      <c r="K33" s="532">
        <f t="shared" si="2"/>
        <v>63</v>
      </c>
      <c r="L33" s="281" t="s">
        <v>187</v>
      </c>
      <c r="M33" s="166" t="str">
        <f t="shared" si="3"/>
        <v>--</v>
      </c>
      <c r="N33" s="533">
        <f t="shared" si="4"/>
        <v>40</v>
      </c>
      <c r="O33" s="534">
        <f t="shared" si="5"/>
        <v>164.8668</v>
      </c>
      <c r="P33" s="535" t="str">
        <f t="shared" si="6"/>
        <v>--</v>
      </c>
      <c r="Q33" s="536" t="str">
        <f t="shared" si="7"/>
        <v>--</v>
      </c>
      <c r="R33" s="174" t="str">
        <f t="shared" si="8"/>
        <v>--</v>
      </c>
      <c r="S33" s="166" t="str">
        <f t="shared" si="9"/>
        <v>SI</v>
      </c>
      <c r="T33" s="537">
        <v>0</v>
      </c>
      <c r="U33" s="537">
        <f t="shared" si="10"/>
        <v>0</v>
      </c>
      <c r="V33" s="6"/>
    </row>
    <row r="34" spans="2:22" s="5" customFormat="1" ht="16.5" customHeight="1">
      <c r="B34" s="50"/>
      <c r="C34" s="168">
        <v>55</v>
      </c>
      <c r="D34" s="528" t="s">
        <v>205</v>
      </c>
      <c r="E34" s="528" t="s">
        <v>236</v>
      </c>
      <c r="F34" s="529">
        <v>500</v>
      </c>
      <c r="G34" s="138">
        <f t="shared" si="0"/>
        <v>49.065</v>
      </c>
      <c r="H34" s="530">
        <v>39375.29305555556</v>
      </c>
      <c r="I34" s="164">
        <v>39375.70972222222</v>
      </c>
      <c r="J34" s="531">
        <f t="shared" si="1"/>
        <v>9.999999999941792</v>
      </c>
      <c r="K34" s="532">
        <f t="shared" si="2"/>
        <v>600</v>
      </c>
      <c r="L34" s="281" t="s">
        <v>187</v>
      </c>
      <c r="M34" s="166" t="str">
        <f t="shared" si="3"/>
        <v>--</v>
      </c>
      <c r="N34" s="533">
        <f t="shared" si="4"/>
        <v>200</v>
      </c>
      <c r="O34" s="534">
        <f t="shared" si="5"/>
        <v>9813</v>
      </c>
      <c r="P34" s="535" t="str">
        <f t="shared" si="6"/>
        <v>--</v>
      </c>
      <c r="Q34" s="536" t="str">
        <f t="shared" si="7"/>
        <v>--</v>
      </c>
      <c r="R34" s="174" t="str">
        <f t="shared" si="8"/>
        <v>--</v>
      </c>
      <c r="S34" s="166" t="str">
        <f t="shared" si="9"/>
        <v>SI</v>
      </c>
      <c r="T34" s="537">
        <v>0</v>
      </c>
      <c r="U34" s="537">
        <f t="shared" si="10"/>
        <v>0</v>
      </c>
      <c r="V34" s="6"/>
    </row>
    <row r="35" spans="2:22" s="5" customFormat="1" ht="16.5" customHeight="1">
      <c r="B35" s="50"/>
      <c r="C35" s="367">
        <v>56</v>
      </c>
      <c r="D35" s="528" t="s">
        <v>205</v>
      </c>
      <c r="E35" s="528" t="s">
        <v>237</v>
      </c>
      <c r="F35" s="529">
        <v>500</v>
      </c>
      <c r="G35" s="138">
        <f t="shared" si="0"/>
        <v>49.065</v>
      </c>
      <c r="H35" s="530">
        <v>39375.413194444445</v>
      </c>
      <c r="I35" s="164">
        <v>39375.62708333333</v>
      </c>
      <c r="J35" s="531">
        <f t="shared" si="1"/>
        <v>5.133333333302289</v>
      </c>
      <c r="K35" s="532">
        <f t="shared" si="2"/>
        <v>308</v>
      </c>
      <c r="L35" s="281" t="s">
        <v>187</v>
      </c>
      <c r="M35" s="166" t="str">
        <f t="shared" si="3"/>
        <v>--</v>
      </c>
      <c r="N35" s="533">
        <f t="shared" si="4"/>
        <v>200</v>
      </c>
      <c r="O35" s="534">
        <f t="shared" si="5"/>
        <v>5034.069</v>
      </c>
      <c r="P35" s="535" t="str">
        <f t="shared" si="6"/>
        <v>--</v>
      </c>
      <c r="Q35" s="536" t="str">
        <f t="shared" si="7"/>
        <v>--</v>
      </c>
      <c r="R35" s="174" t="str">
        <f t="shared" si="8"/>
        <v>--</v>
      </c>
      <c r="S35" s="166" t="str">
        <f t="shared" si="9"/>
        <v>SI</v>
      </c>
      <c r="T35" s="537">
        <v>0</v>
      </c>
      <c r="U35" s="537">
        <f t="shared" si="10"/>
        <v>0</v>
      </c>
      <c r="V35" s="6"/>
    </row>
    <row r="36" spans="2:22" s="5" customFormat="1" ht="16.5" customHeight="1">
      <c r="B36" s="50"/>
      <c r="C36" s="168">
        <v>57</v>
      </c>
      <c r="D36" s="528" t="s">
        <v>238</v>
      </c>
      <c r="E36" s="528" t="s">
        <v>239</v>
      </c>
      <c r="F36" s="529">
        <v>500</v>
      </c>
      <c r="G36" s="138">
        <f t="shared" si="0"/>
        <v>49.065</v>
      </c>
      <c r="H36" s="530">
        <v>39375.41805555556</v>
      </c>
      <c r="I36" s="164">
        <v>39375.72708333333</v>
      </c>
      <c r="J36" s="531">
        <f t="shared" si="1"/>
        <v>7.416666666569654</v>
      </c>
      <c r="K36" s="532">
        <f t="shared" si="2"/>
        <v>445</v>
      </c>
      <c r="L36" s="281" t="s">
        <v>187</v>
      </c>
      <c r="M36" s="166" t="str">
        <f t="shared" si="3"/>
        <v>--</v>
      </c>
      <c r="N36" s="533">
        <f t="shared" si="4"/>
        <v>200</v>
      </c>
      <c r="O36" s="534">
        <f t="shared" si="5"/>
        <v>7281.246000000001</v>
      </c>
      <c r="P36" s="535" t="str">
        <f t="shared" si="6"/>
        <v>--</v>
      </c>
      <c r="Q36" s="536" t="str">
        <f t="shared" si="7"/>
        <v>--</v>
      </c>
      <c r="R36" s="174" t="str">
        <f t="shared" si="8"/>
        <v>--</v>
      </c>
      <c r="S36" s="166" t="str">
        <f t="shared" si="9"/>
        <v>SI</v>
      </c>
      <c r="T36" s="537">
        <f t="shared" si="11"/>
        <v>7281.246000000001</v>
      </c>
      <c r="U36" s="537">
        <f t="shared" si="10"/>
        <v>1567.4374366583604</v>
      </c>
      <c r="V36" s="6"/>
    </row>
    <row r="37" spans="2:22" s="5" customFormat="1" ht="16.5" customHeight="1">
      <c r="B37" s="50"/>
      <c r="C37" s="367">
        <v>58</v>
      </c>
      <c r="D37" s="528" t="s">
        <v>238</v>
      </c>
      <c r="E37" s="528" t="s">
        <v>239</v>
      </c>
      <c r="F37" s="529">
        <v>500</v>
      </c>
      <c r="G37" s="138">
        <f t="shared" si="0"/>
        <v>49.065</v>
      </c>
      <c r="H37" s="530">
        <v>39376.342361111114</v>
      </c>
      <c r="I37" s="164">
        <v>39376.70972222222</v>
      </c>
      <c r="J37" s="531">
        <f t="shared" si="1"/>
        <v>8.816666666592937</v>
      </c>
      <c r="K37" s="532">
        <f t="shared" si="2"/>
        <v>529</v>
      </c>
      <c r="L37" s="281" t="s">
        <v>187</v>
      </c>
      <c r="M37" s="166" t="str">
        <f t="shared" si="3"/>
        <v>--</v>
      </c>
      <c r="N37" s="533">
        <f t="shared" si="4"/>
        <v>200</v>
      </c>
      <c r="O37" s="534">
        <f t="shared" si="5"/>
        <v>8655.066</v>
      </c>
      <c r="P37" s="535" t="str">
        <f t="shared" si="6"/>
        <v>--</v>
      </c>
      <c r="Q37" s="536" t="str">
        <f t="shared" si="7"/>
        <v>--</v>
      </c>
      <c r="R37" s="174" t="str">
        <f t="shared" si="8"/>
        <v>--</v>
      </c>
      <c r="S37" s="166" t="str">
        <f t="shared" si="9"/>
        <v>SI</v>
      </c>
      <c r="T37" s="537">
        <f t="shared" si="11"/>
        <v>8655.066</v>
      </c>
      <c r="U37" s="537">
        <f t="shared" si="10"/>
        <v>1863.1803492354095</v>
      </c>
      <c r="V37" s="6"/>
    </row>
    <row r="38" spans="2:22" s="5" customFormat="1" ht="16.5" customHeight="1">
      <c r="B38" s="50"/>
      <c r="C38" s="168">
        <v>59</v>
      </c>
      <c r="D38" s="528" t="s">
        <v>218</v>
      </c>
      <c r="E38" s="528" t="s">
        <v>240</v>
      </c>
      <c r="F38" s="529">
        <v>132</v>
      </c>
      <c r="G38" s="138">
        <f t="shared" si="0"/>
        <v>39.254</v>
      </c>
      <c r="H38" s="530">
        <v>39376.37430555555</v>
      </c>
      <c r="I38" s="164">
        <v>39376.677083333336</v>
      </c>
      <c r="J38" s="531">
        <f t="shared" si="1"/>
        <v>7.2666666667792015</v>
      </c>
      <c r="K38" s="532">
        <f t="shared" si="2"/>
        <v>436</v>
      </c>
      <c r="L38" s="281" t="s">
        <v>187</v>
      </c>
      <c r="M38" s="166" t="str">
        <f t="shared" si="3"/>
        <v>--</v>
      </c>
      <c r="N38" s="533">
        <f t="shared" si="4"/>
        <v>40</v>
      </c>
      <c r="O38" s="534">
        <f t="shared" si="5"/>
        <v>1141.50632</v>
      </c>
      <c r="P38" s="535" t="str">
        <f t="shared" si="6"/>
        <v>--</v>
      </c>
      <c r="Q38" s="536" t="str">
        <f t="shared" si="7"/>
        <v>--</v>
      </c>
      <c r="R38" s="174" t="str">
        <f t="shared" si="8"/>
        <v>--</v>
      </c>
      <c r="S38" s="166" t="str">
        <f t="shared" si="9"/>
        <v>SI</v>
      </c>
      <c r="T38" s="537">
        <f t="shared" si="11"/>
        <v>1141.50632</v>
      </c>
      <c r="U38" s="537">
        <f t="shared" si="10"/>
        <v>245.7326314960541</v>
      </c>
      <c r="V38" s="6"/>
    </row>
    <row r="39" spans="2:22" s="5" customFormat="1" ht="16.5" customHeight="1">
      <c r="B39" s="50"/>
      <c r="C39" s="367">
        <v>60</v>
      </c>
      <c r="D39" s="528" t="s">
        <v>241</v>
      </c>
      <c r="E39" s="528" t="s">
        <v>242</v>
      </c>
      <c r="F39" s="529">
        <v>500</v>
      </c>
      <c r="G39" s="138">
        <f t="shared" si="0"/>
        <v>49.065</v>
      </c>
      <c r="H39" s="530">
        <v>39378.347916666666</v>
      </c>
      <c r="I39" s="164">
        <v>39378.73055555556</v>
      </c>
      <c r="J39" s="531">
        <f t="shared" si="1"/>
        <v>9.183333333407063</v>
      </c>
      <c r="K39" s="532">
        <f t="shared" si="2"/>
        <v>551</v>
      </c>
      <c r="L39" s="281" t="s">
        <v>187</v>
      </c>
      <c r="M39" s="166" t="str">
        <f t="shared" si="3"/>
        <v>--</v>
      </c>
      <c r="N39" s="533">
        <f t="shared" si="4"/>
        <v>200</v>
      </c>
      <c r="O39" s="534">
        <f t="shared" si="5"/>
        <v>9008.334</v>
      </c>
      <c r="P39" s="535" t="str">
        <f t="shared" si="6"/>
        <v>--</v>
      </c>
      <c r="Q39" s="536" t="str">
        <f t="shared" si="7"/>
        <v>--</v>
      </c>
      <c r="R39" s="174" t="str">
        <f t="shared" si="8"/>
        <v>--</v>
      </c>
      <c r="S39" s="166" t="str">
        <f t="shared" si="9"/>
        <v>SI</v>
      </c>
      <c r="T39" s="537">
        <f t="shared" si="11"/>
        <v>9008.334</v>
      </c>
      <c r="U39" s="537">
        <f t="shared" si="10"/>
        <v>1939.2285267552222</v>
      </c>
      <c r="V39" s="6"/>
    </row>
    <row r="40" spans="2:22" s="5" customFormat="1" ht="16.5" customHeight="1">
      <c r="B40" s="50"/>
      <c r="C40" s="168">
        <v>61</v>
      </c>
      <c r="D40" s="528" t="s">
        <v>241</v>
      </c>
      <c r="E40" s="528" t="s">
        <v>242</v>
      </c>
      <c r="F40" s="529">
        <v>500</v>
      </c>
      <c r="G40" s="138">
        <f t="shared" si="0"/>
        <v>49.065</v>
      </c>
      <c r="H40" s="530">
        <v>39379.4875</v>
      </c>
      <c r="I40" s="164">
        <v>39379.686111111114</v>
      </c>
      <c r="J40" s="531">
        <f t="shared" si="1"/>
        <v>4.766666666662786</v>
      </c>
      <c r="K40" s="532">
        <f t="shared" si="2"/>
        <v>286</v>
      </c>
      <c r="L40" s="281" t="s">
        <v>187</v>
      </c>
      <c r="M40" s="166" t="str">
        <f t="shared" si="3"/>
        <v>--</v>
      </c>
      <c r="N40" s="533">
        <f t="shared" si="4"/>
        <v>200</v>
      </c>
      <c r="O40" s="534">
        <f t="shared" si="5"/>
        <v>4680.8009999999995</v>
      </c>
      <c r="P40" s="535" t="str">
        <f t="shared" si="6"/>
        <v>--</v>
      </c>
      <c r="Q40" s="536" t="str">
        <f t="shared" si="7"/>
        <v>--</v>
      </c>
      <c r="R40" s="174" t="str">
        <f t="shared" si="8"/>
        <v>--</v>
      </c>
      <c r="S40" s="166" t="str">
        <f t="shared" si="9"/>
        <v>SI</v>
      </c>
      <c r="T40" s="537">
        <v>0</v>
      </c>
      <c r="U40" s="537">
        <f t="shared" si="10"/>
        <v>0</v>
      </c>
      <c r="V40" s="6"/>
    </row>
    <row r="41" spans="2:22" s="5" customFormat="1" ht="16.5" customHeight="1">
      <c r="B41" s="50"/>
      <c r="C41" s="367">
        <v>62</v>
      </c>
      <c r="D41" s="528" t="s">
        <v>241</v>
      </c>
      <c r="E41" s="528" t="s">
        <v>243</v>
      </c>
      <c r="F41" s="529">
        <v>500</v>
      </c>
      <c r="G41" s="138">
        <f t="shared" si="0"/>
        <v>49.065</v>
      </c>
      <c r="H41" s="530">
        <v>39380.38333333333</v>
      </c>
      <c r="I41" s="164">
        <v>39380.76111111111</v>
      </c>
      <c r="J41" s="531">
        <f t="shared" si="1"/>
        <v>9.066666666709352</v>
      </c>
      <c r="K41" s="532">
        <f t="shared" si="2"/>
        <v>544</v>
      </c>
      <c r="L41" s="281" t="s">
        <v>187</v>
      </c>
      <c r="M41" s="166" t="str">
        <f t="shared" si="3"/>
        <v>--</v>
      </c>
      <c r="N41" s="533">
        <f t="shared" si="4"/>
        <v>200</v>
      </c>
      <c r="O41" s="534">
        <f t="shared" si="5"/>
        <v>8900.391000000001</v>
      </c>
      <c r="P41" s="535" t="str">
        <f t="shared" si="6"/>
        <v>--</v>
      </c>
      <c r="Q41" s="536" t="str">
        <f t="shared" si="7"/>
        <v>--</v>
      </c>
      <c r="R41" s="174" t="str">
        <f t="shared" si="8"/>
        <v>--</v>
      </c>
      <c r="S41" s="166" t="str">
        <f t="shared" si="9"/>
        <v>SI</v>
      </c>
      <c r="T41" s="537">
        <v>0</v>
      </c>
      <c r="U41" s="537">
        <f t="shared" si="10"/>
        <v>0</v>
      </c>
      <c r="V41" s="6"/>
    </row>
    <row r="42" spans="2:22" s="5" customFormat="1" ht="16.5" customHeight="1">
      <c r="B42" s="50"/>
      <c r="C42" s="168">
        <v>63</v>
      </c>
      <c r="D42" s="528" t="s">
        <v>215</v>
      </c>
      <c r="E42" s="528" t="s">
        <v>226</v>
      </c>
      <c r="F42" s="529">
        <v>132</v>
      </c>
      <c r="G42" s="138">
        <f t="shared" si="0"/>
        <v>39.254</v>
      </c>
      <c r="H42" s="530">
        <v>39384.24444444444</v>
      </c>
      <c r="I42" s="164">
        <v>39384.48472222222</v>
      </c>
      <c r="J42" s="531">
        <f t="shared" si="1"/>
        <v>5.7666666667792015</v>
      </c>
      <c r="K42" s="532">
        <f t="shared" si="2"/>
        <v>346</v>
      </c>
      <c r="L42" s="281" t="s">
        <v>187</v>
      </c>
      <c r="M42" s="166" t="str">
        <f t="shared" si="3"/>
        <v>--</v>
      </c>
      <c r="N42" s="533">
        <f t="shared" si="4"/>
        <v>40</v>
      </c>
      <c r="O42" s="534">
        <f t="shared" si="5"/>
        <v>905.98232</v>
      </c>
      <c r="P42" s="535" t="str">
        <f t="shared" si="6"/>
        <v>--</v>
      </c>
      <c r="Q42" s="536" t="str">
        <f t="shared" si="7"/>
        <v>--</v>
      </c>
      <c r="R42" s="174" t="str">
        <f t="shared" si="8"/>
        <v>--</v>
      </c>
      <c r="S42" s="166" t="str">
        <f t="shared" si="9"/>
        <v>SI</v>
      </c>
      <c r="T42" s="537">
        <v>0</v>
      </c>
      <c r="U42" s="537">
        <f t="shared" si="10"/>
        <v>0</v>
      </c>
      <c r="V42" s="6"/>
    </row>
    <row r="43" spans="2:22" s="5" customFormat="1" ht="16.5" customHeight="1">
      <c r="B43" s="50"/>
      <c r="C43" s="168">
        <v>64</v>
      </c>
      <c r="D43" s="528" t="s">
        <v>223</v>
      </c>
      <c r="E43" s="528" t="s">
        <v>244</v>
      </c>
      <c r="F43" s="529">
        <v>132</v>
      </c>
      <c r="G43" s="138" t="e">
        <f>IF(F24=500,#REF!,IF(F24=220,#REF!,#REF!))</f>
        <v>#REF!</v>
      </c>
      <c r="H43" s="530">
        <v>39386.34027777778</v>
      </c>
      <c r="I43" s="164">
        <v>39386.76180555556</v>
      </c>
      <c r="J43" s="531">
        <f>IF(D24="","",(I24-H24)*24)</f>
        <v>0.11666666669771075</v>
      </c>
      <c r="K43" s="532">
        <f>IF(D24="","",ROUND((I24-H24)*24*60,0))</f>
        <v>7</v>
      </c>
      <c r="L43" s="281" t="s">
        <v>187</v>
      </c>
      <c r="M43" s="166" t="str">
        <f>IF(D24="","",IF(L24="P","--","NO"))</f>
        <v>--</v>
      </c>
      <c r="N43" s="533" t="e">
        <f>IF(F24=500,#REF!,IF(F24=220,#REF!,#REF!))</f>
        <v>#REF!</v>
      </c>
      <c r="O43" s="534">
        <f>IF(L24="P",G24*N24*ROUND(K24/60,2)*0.1,"--")</f>
        <v>18.84192</v>
      </c>
      <c r="P43" s="535" t="str">
        <f>IF(AND(L24="F",M24="NO"),G24*N24,"--")</f>
        <v>--</v>
      </c>
      <c r="Q43" s="536" t="str">
        <f>IF(L24="F",G24*N24*ROUND(K24/60,2),"--")</f>
        <v>--</v>
      </c>
      <c r="R43" s="174" t="str">
        <f>IF(L24="RF",G24*N24*ROUND(K24/60,2),"--")</f>
        <v>--</v>
      </c>
      <c r="S43" s="166" t="str">
        <f>IF(D24="","","SI")</f>
        <v>SI</v>
      </c>
      <c r="T43" s="537">
        <v>0</v>
      </c>
      <c r="U43" s="537">
        <f t="shared" si="10"/>
        <v>0</v>
      </c>
      <c r="V43" s="6"/>
    </row>
    <row r="44" spans="2:22" s="5" customFormat="1" ht="16.5" customHeight="1" thickBot="1">
      <c r="B44" s="50"/>
      <c r="C44" s="168"/>
      <c r="D44" s="159"/>
      <c r="E44" s="159"/>
      <c r="F44" s="298"/>
      <c r="G44" s="139"/>
      <c r="H44" s="538"/>
      <c r="I44" s="538"/>
      <c r="J44" s="539"/>
      <c r="K44" s="539"/>
      <c r="L44" s="538"/>
      <c r="M44" s="165"/>
      <c r="N44" s="540"/>
      <c r="O44" s="541"/>
      <c r="P44" s="542"/>
      <c r="Q44" s="543"/>
      <c r="R44" s="176"/>
      <c r="S44" s="165"/>
      <c r="T44" s="544"/>
      <c r="U44" s="544"/>
      <c r="V44" s="6"/>
    </row>
    <row r="45" spans="2:22" s="5" customFormat="1" ht="16.5" customHeight="1" thickBot="1" thickTop="1">
      <c r="B45" s="50"/>
      <c r="C45" s="129" t="s">
        <v>25</v>
      </c>
      <c r="D45" s="130" t="s">
        <v>292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545">
        <f>SUM(O22:O44)</f>
        <v>66797.59108</v>
      </c>
      <c r="P45" s="546">
        <f>SUM(P22:P44)</f>
        <v>1570.1599999999999</v>
      </c>
      <c r="Q45" s="547">
        <f>SUM(Q22:Q44)</f>
        <v>2323.8367999999996</v>
      </c>
      <c r="R45" s="548">
        <f>SUM(R22:R44)</f>
        <v>0</v>
      </c>
      <c r="S45" s="549"/>
      <c r="T45" s="101">
        <f>ROUND(SUM(T22:T44),2)</f>
        <v>35087.88</v>
      </c>
      <c r="U45" s="101">
        <f>SUM(U24:U43)</f>
        <v>7553.385239010077</v>
      </c>
      <c r="V45" s="6"/>
    </row>
    <row r="46" spans="2:22" s="135" customFormat="1" ht="13.5" thickTop="1">
      <c r="B46" s="134"/>
      <c r="C46" s="131"/>
      <c r="D46" s="132" t="s">
        <v>291</v>
      </c>
      <c r="E46"/>
      <c r="F46" s="133"/>
      <c r="G46" s="133"/>
      <c r="H46" s="133"/>
      <c r="I46" s="133"/>
      <c r="J46" s="133"/>
      <c r="K46" s="133"/>
      <c r="L46" s="133"/>
      <c r="M46" s="133"/>
      <c r="N46" s="133"/>
      <c r="O46" s="427"/>
      <c r="P46" s="427"/>
      <c r="Q46" s="427"/>
      <c r="R46" s="427"/>
      <c r="S46" s="427"/>
      <c r="T46" s="216"/>
      <c r="U46" s="216"/>
      <c r="V46" s="550"/>
    </row>
    <row r="47" spans="2:22" s="5" customFormat="1" ht="16.5" customHeight="1" thickBot="1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22:24" ht="16.5" customHeight="1" thickTop="1">
      <c r="V48" s="191"/>
      <c r="W48" s="191"/>
      <c r="X48" s="191"/>
    </row>
    <row r="49" spans="22:24" ht="16.5" customHeight="1">
      <c r="V49" s="191"/>
      <c r="W49" s="191"/>
      <c r="X49" s="191"/>
    </row>
    <row r="50" spans="22:24" ht="16.5" customHeight="1">
      <c r="V50" s="191"/>
      <c r="W50" s="191"/>
      <c r="X50" s="191"/>
    </row>
    <row r="51" spans="22:24" ht="16.5" customHeight="1">
      <c r="V51" s="191"/>
      <c r="W51" s="191"/>
      <c r="X51" s="191"/>
    </row>
    <row r="52" spans="22:24" ht="16.5" customHeight="1">
      <c r="V52" s="191"/>
      <c r="W52" s="191"/>
      <c r="X52" s="191"/>
    </row>
    <row r="53" spans="4:24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</row>
    <row r="54" spans="4:24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</row>
    <row r="55" spans="4:24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</row>
    <row r="56" spans="4:24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</row>
    <row r="57" spans="4:24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</row>
    <row r="58" spans="4:24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4:24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4:24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4:24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4:24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4:24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4:24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4:24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4:24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4:24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</row>
    <row r="68" spans="4:24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</row>
    <row r="69" spans="4:24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</row>
    <row r="70" spans="4:24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</row>
    <row r="71" spans="4:24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</row>
    <row r="72" spans="4:24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</row>
    <row r="73" spans="4:24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</row>
    <row r="74" spans="4:24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</row>
    <row r="75" spans="4:24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</row>
    <row r="76" spans="4:24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</row>
    <row r="77" spans="4:24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</row>
    <row r="78" spans="4:24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</row>
    <row r="79" spans="4:24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</row>
    <row r="80" spans="4:24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</row>
    <row r="81" spans="4:24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</row>
    <row r="82" spans="4:24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4:24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4:24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4:24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</row>
    <row r="86" spans="4:24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</row>
    <row r="87" spans="4:24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</row>
    <row r="88" spans="4:24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</row>
    <row r="89" spans="4:24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</row>
    <row r="90" spans="4:24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</row>
    <row r="91" spans="4:24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</row>
    <row r="92" spans="4:24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</row>
    <row r="93" spans="4:24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</row>
    <row r="94" spans="4:24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</row>
    <row r="95" spans="4:24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</row>
    <row r="96" spans="4:24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</row>
    <row r="97" spans="4:24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</row>
    <row r="98" spans="4:24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</row>
    <row r="99" spans="4:24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</row>
    <row r="100" spans="4:24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</row>
    <row r="101" spans="4:24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</row>
    <row r="102" spans="4:24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</row>
    <row r="103" spans="4:24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</row>
    <row r="104" spans="4:24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</row>
    <row r="105" spans="4:24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</row>
    <row r="106" spans="4:24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</row>
    <row r="107" spans="4:24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</row>
    <row r="108" spans="4:24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4:24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4:24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4:24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</row>
    <row r="112" spans="4:24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</row>
    <row r="113" spans="4:24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</row>
    <row r="114" spans="4:24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</row>
    <row r="115" spans="4:24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</row>
    <row r="116" spans="4:24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</row>
    <row r="117" spans="4:24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</row>
    <row r="118" spans="4:24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</row>
    <row r="119" spans="4:24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</row>
    <row r="120" spans="4:24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</row>
    <row r="121" spans="4:24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</row>
    <row r="122" spans="4:24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</row>
    <row r="123" spans="4:24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</row>
    <row r="124" spans="4:24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</row>
    <row r="125" spans="4:24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</row>
    <row r="126" spans="4:24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</row>
    <row r="127" spans="4:24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</row>
    <row r="128" spans="4:24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</row>
    <row r="129" spans="4:24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</row>
    <row r="130" spans="4:24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</row>
    <row r="131" spans="4:24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</row>
    <row r="132" spans="4:24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</row>
    <row r="133" spans="4:24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</row>
    <row r="134" spans="4:24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</row>
    <row r="135" spans="4:24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</row>
    <row r="136" spans="4:24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</row>
    <row r="137" spans="4:24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</row>
    <row r="138" spans="4:24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</row>
    <row r="139" spans="4:24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</row>
    <row r="140" spans="4:24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</row>
    <row r="141" spans="4:24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</row>
    <row r="142" spans="4:24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</row>
    <row r="143" spans="4:24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</row>
    <row r="144" spans="4:24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</row>
    <row r="145" spans="4:24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</row>
    <row r="146" spans="4:24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</row>
    <row r="147" spans="4:24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</row>
    <row r="148" spans="4:24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</row>
    <row r="149" spans="4:24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</row>
    <row r="150" spans="4:24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</row>
    <row r="151" spans="4:24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</row>
    <row r="152" spans="4:24" ht="16.5" customHeight="1"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</row>
    <row r="153" spans="4:24" ht="16.5" customHeight="1"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</row>
    <row r="154" spans="4:24" ht="16.5" customHeight="1"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</row>
    <row r="155" spans="4:24" ht="16.5" customHeight="1"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</row>
    <row r="156" spans="4:24" ht="16.5" customHeight="1"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</row>
    <row r="157" spans="4:24" ht="16.5" customHeight="1"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</row>
    <row r="158" spans="4:24" ht="16.5" customHeight="1"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</row>
    <row r="159" spans="4:24" ht="16.5" customHeight="1"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</row>
    <row r="160" spans="4:24" ht="16.5" customHeight="1"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Z154"/>
  <sheetViews>
    <sheetView zoomScale="75" zoomScaleNormal="75" workbookViewId="0" topLeftCell="B13">
      <selection activeCell="W22" sqref="W22:W36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4" width="15.7109375" style="0" customWidth="1"/>
  </cols>
  <sheetData>
    <row r="1" s="18" customFormat="1" ht="26.25">
      <c r="X1" s="156"/>
    </row>
    <row r="2" spans="1:24" s="18" customFormat="1" ht="26.25">
      <c r="A2" s="91"/>
      <c r="B2" s="552" t="str">
        <f>+'TOT-1007'!B2</f>
        <v>ANEXO V al Memorandum D.T.E.E. N° 1955 /2009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24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</row>
    <row r="8" spans="2:24" s="29" customFormat="1" ht="20.25">
      <c r="B8" s="79"/>
      <c r="D8" s="190" t="s">
        <v>91</v>
      </c>
      <c r="E8" s="553"/>
      <c r="F8" s="187"/>
      <c r="G8" s="186"/>
      <c r="H8" s="186"/>
      <c r="I8" s="186"/>
      <c r="J8" s="186"/>
      <c r="K8" s="186"/>
      <c r="L8" s="186"/>
      <c r="M8" s="186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554"/>
    </row>
    <row r="9" spans="2:24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29" customFormat="1" ht="20.25">
      <c r="B10" s="79"/>
      <c r="D10" s="11" t="s">
        <v>92</v>
      </c>
      <c r="F10" s="555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80"/>
    </row>
    <row r="11" spans="2:24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6"/>
    </row>
    <row r="12" spans="2:24" s="29" customFormat="1" ht="20.25">
      <c r="B12" s="79"/>
      <c r="D12" s="11" t="s">
        <v>93</v>
      </c>
      <c r="F12" s="555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80"/>
    </row>
    <row r="13" spans="2:24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6"/>
    </row>
    <row r="14" spans="2:24" s="36" customFormat="1" ht="16.5" customHeight="1">
      <c r="B14" s="37" t="str">
        <f>'TOT-1007'!B14</f>
        <v>Desde el 01 al 31 de octubre de 2007</v>
      </c>
      <c r="C14" s="556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6"/>
      <c r="Q14" s="556"/>
      <c r="R14" s="556"/>
      <c r="S14" s="556"/>
      <c r="T14" s="556"/>
      <c r="U14" s="556"/>
      <c r="V14" s="556"/>
      <c r="W14" s="556"/>
      <c r="X14" s="558"/>
    </row>
    <row r="15" spans="2:24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16.5" customHeight="1" thickBot="1" thickTop="1">
      <c r="B16" s="50"/>
      <c r="C16" s="4"/>
      <c r="D16" s="118" t="s">
        <v>76</v>
      </c>
      <c r="E16" s="559"/>
      <c r="F16" s="994">
        <v>0.245</v>
      </c>
      <c r="G16" s="493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50"/>
      <c r="C17" s="4"/>
      <c r="D17" s="560" t="s">
        <v>28</v>
      </c>
      <c r="E17" s="561"/>
      <c r="F17" s="995">
        <v>20</v>
      </c>
      <c r="G17" s="493"/>
      <c r="H17"/>
      <c r="I17" s="232"/>
      <c r="J17" s="233"/>
      <c r="K17" s="4"/>
      <c r="L17" s="4"/>
      <c r="M17" s="4"/>
      <c r="O17" s="4"/>
      <c r="P17" s="4"/>
      <c r="Q17" s="4"/>
      <c r="R17" s="117"/>
      <c r="S17" s="117"/>
      <c r="T17" s="117"/>
      <c r="U17" s="117"/>
      <c r="V17" s="117"/>
      <c r="W17" s="117"/>
      <c r="X17" s="6"/>
    </row>
    <row r="18" spans="2:24" s="5" customFormat="1" ht="16.5" customHeight="1" thickBot="1" thickTop="1">
      <c r="B18" s="50"/>
      <c r="C18" s="66"/>
      <c r="D18" s="562"/>
      <c r="E18" s="563"/>
      <c r="F18" s="563"/>
      <c r="G18" s="211"/>
      <c r="H18" s="211"/>
      <c r="I18" s="211"/>
      <c r="J18" s="211"/>
      <c r="K18" s="211"/>
      <c r="L18" s="211"/>
      <c r="M18" s="211"/>
      <c r="N18" s="211"/>
      <c r="O18" s="564"/>
      <c r="P18" s="565"/>
      <c r="Q18" s="566"/>
      <c r="R18" s="566"/>
      <c r="S18" s="566"/>
      <c r="T18" s="566"/>
      <c r="U18" s="567"/>
      <c r="V18" s="568"/>
      <c r="W18" s="568"/>
      <c r="X18" s="6"/>
    </row>
    <row r="19" spans="2:24" s="5" customFormat="1" ht="33.75" customHeight="1" thickBot="1" thickTop="1">
      <c r="B19" s="50"/>
      <c r="C19" s="84" t="s">
        <v>13</v>
      </c>
      <c r="D19" s="86" t="s">
        <v>29</v>
      </c>
      <c r="E19" s="85" t="s">
        <v>30</v>
      </c>
      <c r="F19" s="569" t="s">
        <v>31</v>
      </c>
      <c r="G19" s="137" t="s">
        <v>16</v>
      </c>
      <c r="H19" s="85" t="s">
        <v>17</v>
      </c>
      <c r="I19" s="85" t="s">
        <v>18</v>
      </c>
      <c r="J19" s="86" t="s">
        <v>38</v>
      </c>
      <c r="K19" s="86" t="s">
        <v>33</v>
      </c>
      <c r="L19" s="88" t="s">
        <v>19</v>
      </c>
      <c r="M19" s="88" t="s">
        <v>48</v>
      </c>
      <c r="N19" s="85" t="s">
        <v>34</v>
      </c>
      <c r="O19" s="137" t="s">
        <v>39</v>
      </c>
      <c r="P19" s="570" t="s">
        <v>62</v>
      </c>
      <c r="Q19" s="571" t="s">
        <v>94</v>
      </c>
      <c r="R19" s="572"/>
      <c r="S19" s="573" t="s">
        <v>22</v>
      </c>
      <c r="T19" s="348" t="s">
        <v>21</v>
      </c>
      <c r="U19" s="142" t="s">
        <v>74</v>
      </c>
      <c r="V19" s="574" t="s">
        <v>24</v>
      </c>
      <c r="W19" s="574" t="s">
        <v>304</v>
      </c>
      <c r="X19" s="6"/>
    </row>
    <row r="20" spans="2:24" s="5" customFormat="1" ht="16.5" customHeight="1" thickTop="1">
      <c r="B20" s="50"/>
      <c r="C20" s="575"/>
      <c r="D20" s="576"/>
      <c r="E20" s="576"/>
      <c r="F20" s="576"/>
      <c r="G20" s="441"/>
      <c r="H20" s="577"/>
      <c r="I20" s="577"/>
      <c r="J20" s="575"/>
      <c r="K20" s="575"/>
      <c r="L20" s="576"/>
      <c r="M20" s="200"/>
      <c r="N20" s="575"/>
      <c r="O20" s="578"/>
      <c r="P20" s="579"/>
      <c r="Q20" s="580"/>
      <c r="R20" s="581"/>
      <c r="S20" s="582"/>
      <c r="T20" s="582"/>
      <c r="U20" s="583"/>
      <c r="V20" s="584"/>
      <c r="W20" s="584"/>
      <c r="X20" s="6"/>
    </row>
    <row r="21" spans="2:24" s="5" customFormat="1" ht="16.5" customHeight="1">
      <c r="B21" s="50"/>
      <c r="C21" s="367"/>
      <c r="D21" s="585"/>
      <c r="E21" s="586"/>
      <c r="F21" s="587"/>
      <c r="G21" s="588"/>
      <c r="H21" s="589"/>
      <c r="I21" s="590"/>
      <c r="J21" s="591"/>
      <c r="K21" s="592"/>
      <c r="L21" s="593"/>
      <c r="M21" s="201"/>
      <c r="N21" s="594"/>
      <c r="O21" s="595"/>
      <c r="P21" s="596"/>
      <c r="Q21" s="597"/>
      <c r="R21" s="598"/>
      <c r="S21" s="599"/>
      <c r="T21" s="599"/>
      <c r="U21" s="594"/>
      <c r="V21" s="600"/>
      <c r="W21" s="600"/>
      <c r="X21" s="6"/>
    </row>
    <row r="22" spans="2:25" s="5" customFormat="1" ht="16.5" customHeight="1">
      <c r="B22" s="1077" t="s">
        <v>296</v>
      </c>
      <c r="C22" s="168">
        <v>65</v>
      </c>
      <c r="D22" s="601" t="s">
        <v>205</v>
      </c>
      <c r="E22" s="528" t="s">
        <v>245</v>
      </c>
      <c r="F22" s="602">
        <v>245</v>
      </c>
      <c r="G22" s="384">
        <f aca="true" t="shared" si="0" ref="G22:G37">F22*$F$16</f>
        <v>60.025</v>
      </c>
      <c r="H22" s="169">
        <v>39356</v>
      </c>
      <c r="I22" s="205">
        <v>39372.79652777778</v>
      </c>
      <c r="J22" s="531">
        <f aca="true" t="shared" si="1" ref="J22:J37">IF(D22="","",(I22-H22)*24)</f>
        <v>403.1166666666395</v>
      </c>
      <c r="K22" s="532">
        <f aca="true" t="shared" si="2" ref="K22:K37">IF(D22="","",ROUND((I22-H22)*24*60,0))</f>
        <v>24187</v>
      </c>
      <c r="L22" s="281" t="s">
        <v>266</v>
      </c>
      <c r="M22" s="282">
        <v>51.02</v>
      </c>
      <c r="N22" s="166" t="str">
        <f>IF(D22="","",IF(OR(L22="P",L22="RP"),"--","NO"))</f>
        <v>NO</v>
      </c>
      <c r="O22" s="603">
        <f aca="true" t="shared" si="3" ref="O22:O37">IF(OR(L22="P",L22="RP"),$F$17/10,$F$17)</f>
        <v>20</v>
      </c>
      <c r="P22" s="604" t="str">
        <f>IF(L22="P",G22*O22*ROUND(K22/60,2),"--")</f>
        <v>--</v>
      </c>
      <c r="Q22" s="605" t="str">
        <f aca="true" t="shared" si="4" ref="Q22:Q37">IF(AND(L22="F",N22="NO"),G22*O22,"--")</f>
        <v>--</v>
      </c>
      <c r="R22" s="606" t="str">
        <f aca="true" t="shared" si="5" ref="R22:R37">IF(L22="F",G22*O22*ROUND(K22/60,2),"--")</f>
        <v>--</v>
      </c>
      <c r="S22" s="607">
        <f>IF(L22="RF",G22*O22*ROUND(K22/60,2),"--")*(1-M22/100)</f>
        <v>237036.535288</v>
      </c>
      <c r="T22" s="388" t="s">
        <v>188</v>
      </c>
      <c r="U22" s="166" t="str">
        <f aca="true" t="shared" si="6" ref="U22:U37">IF(D22="","","SI")</f>
        <v>SI</v>
      </c>
      <c r="V22" s="537">
        <v>0</v>
      </c>
      <c r="W22" s="537">
        <f>V22*(1-$Y$22)</f>
        <v>0</v>
      </c>
      <c r="X22" s="6"/>
      <c r="Y22" s="1079">
        <v>0.784729504173</v>
      </c>
    </row>
    <row r="23" spans="2:24" s="5" customFormat="1" ht="16.5" customHeight="1">
      <c r="B23" s="1077" t="s">
        <v>296</v>
      </c>
      <c r="C23" s="168">
        <v>66</v>
      </c>
      <c r="D23" s="601" t="s">
        <v>205</v>
      </c>
      <c r="E23" s="528" t="s">
        <v>246</v>
      </c>
      <c r="F23" s="602">
        <v>245</v>
      </c>
      <c r="G23" s="384">
        <f t="shared" si="0"/>
        <v>60.025</v>
      </c>
      <c r="H23" s="169">
        <v>39356</v>
      </c>
      <c r="I23" s="205">
        <v>39372.794444444444</v>
      </c>
      <c r="J23" s="531">
        <f t="shared" si="1"/>
        <v>403.06666666665114</v>
      </c>
      <c r="K23" s="532">
        <f t="shared" si="2"/>
        <v>24184</v>
      </c>
      <c r="L23" s="281" t="s">
        <v>266</v>
      </c>
      <c r="M23" s="282">
        <v>51.02</v>
      </c>
      <c r="N23" s="166" t="str">
        <f>IF(D23="","",IF(OR(L23="P",L23="RP"),"--","NO"))</f>
        <v>NO</v>
      </c>
      <c r="O23" s="603">
        <f t="shared" si="3"/>
        <v>20</v>
      </c>
      <c r="P23" s="604" t="str">
        <f>IF(L23="P",G23*O23*ROUND(K23/60,2),"--")</f>
        <v>--</v>
      </c>
      <c r="Q23" s="605" t="str">
        <f t="shared" si="4"/>
        <v>--</v>
      </c>
      <c r="R23" s="606" t="str">
        <f t="shared" si="5"/>
        <v>--</v>
      </c>
      <c r="S23" s="607">
        <f>IF(L23="RF",G23*O23*ROUND(K23/60,2),"--")*(1-M23/100)</f>
        <v>237007.135043</v>
      </c>
      <c r="T23" s="388" t="s">
        <v>188</v>
      </c>
      <c r="U23" s="166" t="str">
        <f t="shared" si="6"/>
        <v>SI</v>
      </c>
      <c r="V23" s="537">
        <v>0</v>
      </c>
      <c r="W23" s="537">
        <f aca="true" t="shared" si="7" ref="W23:W36">V23*(1-$Y$22)</f>
        <v>0</v>
      </c>
      <c r="X23" s="6"/>
    </row>
    <row r="24" spans="2:24" s="5" customFormat="1" ht="16.5" customHeight="1">
      <c r="B24" s="1077"/>
      <c r="C24" s="168">
        <v>67</v>
      </c>
      <c r="D24" s="601" t="s">
        <v>247</v>
      </c>
      <c r="E24" s="528" t="s">
        <v>248</v>
      </c>
      <c r="F24" s="602">
        <v>150</v>
      </c>
      <c r="G24" s="384">
        <f t="shared" si="0"/>
        <v>36.75</v>
      </c>
      <c r="H24" s="530">
        <v>39370.884722222225</v>
      </c>
      <c r="I24" s="205">
        <v>39371.04861111111</v>
      </c>
      <c r="J24" s="531">
        <f t="shared" si="1"/>
        <v>3.93333333323244</v>
      </c>
      <c r="K24" s="532">
        <f t="shared" si="2"/>
        <v>236</v>
      </c>
      <c r="L24" s="281" t="s">
        <v>190</v>
      </c>
      <c r="M24" s="282" t="str">
        <f aca="true" t="shared" si="8" ref="M24:M37">IF(D24="","","--")</f>
        <v>--</v>
      </c>
      <c r="N24" s="166" t="s">
        <v>188</v>
      </c>
      <c r="O24" s="603">
        <f t="shared" si="3"/>
        <v>20</v>
      </c>
      <c r="P24" s="604" t="str">
        <f>IF(L24="P",G24*O24*ROUND(K24/60,2),"--")</f>
        <v>--</v>
      </c>
      <c r="Q24" s="605" t="str">
        <f t="shared" si="4"/>
        <v>--</v>
      </c>
      <c r="R24" s="606">
        <f t="shared" si="5"/>
        <v>2888.55</v>
      </c>
      <c r="S24" s="607" t="str">
        <f>IF(L24="RF",G24*O24*ROUND(K24/60,2),"--")</f>
        <v>--</v>
      </c>
      <c r="T24" s="388" t="s">
        <v>188</v>
      </c>
      <c r="U24" s="166" t="str">
        <f t="shared" si="6"/>
        <v>SI</v>
      </c>
      <c r="V24" s="537">
        <f>IF(D24="","",SUM(P24:T24)*IF(U24="SI",1,2))</f>
        <v>2888.55</v>
      </c>
      <c r="W24" s="537">
        <f t="shared" si="7"/>
        <v>621.8195907210808</v>
      </c>
      <c r="X24" s="6"/>
    </row>
    <row r="25" spans="2:24" s="5" customFormat="1" ht="16.5" customHeight="1">
      <c r="B25" s="1078"/>
      <c r="C25" s="168">
        <v>68</v>
      </c>
      <c r="D25" s="601" t="s">
        <v>205</v>
      </c>
      <c r="E25" s="528" t="s">
        <v>249</v>
      </c>
      <c r="F25" s="602">
        <v>245</v>
      </c>
      <c r="G25" s="384">
        <f t="shared" si="0"/>
        <v>60.025</v>
      </c>
      <c r="H25" s="530">
        <v>39371.813888888886</v>
      </c>
      <c r="I25" s="205">
        <v>39371.833333333336</v>
      </c>
      <c r="J25" s="531">
        <f t="shared" si="1"/>
        <v>0.466666666790843</v>
      </c>
      <c r="K25" s="532">
        <f t="shared" si="2"/>
        <v>28</v>
      </c>
      <c r="L25" s="281" t="s">
        <v>190</v>
      </c>
      <c r="M25" s="282" t="str">
        <f t="shared" si="8"/>
        <v>--</v>
      </c>
      <c r="N25" s="166" t="str">
        <f aca="true" t="shared" si="9" ref="N25:N37">IF(D25="","",IF(OR(L25="P",L25="RP"),"--","NO"))</f>
        <v>NO</v>
      </c>
      <c r="O25" s="603">
        <f t="shared" si="3"/>
        <v>20</v>
      </c>
      <c r="P25" s="604" t="str">
        <f>IF(L25="P",G25*O25*ROUND(K25/60,2),"--")</f>
        <v>--</v>
      </c>
      <c r="Q25" s="605">
        <f t="shared" si="4"/>
        <v>1200.5</v>
      </c>
      <c r="R25" s="606">
        <f t="shared" si="5"/>
        <v>564.235</v>
      </c>
      <c r="S25" s="607" t="str">
        <f>IF(L25="RF",G25*O25*ROUND(K25/60,2),"--")</f>
        <v>--</v>
      </c>
      <c r="T25" s="388" t="s">
        <v>188</v>
      </c>
      <c r="U25" s="166" t="str">
        <f t="shared" si="6"/>
        <v>SI</v>
      </c>
      <c r="V25" s="537">
        <f>IF(D25="","",SUM(P25:T25)*IF(U25="SI",1,2))</f>
        <v>1764.7350000000001</v>
      </c>
      <c r="W25" s="537">
        <f t="shared" si="7"/>
        <v>379.89537845326083</v>
      </c>
      <c r="X25" s="608"/>
    </row>
    <row r="26" spans="2:24" s="5" customFormat="1" ht="16.5" customHeight="1">
      <c r="B26" s="1078"/>
      <c r="C26" s="168">
        <v>69</v>
      </c>
      <c r="D26" s="601" t="s">
        <v>205</v>
      </c>
      <c r="E26" s="528" t="s">
        <v>250</v>
      </c>
      <c r="F26" s="602">
        <v>245</v>
      </c>
      <c r="G26" s="384">
        <f t="shared" si="0"/>
        <v>60.025</v>
      </c>
      <c r="H26" s="530">
        <v>39371.813888888886</v>
      </c>
      <c r="I26" s="205">
        <v>39371.83125</v>
      </c>
      <c r="J26" s="531">
        <f t="shared" si="1"/>
        <v>0.41666666680248454</v>
      </c>
      <c r="K26" s="532">
        <f t="shared" si="2"/>
        <v>25</v>
      </c>
      <c r="L26" s="281" t="s">
        <v>190</v>
      </c>
      <c r="M26" s="282" t="str">
        <f t="shared" si="8"/>
        <v>--</v>
      </c>
      <c r="N26" s="166" t="str">
        <f t="shared" si="9"/>
        <v>NO</v>
      </c>
      <c r="O26" s="603">
        <f t="shared" si="3"/>
        <v>20</v>
      </c>
      <c r="P26" s="604" t="str">
        <f>IF(L26="P",G26*O26*ROUND(K26/60,2),"--")</f>
        <v>--</v>
      </c>
      <c r="Q26" s="605">
        <f t="shared" si="4"/>
        <v>1200.5</v>
      </c>
      <c r="R26" s="606">
        <f t="shared" si="5"/>
        <v>504.21</v>
      </c>
      <c r="S26" s="607" t="str">
        <f>IF(L26="RF",G26*O26*ROUND(K26/60,2),"--")</f>
        <v>--</v>
      </c>
      <c r="T26" s="388" t="s">
        <v>188</v>
      </c>
      <c r="U26" s="166" t="str">
        <f t="shared" si="6"/>
        <v>SI</v>
      </c>
      <c r="V26" s="537">
        <f>IF(D26="","",SUM(P26:T26)*IF(U26="SI",1,2))</f>
        <v>1704.71</v>
      </c>
      <c r="W26" s="537">
        <f t="shared" si="7"/>
        <v>366.9737669412451</v>
      </c>
      <c r="X26" s="608"/>
    </row>
    <row r="27" spans="2:24" s="5" customFormat="1" ht="16.5" customHeight="1">
      <c r="B27" s="1078"/>
      <c r="C27" s="168">
        <v>70</v>
      </c>
      <c r="D27" s="601" t="s">
        <v>205</v>
      </c>
      <c r="E27" s="528" t="s">
        <v>246</v>
      </c>
      <c r="F27" s="602">
        <v>245</v>
      </c>
      <c r="G27" s="384">
        <f t="shared" si="0"/>
        <v>60.025</v>
      </c>
      <c r="H27" s="530">
        <v>39372.09027777778</v>
      </c>
      <c r="I27" s="205">
        <v>39372.794444444444</v>
      </c>
      <c r="J27" s="531">
        <f t="shared" si="1"/>
        <v>16.899999999906868</v>
      </c>
      <c r="K27" s="532">
        <f t="shared" si="2"/>
        <v>1014</v>
      </c>
      <c r="L27" s="281" t="s">
        <v>187</v>
      </c>
      <c r="M27" s="282" t="str">
        <f t="shared" si="8"/>
        <v>--</v>
      </c>
      <c r="N27" s="166" t="str">
        <f t="shared" si="9"/>
        <v>--</v>
      </c>
      <c r="O27" s="603">
        <f t="shared" si="3"/>
        <v>2</v>
      </c>
      <c r="P27" s="604" t="e">
        <f>IF(L27="P",G27*O27*ROUND(K27/60,2),"--")*(1-M27/100)</f>
        <v>#VALUE!</v>
      </c>
      <c r="Q27" s="605" t="str">
        <f t="shared" si="4"/>
        <v>--</v>
      </c>
      <c r="R27" s="606" t="str">
        <f t="shared" si="5"/>
        <v>--</v>
      </c>
      <c r="S27" s="607" t="str">
        <f>IF(L27="RF",G27*O27*ROUND(K27/60,2),"--")</f>
        <v>--</v>
      </c>
      <c r="T27" s="388" t="s">
        <v>188</v>
      </c>
      <c r="U27" s="166" t="str">
        <f t="shared" si="6"/>
        <v>SI</v>
      </c>
      <c r="V27" s="537">
        <v>0</v>
      </c>
      <c r="W27" s="537">
        <f t="shared" si="7"/>
        <v>0</v>
      </c>
      <c r="X27" s="608"/>
    </row>
    <row r="28" spans="2:24" s="5" customFormat="1" ht="16.5" customHeight="1">
      <c r="B28" s="1078"/>
      <c r="C28" s="168">
        <v>71</v>
      </c>
      <c r="D28" s="601" t="s">
        <v>205</v>
      </c>
      <c r="E28" s="528" t="s">
        <v>245</v>
      </c>
      <c r="F28" s="602">
        <v>245</v>
      </c>
      <c r="G28" s="384">
        <f t="shared" si="0"/>
        <v>60.025</v>
      </c>
      <c r="H28" s="530">
        <v>39372.09027777778</v>
      </c>
      <c r="I28" s="205">
        <v>39372.79652777778</v>
      </c>
      <c r="J28" s="531">
        <f t="shared" si="1"/>
        <v>16.949999999895226</v>
      </c>
      <c r="K28" s="532">
        <f t="shared" si="2"/>
        <v>1017</v>
      </c>
      <c r="L28" s="281" t="s">
        <v>187</v>
      </c>
      <c r="M28" s="282" t="str">
        <f t="shared" si="8"/>
        <v>--</v>
      </c>
      <c r="N28" s="166" t="str">
        <f t="shared" si="9"/>
        <v>--</v>
      </c>
      <c r="O28" s="603">
        <f t="shared" si="3"/>
        <v>2</v>
      </c>
      <c r="P28" s="604" t="e">
        <f>IF(L28="P",G28*O28*ROUND(K28/60,2),"--")*(1-M28/100)</f>
        <v>#VALUE!</v>
      </c>
      <c r="Q28" s="605" t="str">
        <f t="shared" si="4"/>
        <v>--</v>
      </c>
      <c r="R28" s="606" t="str">
        <f t="shared" si="5"/>
        <v>--</v>
      </c>
      <c r="S28" s="607" t="str">
        <f>IF(L28="RF",G28*O28*ROUND(K28/60,2),"--")</f>
        <v>--</v>
      </c>
      <c r="T28" s="388" t="s">
        <v>188</v>
      </c>
      <c r="U28" s="166" t="str">
        <f t="shared" si="6"/>
        <v>SI</v>
      </c>
      <c r="V28" s="537">
        <v>0</v>
      </c>
      <c r="W28" s="537">
        <f t="shared" si="7"/>
        <v>0</v>
      </c>
      <c r="X28" s="608"/>
    </row>
    <row r="29" spans="2:24" s="5" customFormat="1" ht="16.5" customHeight="1">
      <c r="B29" s="1077" t="s">
        <v>296</v>
      </c>
      <c r="C29" s="168">
        <v>72</v>
      </c>
      <c r="D29" s="601" t="s">
        <v>205</v>
      </c>
      <c r="E29" s="528" t="s">
        <v>246</v>
      </c>
      <c r="F29" s="602">
        <v>245</v>
      </c>
      <c r="G29" s="384">
        <f t="shared" si="0"/>
        <v>60.025</v>
      </c>
      <c r="H29" s="530">
        <v>39372.79513888889</v>
      </c>
      <c r="I29" s="205">
        <v>39386.99930555555</v>
      </c>
      <c r="J29" s="531">
        <f t="shared" si="1"/>
        <v>340.89999999990687</v>
      </c>
      <c r="K29" s="532">
        <f t="shared" si="2"/>
        <v>20454</v>
      </c>
      <c r="L29" s="281" t="s">
        <v>266</v>
      </c>
      <c r="M29" s="282">
        <v>51.02</v>
      </c>
      <c r="N29" s="166" t="str">
        <f t="shared" si="9"/>
        <v>NO</v>
      </c>
      <c r="O29" s="603">
        <f t="shared" si="3"/>
        <v>20</v>
      </c>
      <c r="P29" s="604" t="str">
        <f aca="true" t="shared" si="10" ref="P29:P37">IF(L29="P",G29*O29*ROUND(K29/60,2),"--")</f>
        <v>--</v>
      </c>
      <c r="Q29" s="605" t="str">
        <f t="shared" si="4"/>
        <v>--</v>
      </c>
      <c r="R29" s="606" t="str">
        <f t="shared" si="5"/>
        <v>--</v>
      </c>
      <c r="S29" s="607">
        <f>IF(L29="RF",G29*O29*ROUND(K29/60,2),"--")*(1-M29/100)</f>
        <v>200450.87040999997</v>
      </c>
      <c r="T29" s="388" t="s">
        <v>188</v>
      </c>
      <c r="U29" s="166" t="str">
        <f t="shared" si="6"/>
        <v>SI</v>
      </c>
      <c r="V29" s="537">
        <v>0</v>
      </c>
      <c r="W29" s="537">
        <f t="shared" si="7"/>
        <v>0</v>
      </c>
      <c r="X29" s="6"/>
    </row>
    <row r="30" spans="2:24" s="5" customFormat="1" ht="16.5" customHeight="1">
      <c r="B30" s="1077" t="s">
        <v>296</v>
      </c>
      <c r="C30" s="168">
        <v>73</v>
      </c>
      <c r="D30" s="601" t="s">
        <v>205</v>
      </c>
      <c r="E30" s="528" t="s">
        <v>245</v>
      </c>
      <c r="F30" s="602">
        <v>245</v>
      </c>
      <c r="G30" s="384">
        <f t="shared" si="0"/>
        <v>60.025</v>
      </c>
      <c r="H30" s="530">
        <v>39372.79722222222</v>
      </c>
      <c r="I30" s="205">
        <v>39386.99930555555</v>
      </c>
      <c r="J30" s="531">
        <f t="shared" si="1"/>
        <v>340.8499999999185</v>
      </c>
      <c r="K30" s="532">
        <f t="shared" si="2"/>
        <v>20451</v>
      </c>
      <c r="L30" s="281" t="s">
        <v>266</v>
      </c>
      <c r="M30" s="282">
        <v>51.02</v>
      </c>
      <c r="N30" s="166" t="str">
        <f t="shared" si="9"/>
        <v>NO</v>
      </c>
      <c r="O30" s="603">
        <f t="shared" si="3"/>
        <v>20</v>
      </c>
      <c r="P30" s="604" t="str">
        <f t="shared" si="10"/>
        <v>--</v>
      </c>
      <c r="Q30" s="605" t="str">
        <f t="shared" si="4"/>
        <v>--</v>
      </c>
      <c r="R30" s="606" t="str">
        <f t="shared" si="5"/>
        <v>--</v>
      </c>
      <c r="S30" s="607">
        <f>IF(L30="RF",G30*O30*ROUND(K30/60,2),"--")*(1-M30/100)</f>
        <v>200421.47016500004</v>
      </c>
      <c r="T30" s="388" t="s">
        <v>188</v>
      </c>
      <c r="U30" s="166" t="str">
        <f t="shared" si="6"/>
        <v>SI</v>
      </c>
      <c r="V30" s="537">
        <v>0</v>
      </c>
      <c r="W30" s="537">
        <f t="shared" si="7"/>
        <v>0</v>
      </c>
      <c r="X30" s="6"/>
    </row>
    <row r="31" spans="2:24" s="5" customFormat="1" ht="16.5" customHeight="1">
      <c r="B31" s="50"/>
      <c r="C31" s="168">
        <v>74</v>
      </c>
      <c r="D31" s="601" t="s">
        <v>205</v>
      </c>
      <c r="E31" s="528" t="s">
        <v>250</v>
      </c>
      <c r="F31" s="602">
        <v>245</v>
      </c>
      <c r="G31" s="384">
        <f t="shared" si="0"/>
        <v>60.025</v>
      </c>
      <c r="H31" s="530">
        <v>39373.34930555556</v>
      </c>
      <c r="I31" s="205">
        <v>39373.67986111111</v>
      </c>
      <c r="J31" s="531">
        <f t="shared" si="1"/>
        <v>7.933333333174232</v>
      </c>
      <c r="K31" s="532">
        <f t="shared" si="2"/>
        <v>476</v>
      </c>
      <c r="L31" s="281" t="s">
        <v>187</v>
      </c>
      <c r="M31" s="282" t="str">
        <f t="shared" si="8"/>
        <v>--</v>
      </c>
      <c r="N31" s="166" t="str">
        <f t="shared" si="9"/>
        <v>--</v>
      </c>
      <c r="O31" s="603">
        <f t="shared" si="3"/>
        <v>2</v>
      </c>
      <c r="P31" s="604">
        <f t="shared" si="10"/>
        <v>951.9965</v>
      </c>
      <c r="Q31" s="605" t="str">
        <f t="shared" si="4"/>
        <v>--</v>
      </c>
      <c r="R31" s="606" t="str">
        <f t="shared" si="5"/>
        <v>--</v>
      </c>
      <c r="S31" s="607" t="str">
        <f aca="true" t="shared" si="11" ref="S31:S37">IF(L31="RF",G31*O31*ROUND(K31/60,2),"--")</f>
        <v>--</v>
      </c>
      <c r="T31" s="388" t="s">
        <v>188</v>
      </c>
      <c r="U31" s="166" t="str">
        <f t="shared" si="6"/>
        <v>SI</v>
      </c>
      <c r="V31" s="537">
        <f aca="true" t="shared" si="12" ref="V31:V37">IF(D31="","",SUM(P31:T31)*IF(U31="SI",1,2))</f>
        <v>951.9965</v>
      </c>
      <c r="W31" s="537">
        <f t="shared" si="7"/>
        <v>204.93675858056858</v>
      </c>
      <c r="X31" s="6"/>
    </row>
    <row r="32" spans="2:24" s="5" customFormat="1" ht="16.5" customHeight="1">
      <c r="B32" s="50"/>
      <c r="C32" s="168">
        <v>75</v>
      </c>
      <c r="D32" s="601" t="s">
        <v>205</v>
      </c>
      <c r="E32" s="528" t="s">
        <v>249</v>
      </c>
      <c r="F32" s="602">
        <v>245</v>
      </c>
      <c r="G32" s="384">
        <f t="shared" si="0"/>
        <v>60.025</v>
      </c>
      <c r="H32" s="530">
        <v>39373.34930555556</v>
      </c>
      <c r="I32" s="205">
        <v>39373.69513888889</v>
      </c>
      <c r="J32" s="531">
        <f t="shared" si="1"/>
        <v>8.299999999988358</v>
      </c>
      <c r="K32" s="532">
        <f t="shared" si="2"/>
        <v>498</v>
      </c>
      <c r="L32" s="281" t="s">
        <v>187</v>
      </c>
      <c r="M32" s="282" t="str">
        <f t="shared" si="8"/>
        <v>--</v>
      </c>
      <c r="N32" s="166" t="str">
        <f t="shared" si="9"/>
        <v>--</v>
      </c>
      <c r="O32" s="603">
        <f t="shared" si="3"/>
        <v>2</v>
      </c>
      <c r="P32" s="604">
        <f t="shared" si="10"/>
        <v>996.4150000000001</v>
      </c>
      <c r="Q32" s="605" t="str">
        <f t="shared" si="4"/>
        <v>--</v>
      </c>
      <c r="R32" s="606" t="str">
        <f t="shared" si="5"/>
        <v>--</v>
      </c>
      <c r="S32" s="607" t="str">
        <f t="shared" si="11"/>
        <v>--</v>
      </c>
      <c r="T32" s="388" t="s">
        <v>188</v>
      </c>
      <c r="U32" s="166" t="str">
        <f t="shared" si="6"/>
        <v>SI</v>
      </c>
      <c r="V32" s="537">
        <f t="shared" si="12"/>
        <v>996.4150000000001</v>
      </c>
      <c r="W32" s="537">
        <f t="shared" si="7"/>
        <v>214.4987510994602</v>
      </c>
      <c r="X32" s="6"/>
    </row>
    <row r="33" spans="2:24" s="5" customFormat="1" ht="16.5" customHeight="1">
      <c r="B33" s="50"/>
      <c r="C33" s="168">
        <v>76</v>
      </c>
      <c r="D33" s="601" t="s">
        <v>205</v>
      </c>
      <c r="E33" s="528" t="s">
        <v>249</v>
      </c>
      <c r="F33" s="602">
        <v>245</v>
      </c>
      <c r="G33" s="384">
        <f t="shared" si="0"/>
        <v>60.025</v>
      </c>
      <c r="H33" s="530">
        <v>39380.09444444445</v>
      </c>
      <c r="I33" s="205">
        <v>39380.13055555556</v>
      </c>
      <c r="J33" s="531">
        <f t="shared" si="1"/>
        <v>0.8666666666977108</v>
      </c>
      <c r="K33" s="532">
        <f t="shared" si="2"/>
        <v>52</v>
      </c>
      <c r="L33" s="281" t="s">
        <v>190</v>
      </c>
      <c r="M33" s="282" t="str">
        <f t="shared" si="8"/>
        <v>--</v>
      </c>
      <c r="N33" s="166" t="str">
        <f t="shared" si="9"/>
        <v>NO</v>
      </c>
      <c r="O33" s="603">
        <f t="shared" si="3"/>
        <v>20</v>
      </c>
      <c r="P33" s="604" t="str">
        <f t="shared" si="10"/>
        <v>--</v>
      </c>
      <c r="Q33" s="605">
        <f t="shared" si="4"/>
        <v>1200.5</v>
      </c>
      <c r="R33" s="606">
        <f t="shared" si="5"/>
        <v>1044.435</v>
      </c>
      <c r="S33" s="607" t="str">
        <f t="shared" si="11"/>
        <v>--</v>
      </c>
      <c r="T33" s="388" t="s">
        <v>188</v>
      </c>
      <c r="U33" s="166" t="str">
        <f t="shared" si="6"/>
        <v>SI</v>
      </c>
      <c r="V33" s="537">
        <f t="shared" si="12"/>
        <v>2244.935</v>
      </c>
      <c r="W33" s="537">
        <f t="shared" si="7"/>
        <v>483.26827054938616</v>
      </c>
      <c r="X33" s="6"/>
    </row>
    <row r="34" spans="2:24" s="5" customFormat="1" ht="16.5" customHeight="1">
      <c r="B34" s="50"/>
      <c r="C34" s="168">
        <v>77</v>
      </c>
      <c r="D34" s="601" t="s">
        <v>205</v>
      </c>
      <c r="E34" s="528" t="s">
        <v>250</v>
      </c>
      <c r="F34" s="602">
        <v>245</v>
      </c>
      <c r="G34" s="384">
        <f t="shared" si="0"/>
        <v>60.025</v>
      </c>
      <c r="H34" s="530">
        <v>39380.09444444445</v>
      </c>
      <c r="I34" s="205">
        <v>39380.13333333333</v>
      </c>
      <c r="J34" s="531">
        <f t="shared" si="1"/>
        <v>0.93333333323244</v>
      </c>
      <c r="K34" s="532">
        <f t="shared" si="2"/>
        <v>56</v>
      </c>
      <c r="L34" s="281" t="s">
        <v>190</v>
      </c>
      <c r="M34" s="282" t="str">
        <f t="shared" si="8"/>
        <v>--</v>
      </c>
      <c r="N34" s="166" t="str">
        <f t="shared" si="9"/>
        <v>NO</v>
      </c>
      <c r="O34" s="603">
        <f t="shared" si="3"/>
        <v>20</v>
      </c>
      <c r="P34" s="604" t="str">
        <f t="shared" si="10"/>
        <v>--</v>
      </c>
      <c r="Q34" s="605">
        <f t="shared" si="4"/>
        <v>1200.5</v>
      </c>
      <c r="R34" s="606">
        <f t="shared" si="5"/>
        <v>1116.4650000000001</v>
      </c>
      <c r="S34" s="607" t="str">
        <f t="shared" si="11"/>
        <v>--</v>
      </c>
      <c r="T34" s="388" t="s">
        <v>188</v>
      </c>
      <c r="U34" s="166" t="str">
        <f t="shared" si="6"/>
        <v>SI</v>
      </c>
      <c r="V34" s="537">
        <f t="shared" si="12"/>
        <v>2316.965</v>
      </c>
      <c r="W34" s="537">
        <f t="shared" si="7"/>
        <v>498.77420436380504</v>
      </c>
      <c r="X34" s="6"/>
    </row>
    <row r="35" spans="2:24" s="5" customFormat="1" ht="16.5" customHeight="1">
      <c r="B35" s="50"/>
      <c r="C35" s="168">
        <v>78</v>
      </c>
      <c r="D35" s="601" t="s">
        <v>205</v>
      </c>
      <c r="E35" s="528" t="s">
        <v>250</v>
      </c>
      <c r="F35" s="602">
        <v>245</v>
      </c>
      <c r="G35" s="384">
        <f t="shared" si="0"/>
        <v>60.025</v>
      </c>
      <c r="H35" s="530">
        <v>39382.325694444444</v>
      </c>
      <c r="I35" s="205">
        <v>39382.67986111111</v>
      </c>
      <c r="J35" s="531">
        <f t="shared" si="1"/>
        <v>8.499999999941792</v>
      </c>
      <c r="K35" s="532">
        <f t="shared" si="2"/>
        <v>510</v>
      </c>
      <c r="L35" s="281" t="s">
        <v>187</v>
      </c>
      <c r="M35" s="282" t="str">
        <f t="shared" si="8"/>
        <v>--</v>
      </c>
      <c r="N35" s="166" t="str">
        <f t="shared" si="9"/>
        <v>--</v>
      </c>
      <c r="O35" s="603">
        <f t="shared" si="3"/>
        <v>2</v>
      </c>
      <c r="P35" s="604">
        <f t="shared" si="10"/>
        <v>1020.425</v>
      </c>
      <c r="Q35" s="605" t="str">
        <f t="shared" si="4"/>
        <v>--</v>
      </c>
      <c r="R35" s="606" t="str">
        <f t="shared" si="5"/>
        <v>--</v>
      </c>
      <c r="S35" s="607" t="str">
        <f t="shared" si="11"/>
        <v>--</v>
      </c>
      <c r="T35" s="388" t="s">
        <v>188</v>
      </c>
      <c r="U35" s="166" t="str">
        <f t="shared" si="6"/>
        <v>SI</v>
      </c>
      <c r="V35" s="537">
        <f t="shared" si="12"/>
        <v>1020.425</v>
      </c>
      <c r="W35" s="537">
        <f t="shared" si="7"/>
        <v>219.66739570426643</v>
      </c>
      <c r="X35" s="6"/>
    </row>
    <row r="36" spans="2:24" s="5" customFormat="1" ht="16.5" customHeight="1">
      <c r="B36" s="50"/>
      <c r="C36" s="168">
        <v>79</v>
      </c>
      <c r="D36" s="601" t="s">
        <v>205</v>
      </c>
      <c r="E36" s="528" t="s">
        <v>249</v>
      </c>
      <c r="F36" s="602">
        <v>245</v>
      </c>
      <c r="G36" s="384">
        <f t="shared" si="0"/>
        <v>60.025</v>
      </c>
      <c r="H36" s="530">
        <v>39382.325694444444</v>
      </c>
      <c r="I36" s="205">
        <v>39382.68194444444</v>
      </c>
      <c r="J36" s="531">
        <f t="shared" si="1"/>
        <v>8.54999999993015</v>
      </c>
      <c r="K36" s="532">
        <f t="shared" si="2"/>
        <v>513</v>
      </c>
      <c r="L36" s="281" t="s">
        <v>187</v>
      </c>
      <c r="M36" s="282" t="str">
        <f t="shared" si="8"/>
        <v>--</v>
      </c>
      <c r="N36" s="166" t="str">
        <f t="shared" si="9"/>
        <v>--</v>
      </c>
      <c r="O36" s="603">
        <f t="shared" si="3"/>
        <v>2</v>
      </c>
      <c r="P36" s="604">
        <f t="shared" si="10"/>
        <v>1026.4275</v>
      </c>
      <c r="Q36" s="605" t="str">
        <f t="shared" si="4"/>
        <v>--</v>
      </c>
      <c r="R36" s="606" t="str">
        <f t="shared" si="5"/>
        <v>--</v>
      </c>
      <c r="S36" s="607" t="str">
        <f t="shared" si="11"/>
        <v>--</v>
      </c>
      <c r="T36" s="388" t="s">
        <v>188</v>
      </c>
      <c r="U36" s="166" t="str">
        <f t="shared" si="6"/>
        <v>SI</v>
      </c>
      <c r="V36" s="537">
        <f t="shared" si="12"/>
        <v>1026.4275</v>
      </c>
      <c r="W36" s="537">
        <f t="shared" si="7"/>
        <v>220.959556855468</v>
      </c>
      <c r="X36" s="6"/>
    </row>
    <row r="37" spans="2:24" s="5" customFormat="1" ht="16.5" customHeight="1">
      <c r="B37" s="50"/>
      <c r="C37" s="367"/>
      <c r="D37" s="601"/>
      <c r="E37" s="528"/>
      <c r="F37" s="602"/>
      <c r="G37" s="384">
        <f t="shared" si="0"/>
        <v>0</v>
      </c>
      <c r="H37" s="530"/>
      <c r="I37" s="205"/>
      <c r="J37" s="531">
        <f t="shared" si="1"/>
      </c>
      <c r="K37" s="532">
        <f t="shared" si="2"/>
      </c>
      <c r="L37" s="281"/>
      <c r="M37" s="282">
        <f t="shared" si="8"/>
      </c>
      <c r="N37" s="166">
        <f t="shared" si="9"/>
      </c>
      <c r="O37" s="603">
        <f t="shared" si="3"/>
        <v>20</v>
      </c>
      <c r="P37" s="604" t="str">
        <f t="shared" si="10"/>
        <v>--</v>
      </c>
      <c r="Q37" s="605" t="str">
        <f t="shared" si="4"/>
        <v>--</v>
      </c>
      <c r="R37" s="606" t="str">
        <f t="shared" si="5"/>
        <v>--</v>
      </c>
      <c r="S37" s="607" t="str">
        <f t="shared" si="11"/>
        <v>--</v>
      </c>
      <c r="T37" s="388" t="str">
        <f>IF(L37="RP",G37*O37*M37/100*ROUND(K37/60,2),"--")</f>
        <v>--</v>
      </c>
      <c r="U37" s="166">
        <f t="shared" si="6"/>
      </c>
      <c r="V37" s="537">
        <f t="shared" si="12"/>
      </c>
      <c r="W37" s="537"/>
      <c r="X37" s="6"/>
    </row>
    <row r="38" spans="2:24" s="5" customFormat="1" ht="16.5" customHeight="1" thickBot="1">
      <c r="B38" s="50"/>
      <c r="C38" s="168"/>
      <c r="D38" s="609"/>
      <c r="E38" s="159"/>
      <c r="F38" s="610"/>
      <c r="G38" s="139"/>
      <c r="H38" s="538"/>
      <c r="I38" s="538"/>
      <c r="J38" s="539"/>
      <c r="K38" s="539"/>
      <c r="L38" s="538"/>
      <c r="M38" s="210"/>
      <c r="N38" s="165"/>
      <c r="O38" s="611"/>
      <c r="P38" s="612"/>
      <c r="Q38" s="613"/>
      <c r="R38" s="614"/>
      <c r="S38" s="615"/>
      <c r="T38" s="615"/>
      <c r="U38" s="165"/>
      <c r="V38" s="616"/>
      <c r="W38" s="616"/>
      <c r="X38" s="6"/>
    </row>
    <row r="39" spans="2:24" s="5" customFormat="1" ht="16.5" customHeight="1" thickBot="1" thickTop="1">
      <c r="B39" s="50"/>
      <c r="C39" s="129" t="s">
        <v>25</v>
      </c>
      <c r="D39" s="130" t="s">
        <v>295</v>
      </c>
      <c r="G39" s="4"/>
      <c r="H39" s="4"/>
      <c r="I39" s="4"/>
      <c r="J39" s="4"/>
      <c r="K39" s="4"/>
      <c r="L39" s="4"/>
      <c r="M39" s="4"/>
      <c r="N39" s="4"/>
      <c r="O39" s="4"/>
      <c r="P39" s="617" t="e">
        <f>SUM(P20:P38)</f>
        <v>#VALUE!</v>
      </c>
      <c r="Q39" s="618">
        <f>SUM(Q20:Q38)</f>
        <v>4802</v>
      </c>
      <c r="R39" s="619">
        <f>SUM(R20:R38)</f>
        <v>6117.895</v>
      </c>
      <c r="S39" s="620">
        <f>SUM(S20:S38)</f>
        <v>874916.010906</v>
      </c>
      <c r="T39" s="620">
        <f>SUM(T20:T38)</f>
        <v>0</v>
      </c>
      <c r="V39" s="101">
        <f>ROUND(SUM(V20:V38),2)</f>
        <v>14915.16</v>
      </c>
      <c r="W39" s="101">
        <f>SUM(W22:W36)</f>
        <v>3210.793673268541</v>
      </c>
      <c r="X39" s="621"/>
    </row>
    <row r="40" spans="2:24" s="135" customFormat="1" ht="9.75" thickTop="1">
      <c r="B40" s="134"/>
      <c r="C40" s="131"/>
      <c r="D40" s="132" t="s">
        <v>299</v>
      </c>
      <c r="G40" s="133"/>
      <c r="H40" s="133"/>
      <c r="I40" s="133" t="s">
        <v>298</v>
      </c>
      <c r="J40" s="133"/>
      <c r="K40" s="133"/>
      <c r="L40" s="133"/>
      <c r="M40" s="133"/>
      <c r="N40" s="133"/>
      <c r="O40" s="133"/>
      <c r="P40" s="427"/>
      <c r="Q40" s="427"/>
      <c r="R40" s="427"/>
      <c r="S40" s="427"/>
      <c r="T40" s="427"/>
      <c r="V40" s="216"/>
      <c r="W40" s="216"/>
      <c r="X40" s="550"/>
    </row>
    <row r="41" spans="2:24" s="5" customFormat="1" ht="16.5" customHeight="1" thickBot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</row>
    <row r="42" spans="4:26" ht="16.5" customHeight="1" thickTop="1">
      <c r="D42" s="193"/>
      <c r="E42" s="193"/>
      <c r="F42" s="193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</row>
    <row r="43" spans="4:26" ht="16.5" customHeight="1">
      <c r="D43" s="193"/>
      <c r="E43" s="193"/>
      <c r="F43" s="193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</row>
    <row r="44" spans="4:26" ht="16.5" customHeight="1">
      <c r="D44" s="193"/>
      <c r="E44" s="193"/>
      <c r="F44" s="193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</row>
    <row r="45" spans="4:26" ht="16.5" customHeight="1">
      <c r="D45" s="193"/>
      <c r="E45" s="193"/>
      <c r="F45" s="193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</row>
    <row r="46" spans="4:26" ht="16.5" customHeight="1">
      <c r="D46" s="193"/>
      <c r="E46" s="193"/>
      <c r="F46" s="193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</row>
    <row r="47" spans="4:26" ht="16.5" customHeight="1">
      <c r="D47" s="193"/>
      <c r="E47" s="193"/>
      <c r="F47" s="193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</row>
    <row r="48" spans="4:26" ht="16.5" customHeight="1"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</row>
    <row r="49" spans="4:26" ht="16.5" customHeight="1"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</row>
    <row r="50" spans="4:26" ht="16.5" customHeight="1"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</row>
    <row r="51" spans="4:26" ht="16.5" customHeight="1"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</row>
    <row r="52" spans="4:26" ht="16.5" customHeight="1"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</row>
    <row r="53" spans="4:26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</row>
    <row r="54" spans="4:26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</row>
    <row r="55" spans="4:26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</row>
    <row r="56" spans="4:26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</row>
    <row r="57" spans="4:26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</row>
    <row r="58" spans="4:26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</row>
    <row r="59" spans="4:26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</row>
    <row r="60" spans="4:26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</row>
    <row r="61" spans="4:26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</row>
    <row r="62" spans="4:26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</row>
    <row r="63" spans="4:26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</row>
    <row r="64" spans="4:26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</row>
    <row r="65" spans="4:26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</row>
    <row r="66" spans="4:26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</row>
    <row r="67" spans="4:26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</row>
    <row r="68" spans="4:26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</row>
    <row r="69" spans="4:26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</row>
    <row r="70" spans="4:26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</row>
    <row r="71" spans="4:26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</row>
    <row r="72" spans="4:26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</row>
    <row r="73" spans="4:26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</row>
    <row r="74" spans="4:26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</row>
    <row r="75" spans="4:26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</row>
    <row r="76" spans="4:26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</row>
    <row r="77" spans="4:26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</row>
    <row r="78" spans="4:26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4:26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</row>
    <row r="80" spans="4:26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</row>
    <row r="81" spans="4:26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</row>
    <row r="82" spans="4:26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</row>
    <row r="83" spans="4:26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</row>
    <row r="84" spans="4:26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</row>
    <row r="85" spans="4:26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</row>
    <row r="86" spans="4:26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</row>
    <row r="87" spans="4:26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</row>
    <row r="88" spans="4:26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</row>
    <row r="89" spans="4:26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</row>
    <row r="90" spans="4:26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</row>
    <row r="91" spans="4:26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</row>
    <row r="92" spans="4:26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</row>
    <row r="93" spans="4:26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</row>
    <row r="94" spans="4:26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</row>
    <row r="95" spans="4:26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</row>
    <row r="96" spans="4:26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</row>
    <row r="97" spans="4:26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</row>
    <row r="98" spans="4:26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</row>
    <row r="99" spans="4:26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</row>
    <row r="100" spans="4:26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</row>
    <row r="101" spans="4:26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</row>
    <row r="102" spans="4:26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</row>
    <row r="103" spans="4:26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</row>
    <row r="104" spans="4:26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</row>
    <row r="105" spans="4:26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</row>
    <row r="106" spans="4:26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</row>
    <row r="107" spans="4:26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</row>
    <row r="108" spans="4:26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</row>
    <row r="109" spans="4:26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</row>
    <row r="110" spans="4:26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</row>
    <row r="111" spans="4:26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</row>
    <row r="112" spans="4:26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</row>
    <row r="113" spans="4:26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</row>
    <row r="114" spans="4:26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</row>
    <row r="115" spans="4:26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</row>
    <row r="116" spans="4:26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</row>
    <row r="117" spans="4:26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</row>
    <row r="118" spans="4:26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</row>
    <row r="119" spans="4:26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</row>
    <row r="120" spans="4:26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</row>
    <row r="121" spans="4:26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</row>
    <row r="122" spans="4:26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</row>
    <row r="123" spans="4:26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</row>
    <row r="124" spans="4:26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</row>
    <row r="125" spans="4:26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</row>
    <row r="126" spans="4:26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</row>
    <row r="127" spans="4:26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</row>
    <row r="128" spans="4:26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</row>
    <row r="129" spans="4:26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</row>
    <row r="130" spans="4:26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</row>
    <row r="131" spans="4:26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</row>
    <row r="132" spans="4:26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</row>
    <row r="133" spans="4:26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</row>
    <row r="134" spans="4:26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</row>
    <row r="135" spans="4:26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</row>
    <row r="136" spans="4:26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</row>
    <row r="137" spans="4:26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</row>
    <row r="138" spans="4:26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</row>
    <row r="139" spans="4:26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</row>
    <row r="140" spans="4:26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</row>
    <row r="141" spans="4:26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</row>
    <row r="142" spans="4:26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</row>
    <row r="143" spans="4:26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</row>
    <row r="144" spans="4:26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</row>
    <row r="145" spans="4:26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</row>
    <row r="146" spans="4:26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</row>
    <row r="147" spans="4:26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</row>
    <row r="148" spans="4:26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</row>
    <row r="149" spans="4:26" ht="16.5" customHeight="1">
      <c r="D149" s="191"/>
      <c r="E149" s="191"/>
      <c r="F149" s="191"/>
      <c r="Y149" s="191"/>
      <c r="Z149" s="191"/>
    </row>
    <row r="150" spans="4:6" ht="16.5" customHeight="1">
      <c r="D150" s="191"/>
      <c r="E150" s="191"/>
      <c r="F150" s="191"/>
    </row>
    <row r="151" spans="4:6" ht="16.5" customHeight="1">
      <c r="D151" s="191"/>
      <c r="E151" s="191"/>
      <c r="F151" s="191"/>
    </row>
    <row r="152" spans="4:6" ht="16.5" customHeight="1">
      <c r="D152" s="191"/>
      <c r="E152" s="191"/>
      <c r="F152" s="191"/>
    </row>
    <row r="153" spans="4:6" ht="16.5" customHeight="1">
      <c r="D153" s="191"/>
      <c r="E153" s="191"/>
      <c r="F153" s="191"/>
    </row>
    <row r="154" spans="4:6" ht="16.5" customHeight="1">
      <c r="D154" s="191"/>
      <c r="E154" s="191"/>
      <c r="F154" s="191"/>
    </row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Y159"/>
  <sheetViews>
    <sheetView zoomScale="75" zoomScaleNormal="75" workbookViewId="0" topLeftCell="C1">
      <selection activeCell="D44" sqref="D4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3" width="15.7109375" style="0" customWidth="1"/>
  </cols>
  <sheetData>
    <row r="1" s="18" customFormat="1" ht="26.25">
      <c r="W1" s="156"/>
    </row>
    <row r="2" spans="1:23" s="18" customFormat="1" ht="26.25">
      <c r="A2" s="91"/>
      <c r="B2" s="552" t="str">
        <f>+'TOT-1007'!B2</f>
        <v>ANEXO V al Memorandum D.T.E.E. N° 1955 /2009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190" t="s">
        <v>91</v>
      </c>
      <c r="E8" s="553"/>
      <c r="F8" s="187"/>
      <c r="G8" s="186"/>
      <c r="H8" s="186"/>
      <c r="I8" s="186"/>
      <c r="J8" s="186"/>
      <c r="K8" s="186"/>
      <c r="L8" s="186"/>
      <c r="M8" s="186"/>
      <c r="N8" s="187"/>
      <c r="O8" s="187"/>
      <c r="P8" s="187"/>
      <c r="Q8" s="187"/>
      <c r="R8" s="187"/>
      <c r="S8" s="187"/>
      <c r="T8" s="187"/>
      <c r="U8" s="187"/>
      <c r="V8" s="187"/>
      <c r="W8" s="554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92</v>
      </c>
      <c r="F10" s="555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D12" s="11" t="s">
        <v>282</v>
      </c>
      <c r="F12" s="555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'TOT-1007'!B14</f>
        <v>Desde el 01 al 31 de octubre de 2007</v>
      </c>
      <c r="C14" s="556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6"/>
      <c r="Q14" s="556"/>
      <c r="R14" s="556"/>
      <c r="S14" s="556"/>
      <c r="T14" s="556"/>
      <c r="U14" s="556"/>
      <c r="V14" s="556"/>
      <c r="W14" s="558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118" t="s">
        <v>76</v>
      </c>
      <c r="E16" s="559"/>
      <c r="F16" s="994">
        <v>0.245</v>
      </c>
      <c r="G16" s="493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560" t="s">
        <v>28</v>
      </c>
      <c r="E17" s="561"/>
      <c r="F17" s="995">
        <v>20</v>
      </c>
      <c r="G17" s="493"/>
      <c r="H17"/>
      <c r="I17" s="232"/>
      <c r="J17" s="233"/>
      <c r="K17" s="4"/>
      <c r="L17" s="4"/>
      <c r="M17" s="4"/>
      <c r="O17" s="4"/>
      <c r="P17" s="4"/>
      <c r="Q17" s="4"/>
      <c r="R17" s="117"/>
      <c r="S17" s="117"/>
      <c r="T17" s="117"/>
      <c r="U17" s="117"/>
      <c r="V17" s="117"/>
      <c r="W17" s="6"/>
    </row>
    <row r="18" spans="2:23" s="5" customFormat="1" ht="16.5" customHeight="1" thickBot="1" thickTop="1">
      <c r="B18" s="50"/>
      <c r="C18" s="66"/>
      <c r="D18" s="562"/>
      <c r="E18" s="563"/>
      <c r="F18" s="563"/>
      <c r="G18" s="211"/>
      <c r="H18" s="211"/>
      <c r="I18" s="211"/>
      <c r="J18" s="211"/>
      <c r="K18" s="211"/>
      <c r="L18" s="211"/>
      <c r="M18" s="211"/>
      <c r="N18" s="211"/>
      <c r="O18" s="564"/>
      <c r="P18" s="565"/>
      <c r="Q18" s="566"/>
      <c r="R18" s="566"/>
      <c r="S18" s="566"/>
      <c r="T18" s="566"/>
      <c r="U18" s="567"/>
      <c r="V18" s="568"/>
      <c r="W18" s="6"/>
    </row>
    <row r="19" spans="2:23" s="5" customFormat="1" ht="33.75" customHeight="1" thickBot="1" thickTop="1">
      <c r="B19" s="50"/>
      <c r="C19" s="84" t="s">
        <v>13</v>
      </c>
      <c r="D19" s="86" t="s">
        <v>29</v>
      </c>
      <c r="E19" s="85" t="s">
        <v>30</v>
      </c>
      <c r="F19" s="569" t="s">
        <v>31</v>
      </c>
      <c r="G19" s="137" t="s">
        <v>16</v>
      </c>
      <c r="H19" s="85" t="s">
        <v>17</v>
      </c>
      <c r="I19" s="85" t="s">
        <v>18</v>
      </c>
      <c r="J19" s="86" t="s">
        <v>38</v>
      </c>
      <c r="K19" s="86" t="s">
        <v>33</v>
      </c>
      <c r="L19" s="88" t="s">
        <v>19</v>
      </c>
      <c r="M19" s="88" t="s">
        <v>48</v>
      </c>
      <c r="N19" s="85" t="s">
        <v>34</v>
      </c>
      <c r="O19" s="137" t="s">
        <v>39</v>
      </c>
      <c r="P19" s="570" t="s">
        <v>62</v>
      </c>
      <c r="Q19" s="571" t="s">
        <v>94</v>
      </c>
      <c r="R19" s="572"/>
      <c r="S19" s="573" t="s">
        <v>22</v>
      </c>
      <c r="T19" s="348" t="s">
        <v>21</v>
      </c>
      <c r="U19" s="142" t="s">
        <v>74</v>
      </c>
      <c r="V19" s="574" t="s">
        <v>24</v>
      </c>
      <c r="W19" s="6"/>
    </row>
    <row r="20" spans="2:23" s="5" customFormat="1" ht="16.5" customHeight="1" thickTop="1">
      <c r="B20" s="50"/>
      <c r="C20" s="575"/>
      <c r="D20" s="576"/>
      <c r="E20" s="576"/>
      <c r="F20" s="576"/>
      <c r="G20" s="441"/>
      <c r="H20" s="577"/>
      <c r="I20" s="577"/>
      <c r="J20" s="575"/>
      <c r="K20" s="575"/>
      <c r="L20" s="576"/>
      <c r="M20" s="200"/>
      <c r="N20" s="575"/>
      <c r="O20" s="578"/>
      <c r="P20" s="579"/>
      <c r="Q20" s="580"/>
      <c r="R20" s="581"/>
      <c r="S20" s="582"/>
      <c r="T20" s="582"/>
      <c r="U20" s="583"/>
      <c r="V20" s="584"/>
      <c r="W20" s="6"/>
    </row>
    <row r="21" spans="2:23" s="5" customFormat="1" ht="16.5" customHeight="1">
      <c r="B21" s="50"/>
      <c r="C21" s="367"/>
      <c r="D21" s="585"/>
      <c r="E21" s="586"/>
      <c r="F21" s="587"/>
      <c r="G21" s="588"/>
      <c r="H21" s="589"/>
      <c r="I21" s="590"/>
      <c r="J21" s="591"/>
      <c r="K21" s="592"/>
      <c r="L21" s="593"/>
      <c r="M21" s="201"/>
      <c r="N21" s="594"/>
      <c r="O21" s="595"/>
      <c r="P21" s="596"/>
      <c r="Q21" s="597"/>
      <c r="R21" s="598"/>
      <c r="S21" s="599"/>
      <c r="T21" s="599"/>
      <c r="U21" s="594"/>
      <c r="V21" s="600"/>
      <c r="W21" s="6"/>
    </row>
    <row r="22" spans="2:23" s="5" customFormat="1" ht="16.5" customHeight="1">
      <c r="B22" s="50"/>
      <c r="C22" s="10">
        <v>80</v>
      </c>
      <c r="D22" s="601" t="s">
        <v>267</v>
      </c>
      <c r="E22" s="528" t="s">
        <v>268</v>
      </c>
      <c r="F22" s="602">
        <v>149</v>
      </c>
      <c r="G22" s="384">
        <f aca="true" t="shared" si="0" ref="G22:G42">F22*$F$16</f>
        <v>36.505</v>
      </c>
      <c r="H22" s="530">
        <v>39374.28055555555</v>
      </c>
      <c r="I22" s="205">
        <v>39374.618055555555</v>
      </c>
      <c r="J22" s="531">
        <f>IF(D22="","",(I22-H22)*24)</f>
        <v>8.100000000034925</v>
      </c>
      <c r="K22" s="532">
        <f>IF(D22="","",ROUND((I22-H22)*24*60,0))</f>
        <v>486</v>
      </c>
      <c r="L22" s="281" t="s">
        <v>187</v>
      </c>
      <c r="M22" s="282" t="str">
        <f>IF(D22="","","--")</f>
        <v>--</v>
      </c>
      <c r="N22" s="166" t="str">
        <f>IF(D22="","",IF(OR(L22="P",L22="RP"),"--","NO"))</f>
        <v>--</v>
      </c>
      <c r="O22" s="603">
        <f>IF(OR(L22="P",L22="RP"),$F$17/10,$F$17)</f>
        <v>2</v>
      </c>
      <c r="P22" s="604">
        <f>IF(L22="P",G22*O22*ROUND(K22/60,2),"--")</f>
        <v>591.381</v>
      </c>
      <c r="Q22" s="605" t="str">
        <f>IF(AND(L22="F",N22="NO"),G22*O22,"--")</f>
        <v>--</v>
      </c>
      <c r="R22" s="606" t="str">
        <f>IF(L22="F",G22*O22*ROUND(K22/60,2),"--")</f>
        <v>--</v>
      </c>
      <c r="S22" s="607" t="str">
        <f>IF(L22="RF",G22*O22*ROUND(K22/60,2),"--")</f>
        <v>--</v>
      </c>
      <c r="T22" s="388" t="s">
        <v>188</v>
      </c>
      <c r="U22" s="166" t="str">
        <f>IF(D22="","","SI")</f>
        <v>SI</v>
      </c>
      <c r="V22" s="537">
        <f>IF(D22="","",SUM(P22:T22)*IF(U22="SI",1,2))</f>
        <v>591.381</v>
      </c>
      <c r="W22" s="6"/>
    </row>
    <row r="23" spans="2:23" s="5" customFormat="1" ht="16.5" customHeight="1">
      <c r="B23" s="50"/>
      <c r="C23" s="168"/>
      <c r="D23" s="601"/>
      <c r="E23" s="528"/>
      <c r="F23" s="602"/>
      <c r="G23" s="384"/>
      <c r="H23" s="530"/>
      <c r="I23" s="205"/>
      <c r="J23" s="531"/>
      <c r="K23" s="532"/>
      <c r="L23" s="281"/>
      <c r="M23" s="282"/>
      <c r="N23" s="166"/>
      <c r="O23" s="603"/>
      <c r="P23" s="604"/>
      <c r="Q23" s="605"/>
      <c r="R23" s="606"/>
      <c r="S23" s="607"/>
      <c r="T23" s="388"/>
      <c r="U23" s="166"/>
      <c r="V23" s="537"/>
      <c r="W23" s="6"/>
    </row>
    <row r="24" spans="2:23" s="5" customFormat="1" ht="16.5" customHeight="1">
      <c r="B24" s="50"/>
      <c r="C24" s="168"/>
      <c r="D24" s="601"/>
      <c r="E24" s="528"/>
      <c r="F24" s="602"/>
      <c r="G24" s="384"/>
      <c r="H24" s="530"/>
      <c r="I24" s="205"/>
      <c r="J24" s="531"/>
      <c r="K24" s="532"/>
      <c r="L24" s="281"/>
      <c r="M24" s="282"/>
      <c r="N24" s="166"/>
      <c r="O24" s="603"/>
      <c r="P24" s="604"/>
      <c r="Q24" s="605"/>
      <c r="R24" s="606"/>
      <c r="S24" s="607"/>
      <c r="T24" s="388"/>
      <c r="U24" s="166"/>
      <c r="V24" s="537"/>
      <c r="W24" s="6"/>
    </row>
    <row r="25" spans="2:23" s="5" customFormat="1" ht="16.5" customHeight="1">
      <c r="B25" s="50"/>
      <c r="C25" s="168"/>
      <c r="D25" s="601"/>
      <c r="E25" s="528"/>
      <c r="F25" s="602"/>
      <c r="G25" s="384">
        <f t="shared" si="0"/>
        <v>0</v>
      </c>
      <c r="H25" s="530"/>
      <c r="I25" s="205"/>
      <c r="J25" s="531">
        <f aca="true" t="shared" si="1" ref="J25:J42">IF(D25="","",(I25-H25)*24)</f>
      </c>
      <c r="K25" s="532">
        <f aca="true" t="shared" si="2" ref="K25:K42">IF(D25="","",ROUND((I25-H25)*24*60,0))</f>
      </c>
      <c r="L25" s="281"/>
      <c r="M25" s="282">
        <f aca="true" t="shared" si="3" ref="M25:M42">IF(D25="","","--")</f>
      </c>
      <c r="N25" s="166">
        <f aca="true" t="shared" si="4" ref="N25:N42">IF(D25="","",IF(OR(L25="P",L25="RP"),"--","NO"))</f>
      </c>
      <c r="O25" s="603">
        <f aca="true" t="shared" si="5" ref="O25:O42">IF(OR(L25="P",L25="RP"),$F$17/10,$F$17)</f>
        <v>20</v>
      </c>
      <c r="P25" s="604" t="str">
        <f aca="true" t="shared" si="6" ref="P25:P42">IF(L25="P",G25*O25*ROUND(K25/60,2),"--")</f>
        <v>--</v>
      </c>
      <c r="Q25" s="605" t="str">
        <f aca="true" t="shared" si="7" ref="Q25:Q42">IF(AND(L25="F",N25="NO"),G25*O25,"--")</f>
        <v>--</v>
      </c>
      <c r="R25" s="606" t="str">
        <f aca="true" t="shared" si="8" ref="R25:R42">IF(L25="F",G25*O25*ROUND(K25/60,2),"--")</f>
        <v>--</v>
      </c>
      <c r="S25" s="607" t="str">
        <f aca="true" t="shared" si="9" ref="S25:S42">IF(L25="RF",G25*O25*ROUND(K25/60,2),"--")</f>
        <v>--</v>
      </c>
      <c r="T25" s="388" t="str">
        <f aca="true" t="shared" si="10" ref="T25:T42">IF(L25="RP",G25*O25*M25/100*ROUND(K25/60,2),"--")</f>
        <v>--</v>
      </c>
      <c r="U25" s="166">
        <f aca="true" t="shared" si="11" ref="U25:U42">IF(D25="","","SI")</f>
      </c>
      <c r="V25" s="537">
        <f aca="true" t="shared" si="12" ref="V25:V42">IF(D25="","",SUM(P25:T25)*IF(U25="SI",1,2))</f>
      </c>
      <c r="W25" s="6"/>
    </row>
    <row r="26" spans="2:23" s="5" customFormat="1" ht="16.5" customHeight="1">
      <c r="B26" s="50"/>
      <c r="C26" s="367"/>
      <c r="D26" s="601"/>
      <c r="E26" s="528"/>
      <c r="F26" s="602"/>
      <c r="G26" s="384">
        <f t="shared" si="0"/>
        <v>0</v>
      </c>
      <c r="H26" s="530"/>
      <c r="I26" s="205"/>
      <c r="J26" s="531">
        <f t="shared" si="1"/>
      </c>
      <c r="K26" s="532">
        <f t="shared" si="2"/>
      </c>
      <c r="L26" s="281"/>
      <c r="M26" s="282">
        <f t="shared" si="3"/>
      </c>
      <c r="N26" s="166">
        <f t="shared" si="4"/>
      </c>
      <c r="O26" s="603">
        <f t="shared" si="5"/>
        <v>20</v>
      </c>
      <c r="P26" s="604" t="str">
        <f t="shared" si="6"/>
        <v>--</v>
      </c>
      <c r="Q26" s="605" t="str">
        <f t="shared" si="7"/>
        <v>--</v>
      </c>
      <c r="R26" s="606" t="str">
        <f t="shared" si="8"/>
        <v>--</v>
      </c>
      <c r="S26" s="607" t="str">
        <f t="shared" si="9"/>
        <v>--</v>
      </c>
      <c r="T26" s="388" t="str">
        <f t="shared" si="10"/>
        <v>--</v>
      </c>
      <c r="U26" s="166">
        <f t="shared" si="11"/>
      </c>
      <c r="V26" s="537">
        <f t="shared" si="12"/>
      </c>
      <c r="W26" s="608"/>
    </row>
    <row r="27" spans="2:23" s="5" customFormat="1" ht="16.5" customHeight="1">
      <c r="B27" s="50"/>
      <c r="C27" s="168"/>
      <c r="D27" s="601"/>
      <c r="E27" s="528"/>
      <c r="F27" s="602"/>
      <c r="G27" s="384">
        <f t="shared" si="0"/>
        <v>0</v>
      </c>
      <c r="H27" s="530"/>
      <c r="I27" s="205"/>
      <c r="J27" s="531">
        <f t="shared" si="1"/>
      </c>
      <c r="K27" s="532">
        <f t="shared" si="2"/>
      </c>
      <c r="L27" s="281"/>
      <c r="M27" s="282">
        <f t="shared" si="3"/>
      </c>
      <c r="N27" s="166">
        <f t="shared" si="4"/>
      </c>
      <c r="O27" s="603">
        <f t="shared" si="5"/>
        <v>20</v>
      </c>
      <c r="P27" s="604" t="str">
        <f t="shared" si="6"/>
        <v>--</v>
      </c>
      <c r="Q27" s="605" t="str">
        <f t="shared" si="7"/>
        <v>--</v>
      </c>
      <c r="R27" s="606" t="str">
        <f t="shared" si="8"/>
        <v>--</v>
      </c>
      <c r="S27" s="607" t="str">
        <f t="shared" si="9"/>
        <v>--</v>
      </c>
      <c r="T27" s="388" t="str">
        <f t="shared" si="10"/>
        <v>--</v>
      </c>
      <c r="U27" s="166">
        <f t="shared" si="11"/>
      </c>
      <c r="V27" s="537">
        <f t="shared" si="12"/>
      </c>
      <c r="W27" s="608"/>
    </row>
    <row r="28" spans="2:23" s="5" customFormat="1" ht="16.5" customHeight="1">
      <c r="B28" s="50"/>
      <c r="C28" s="367"/>
      <c r="D28" s="601"/>
      <c r="E28" s="528"/>
      <c r="F28" s="602"/>
      <c r="G28" s="384">
        <f t="shared" si="0"/>
        <v>0</v>
      </c>
      <c r="H28" s="530"/>
      <c r="I28" s="205"/>
      <c r="J28" s="531">
        <f t="shared" si="1"/>
      </c>
      <c r="K28" s="532">
        <f t="shared" si="2"/>
      </c>
      <c r="L28" s="281"/>
      <c r="M28" s="282">
        <f t="shared" si="3"/>
      </c>
      <c r="N28" s="166">
        <f t="shared" si="4"/>
      </c>
      <c r="O28" s="603">
        <f t="shared" si="5"/>
        <v>20</v>
      </c>
      <c r="P28" s="604" t="str">
        <f t="shared" si="6"/>
        <v>--</v>
      </c>
      <c r="Q28" s="605" t="str">
        <f t="shared" si="7"/>
        <v>--</v>
      </c>
      <c r="R28" s="606" t="str">
        <f t="shared" si="8"/>
        <v>--</v>
      </c>
      <c r="S28" s="607" t="str">
        <f t="shared" si="9"/>
        <v>--</v>
      </c>
      <c r="T28" s="388" t="str">
        <f t="shared" si="10"/>
        <v>--</v>
      </c>
      <c r="U28" s="166">
        <f t="shared" si="11"/>
      </c>
      <c r="V28" s="537">
        <f t="shared" si="12"/>
      </c>
      <c r="W28" s="608"/>
    </row>
    <row r="29" spans="2:23" s="5" customFormat="1" ht="16.5" customHeight="1">
      <c r="B29" s="50"/>
      <c r="C29" s="168"/>
      <c r="D29" s="601"/>
      <c r="E29" s="528"/>
      <c r="F29" s="602"/>
      <c r="G29" s="384">
        <f t="shared" si="0"/>
        <v>0</v>
      </c>
      <c r="H29" s="530"/>
      <c r="I29" s="205"/>
      <c r="J29" s="531">
        <f t="shared" si="1"/>
      </c>
      <c r="K29" s="532">
        <f t="shared" si="2"/>
      </c>
      <c r="L29" s="281"/>
      <c r="M29" s="282">
        <f t="shared" si="3"/>
      </c>
      <c r="N29" s="166">
        <f t="shared" si="4"/>
      </c>
      <c r="O29" s="603">
        <f t="shared" si="5"/>
        <v>20</v>
      </c>
      <c r="P29" s="604" t="str">
        <f t="shared" si="6"/>
        <v>--</v>
      </c>
      <c r="Q29" s="605" t="str">
        <f t="shared" si="7"/>
        <v>--</v>
      </c>
      <c r="R29" s="606" t="str">
        <f t="shared" si="8"/>
        <v>--</v>
      </c>
      <c r="S29" s="607" t="str">
        <f t="shared" si="9"/>
        <v>--</v>
      </c>
      <c r="T29" s="388" t="str">
        <f t="shared" si="10"/>
        <v>--</v>
      </c>
      <c r="U29" s="166">
        <f t="shared" si="11"/>
      </c>
      <c r="V29" s="537">
        <f t="shared" si="12"/>
      </c>
      <c r="W29" s="608"/>
    </row>
    <row r="30" spans="2:23" s="5" customFormat="1" ht="16.5" customHeight="1">
      <c r="B30" s="50"/>
      <c r="C30" s="367"/>
      <c r="D30" s="601"/>
      <c r="E30" s="528"/>
      <c r="F30" s="602"/>
      <c r="G30" s="384">
        <f t="shared" si="0"/>
        <v>0</v>
      </c>
      <c r="H30" s="530"/>
      <c r="I30" s="205"/>
      <c r="J30" s="531">
        <f t="shared" si="1"/>
      </c>
      <c r="K30" s="532">
        <f t="shared" si="2"/>
      </c>
      <c r="L30" s="281"/>
      <c r="M30" s="282">
        <f t="shared" si="3"/>
      </c>
      <c r="N30" s="166">
        <f t="shared" si="4"/>
      </c>
      <c r="O30" s="603">
        <f t="shared" si="5"/>
        <v>20</v>
      </c>
      <c r="P30" s="604" t="str">
        <f t="shared" si="6"/>
        <v>--</v>
      </c>
      <c r="Q30" s="605" t="str">
        <f t="shared" si="7"/>
        <v>--</v>
      </c>
      <c r="R30" s="606" t="str">
        <f t="shared" si="8"/>
        <v>--</v>
      </c>
      <c r="S30" s="607" t="str">
        <f t="shared" si="9"/>
        <v>--</v>
      </c>
      <c r="T30" s="388" t="str">
        <f t="shared" si="10"/>
        <v>--</v>
      </c>
      <c r="U30" s="166">
        <f t="shared" si="11"/>
      </c>
      <c r="V30" s="537">
        <f t="shared" si="12"/>
      </c>
      <c r="W30" s="608"/>
    </row>
    <row r="31" spans="2:23" s="5" customFormat="1" ht="16.5" customHeight="1">
      <c r="B31" s="50"/>
      <c r="C31" s="168"/>
      <c r="D31" s="601"/>
      <c r="E31" s="528"/>
      <c r="F31" s="602"/>
      <c r="G31" s="384">
        <f t="shared" si="0"/>
        <v>0</v>
      </c>
      <c r="H31" s="530"/>
      <c r="I31" s="205"/>
      <c r="J31" s="531">
        <f t="shared" si="1"/>
      </c>
      <c r="K31" s="532">
        <f t="shared" si="2"/>
      </c>
      <c r="L31" s="281"/>
      <c r="M31" s="282">
        <f t="shared" si="3"/>
      </c>
      <c r="N31" s="166">
        <f t="shared" si="4"/>
      </c>
      <c r="O31" s="603">
        <f t="shared" si="5"/>
        <v>20</v>
      </c>
      <c r="P31" s="604" t="str">
        <f t="shared" si="6"/>
        <v>--</v>
      </c>
      <c r="Q31" s="605" t="str">
        <f t="shared" si="7"/>
        <v>--</v>
      </c>
      <c r="R31" s="606" t="str">
        <f t="shared" si="8"/>
        <v>--</v>
      </c>
      <c r="S31" s="607" t="str">
        <f t="shared" si="9"/>
        <v>--</v>
      </c>
      <c r="T31" s="388" t="str">
        <f t="shared" si="10"/>
        <v>--</v>
      </c>
      <c r="U31" s="166">
        <f t="shared" si="11"/>
      </c>
      <c r="V31" s="537">
        <f t="shared" si="12"/>
      </c>
      <c r="W31" s="608"/>
    </row>
    <row r="32" spans="2:23" s="5" customFormat="1" ht="16.5" customHeight="1">
      <c r="B32" s="50"/>
      <c r="C32" s="367"/>
      <c r="D32" s="601"/>
      <c r="E32" s="528"/>
      <c r="F32" s="602"/>
      <c r="G32" s="384">
        <f t="shared" si="0"/>
        <v>0</v>
      </c>
      <c r="H32" s="530"/>
      <c r="I32" s="205"/>
      <c r="J32" s="531">
        <f t="shared" si="1"/>
      </c>
      <c r="K32" s="532">
        <f t="shared" si="2"/>
      </c>
      <c r="L32" s="281"/>
      <c r="M32" s="282">
        <f t="shared" si="3"/>
      </c>
      <c r="N32" s="166">
        <f t="shared" si="4"/>
      </c>
      <c r="O32" s="603">
        <f t="shared" si="5"/>
        <v>20</v>
      </c>
      <c r="P32" s="604" t="str">
        <f t="shared" si="6"/>
        <v>--</v>
      </c>
      <c r="Q32" s="605" t="str">
        <f t="shared" si="7"/>
        <v>--</v>
      </c>
      <c r="R32" s="606" t="str">
        <f t="shared" si="8"/>
        <v>--</v>
      </c>
      <c r="S32" s="607" t="str">
        <f t="shared" si="9"/>
        <v>--</v>
      </c>
      <c r="T32" s="388" t="str">
        <f t="shared" si="10"/>
        <v>--</v>
      </c>
      <c r="U32" s="166">
        <f t="shared" si="11"/>
      </c>
      <c r="V32" s="537">
        <f t="shared" si="12"/>
      </c>
      <c r="W32" s="6"/>
    </row>
    <row r="33" spans="2:23" s="5" customFormat="1" ht="16.5" customHeight="1">
      <c r="B33" s="50"/>
      <c r="C33" s="168"/>
      <c r="D33" s="601"/>
      <c r="E33" s="528"/>
      <c r="F33" s="602"/>
      <c r="G33" s="384">
        <f t="shared" si="0"/>
        <v>0</v>
      </c>
      <c r="H33" s="530"/>
      <c r="I33" s="205"/>
      <c r="J33" s="531">
        <f t="shared" si="1"/>
      </c>
      <c r="K33" s="532">
        <f t="shared" si="2"/>
      </c>
      <c r="L33" s="281"/>
      <c r="M33" s="282">
        <f t="shared" si="3"/>
      </c>
      <c r="N33" s="166">
        <f t="shared" si="4"/>
      </c>
      <c r="O33" s="603">
        <f t="shared" si="5"/>
        <v>20</v>
      </c>
      <c r="P33" s="604" t="str">
        <f t="shared" si="6"/>
        <v>--</v>
      </c>
      <c r="Q33" s="605" t="str">
        <f t="shared" si="7"/>
        <v>--</v>
      </c>
      <c r="R33" s="606" t="str">
        <f t="shared" si="8"/>
        <v>--</v>
      </c>
      <c r="S33" s="607" t="str">
        <f t="shared" si="9"/>
        <v>--</v>
      </c>
      <c r="T33" s="388" t="str">
        <f t="shared" si="10"/>
        <v>--</v>
      </c>
      <c r="U33" s="166">
        <f t="shared" si="11"/>
      </c>
      <c r="V33" s="537">
        <f t="shared" si="12"/>
      </c>
      <c r="W33" s="6"/>
    </row>
    <row r="34" spans="2:23" s="5" customFormat="1" ht="16.5" customHeight="1">
      <c r="B34" s="50"/>
      <c r="C34" s="367"/>
      <c r="D34" s="601"/>
      <c r="E34" s="528"/>
      <c r="F34" s="602"/>
      <c r="G34" s="384">
        <f t="shared" si="0"/>
        <v>0</v>
      </c>
      <c r="H34" s="530"/>
      <c r="I34" s="205"/>
      <c r="J34" s="531">
        <f t="shared" si="1"/>
      </c>
      <c r="K34" s="532">
        <f t="shared" si="2"/>
      </c>
      <c r="L34" s="281"/>
      <c r="M34" s="282">
        <f t="shared" si="3"/>
      </c>
      <c r="N34" s="166">
        <f t="shared" si="4"/>
      </c>
      <c r="O34" s="603">
        <f t="shared" si="5"/>
        <v>20</v>
      </c>
      <c r="P34" s="604" t="str">
        <f t="shared" si="6"/>
        <v>--</v>
      </c>
      <c r="Q34" s="605" t="str">
        <f t="shared" si="7"/>
        <v>--</v>
      </c>
      <c r="R34" s="606" t="str">
        <f t="shared" si="8"/>
        <v>--</v>
      </c>
      <c r="S34" s="607" t="str">
        <f t="shared" si="9"/>
        <v>--</v>
      </c>
      <c r="T34" s="388" t="str">
        <f t="shared" si="10"/>
        <v>--</v>
      </c>
      <c r="U34" s="166">
        <f t="shared" si="11"/>
      </c>
      <c r="V34" s="537">
        <f t="shared" si="12"/>
      </c>
      <c r="W34" s="6"/>
    </row>
    <row r="35" spans="2:23" s="5" customFormat="1" ht="16.5" customHeight="1">
      <c r="B35" s="50"/>
      <c r="C35" s="168"/>
      <c r="D35" s="601"/>
      <c r="E35" s="528"/>
      <c r="F35" s="602"/>
      <c r="G35" s="384">
        <f t="shared" si="0"/>
        <v>0</v>
      </c>
      <c r="H35" s="530"/>
      <c r="I35" s="205"/>
      <c r="J35" s="531">
        <f t="shared" si="1"/>
      </c>
      <c r="K35" s="532">
        <f t="shared" si="2"/>
      </c>
      <c r="L35" s="281"/>
      <c r="M35" s="282">
        <f t="shared" si="3"/>
      </c>
      <c r="N35" s="166">
        <f t="shared" si="4"/>
      </c>
      <c r="O35" s="603">
        <f t="shared" si="5"/>
        <v>20</v>
      </c>
      <c r="P35" s="604" t="str">
        <f t="shared" si="6"/>
        <v>--</v>
      </c>
      <c r="Q35" s="605" t="str">
        <f t="shared" si="7"/>
        <v>--</v>
      </c>
      <c r="R35" s="606" t="str">
        <f t="shared" si="8"/>
        <v>--</v>
      </c>
      <c r="S35" s="607" t="str">
        <f t="shared" si="9"/>
        <v>--</v>
      </c>
      <c r="T35" s="388" t="str">
        <f t="shared" si="10"/>
        <v>--</v>
      </c>
      <c r="U35" s="166">
        <f t="shared" si="11"/>
      </c>
      <c r="V35" s="537">
        <f t="shared" si="12"/>
      </c>
      <c r="W35" s="6"/>
    </row>
    <row r="36" spans="2:23" s="5" customFormat="1" ht="16.5" customHeight="1">
      <c r="B36" s="50"/>
      <c r="C36" s="367"/>
      <c r="D36" s="601"/>
      <c r="E36" s="528"/>
      <c r="F36" s="602"/>
      <c r="G36" s="384">
        <f t="shared" si="0"/>
        <v>0</v>
      </c>
      <c r="H36" s="530"/>
      <c r="I36" s="205"/>
      <c r="J36" s="531">
        <f t="shared" si="1"/>
      </c>
      <c r="K36" s="532">
        <f t="shared" si="2"/>
      </c>
      <c r="L36" s="281"/>
      <c r="M36" s="282">
        <f t="shared" si="3"/>
      </c>
      <c r="N36" s="166">
        <f t="shared" si="4"/>
      </c>
      <c r="O36" s="603">
        <f t="shared" si="5"/>
        <v>20</v>
      </c>
      <c r="P36" s="604" t="str">
        <f t="shared" si="6"/>
        <v>--</v>
      </c>
      <c r="Q36" s="605" t="str">
        <f t="shared" si="7"/>
        <v>--</v>
      </c>
      <c r="R36" s="606" t="str">
        <f t="shared" si="8"/>
        <v>--</v>
      </c>
      <c r="S36" s="607" t="str">
        <f t="shared" si="9"/>
        <v>--</v>
      </c>
      <c r="T36" s="388" t="str">
        <f t="shared" si="10"/>
        <v>--</v>
      </c>
      <c r="U36" s="166">
        <f t="shared" si="11"/>
      </c>
      <c r="V36" s="537">
        <f t="shared" si="12"/>
      </c>
      <c r="W36" s="6"/>
    </row>
    <row r="37" spans="2:23" s="5" customFormat="1" ht="16.5" customHeight="1">
      <c r="B37" s="50"/>
      <c r="C37" s="168"/>
      <c r="D37" s="601"/>
      <c r="E37" s="528"/>
      <c r="F37" s="602"/>
      <c r="G37" s="384">
        <f t="shared" si="0"/>
        <v>0</v>
      </c>
      <c r="H37" s="530"/>
      <c r="I37" s="205"/>
      <c r="J37" s="531">
        <f t="shared" si="1"/>
      </c>
      <c r="K37" s="532">
        <f t="shared" si="2"/>
      </c>
      <c r="L37" s="281"/>
      <c r="M37" s="282">
        <f t="shared" si="3"/>
      </c>
      <c r="N37" s="166">
        <f t="shared" si="4"/>
      </c>
      <c r="O37" s="603">
        <f t="shared" si="5"/>
        <v>20</v>
      </c>
      <c r="P37" s="604" t="str">
        <f t="shared" si="6"/>
        <v>--</v>
      </c>
      <c r="Q37" s="605" t="str">
        <f t="shared" si="7"/>
        <v>--</v>
      </c>
      <c r="R37" s="606" t="str">
        <f t="shared" si="8"/>
        <v>--</v>
      </c>
      <c r="S37" s="607" t="str">
        <f t="shared" si="9"/>
        <v>--</v>
      </c>
      <c r="T37" s="388" t="str">
        <f t="shared" si="10"/>
        <v>--</v>
      </c>
      <c r="U37" s="166">
        <f t="shared" si="11"/>
      </c>
      <c r="V37" s="537">
        <f t="shared" si="12"/>
      </c>
      <c r="W37" s="6"/>
    </row>
    <row r="38" spans="2:23" s="5" customFormat="1" ht="16.5" customHeight="1">
      <c r="B38" s="50"/>
      <c r="C38" s="367"/>
      <c r="D38" s="601"/>
      <c r="E38" s="528"/>
      <c r="F38" s="602"/>
      <c r="G38" s="384">
        <f t="shared" si="0"/>
        <v>0</v>
      </c>
      <c r="H38" s="530"/>
      <c r="I38" s="205"/>
      <c r="J38" s="531">
        <f t="shared" si="1"/>
      </c>
      <c r="K38" s="532">
        <f t="shared" si="2"/>
      </c>
      <c r="L38" s="281"/>
      <c r="M38" s="282">
        <f t="shared" si="3"/>
      </c>
      <c r="N38" s="166">
        <f t="shared" si="4"/>
      </c>
      <c r="O38" s="603">
        <f t="shared" si="5"/>
        <v>20</v>
      </c>
      <c r="P38" s="604" t="str">
        <f t="shared" si="6"/>
        <v>--</v>
      </c>
      <c r="Q38" s="605" t="str">
        <f t="shared" si="7"/>
        <v>--</v>
      </c>
      <c r="R38" s="606" t="str">
        <f t="shared" si="8"/>
        <v>--</v>
      </c>
      <c r="S38" s="607" t="str">
        <f t="shared" si="9"/>
        <v>--</v>
      </c>
      <c r="T38" s="388" t="str">
        <f t="shared" si="10"/>
        <v>--</v>
      </c>
      <c r="U38" s="166">
        <f t="shared" si="11"/>
      </c>
      <c r="V38" s="537">
        <f t="shared" si="12"/>
      </c>
      <c r="W38" s="6"/>
    </row>
    <row r="39" spans="2:23" s="5" customFormat="1" ht="16.5" customHeight="1">
      <c r="B39" s="50"/>
      <c r="C39" s="168"/>
      <c r="D39" s="601"/>
      <c r="E39" s="528"/>
      <c r="F39" s="602"/>
      <c r="G39" s="384">
        <f t="shared" si="0"/>
        <v>0</v>
      </c>
      <c r="H39" s="530"/>
      <c r="I39" s="205"/>
      <c r="J39" s="531">
        <f t="shared" si="1"/>
      </c>
      <c r="K39" s="532">
        <f t="shared" si="2"/>
      </c>
      <c r="L39" s="281"/>
      <c r="M39" s="282">
        <f t="shared" si="3"/>
      </c>
      <c r="N39" s="166">
        <f t="shared" si="4"/>
      </c>
      <c r="O39" s="603">
        <f t="shared" si="5"/>
        <v>20</v>
      </c>
      <c r="P39" s="604" t="str">
        <f t="shared" si="6"/>
        <v>--</v>
      </c>
      <c r="Q39" s="605" t="str">
        <f t="shared" si="7"/>
        <v>--</v>
      </c>
      <c r="R39" s="606" t="str">
        <f t="shared" si="8"/>
        <v>--</v>
      </c>
      <c r="S39" s="607" t="str">
        <f t="shared" si="9"/>
        <v>--</v>
      </c>
      <c r="T39" s="388" t="str">
        <f t="shared" si="10"/>
        <v>--</v>
      </c>
      <c r="U39" s="166">
        <f t="shared" si="11"/>
      </c>
      <c r="V39" s="537">
        <f t="shared" si="12"/>
      </c>
      <c r="W39" s="6"/>
    </row>
    <row r="40" spans="2:23" s="5" customFormat="1" ht="16.5" customHeight="1">
      <c r="B40" s="50"/>
      <c r="C40" s="367"/>
      <c r="D40" s="601"/>
      <c r="E40" s="528"/>
      <c r="F40" s="602"/>
      <c r="G40" s="384">
        <f t="shared" si="0"/>
        <v>0</v>
      </c>
      <c r="H40" s="530"/>
      <c r="I40" s="205"/>
      <c r="J40" s="531">
        <f t="shared" si="1"/>
      </c>
      <c r="K40" s="532">
        <f t="shared" si="2"/>
      </c>
      <c r="L40" s="281"/>
      <c r="M40" s="282">
        <f t="shared" si="3"/>
      </c>
      <c r="N40" s="166">
        <f t="shared" si="4"/>
      </c>
      <c r="O40" s="603">
        <f t="shared" si="5"/>
        <v>20</v>
      </c>
      <c r="P40" s="604" t="str">
        <f t="shared" si="6"/>
        <v>--</v>
      </c>
      <c r="Q40" s="605" t="str">
        <f t="shared" si="7"/>
        <v>--</v>
      </c>
      <c r="R40" s="606" t="str">
        <f t="shared" si="8"/>
        <v>--</v>
      </c>
      <c r="S40" s="607" t="str">
        <f t="shared" si="9"/>
        <v>--</v>
      </c>
      <c r="T40" s="388" t="str">
        <f t="shared" si="10"/>
        <v>--</v>
      </c>
      <c r="U40" s="166">
        <f t="shared" si="11"/>
      </c>
      <c r="V40" s="537">
        <f t="shared" si="12"/>
      </c>
      <c r="W40" s="6"/>
    </row>
    <row r="41" spans="2:23" s="5" customFormat="1" ht="16.5" customHeight="1">
      <c r="B41" s="50"/>
      <c r="C41" s="168"/>
      <c r="D41" s="601"/>
      <c r="E41" s="528"/>
      <c r="F41" s="602"/>
      <c r="G41" s="384">
        <f t="shared" si="0"/>
        <v>0</v>
      </c>
      <c r="H41" s="530"/>
      <c r="I41" s="205"/>
      <c r="J41" s="531">
        <f t="shared" si="1"/>
      </c>
      <c r="K41" s="532">
        <f t="shared" si="2"/>
      </c>
      <c r="L41" s="281"/>
      <c r="M41" s="282">
        <f t="shared" si="3"/>
      </c>
      <c r="N41" s="166">
        <f t="shared" si="4"/>
      </c>
      <c r="O41" s="603">
        <f t="shared" si="5"/>
        <v>20</v>
      </c>
      <c r="P41" s="604" t="str">
        <f t="shared" si="6"/>
        <v>--</v>
      </c>
      <c r="Q41" s="605" t="str">
        <f t="shared" si="7"/>
        <v>--</v>
      </c>
      <c r="R41" s="606" t="str">
        <f t="shared" si="8"/>
        <v>--</v>
      </c>
      <c r="S41" s="607" t="str">
        <f t="shared" si="9"/>
        <v>--</v>
      </c>
      <c r="T41" s="388" t="str">
        <f t="shared" si="10"/>
        <v>--</v>
      </c>
      <c r="U41" s="166">
        <f t="shared" si="11"/>
      </c>
      <c r="V41" s="537">
        <f t="shared" si="12"/>
      </c>
      <c r="W41" s="6"/>
    </row>
    <row r="42" spans="2:23" s="5" customFormat="1" ht="16.5" customHeight="1">
      <c r="B42" s="50"/>
      <c r="C42" s="367"/>
      <c r="D42" s="601"/>
      <c r="E42" s="528"/>
      <c r="F42" s="602"/>
      <c r="G42" s="384">
        <f t="shared" si="0"/>
        <v>0</v>
      </c>
      <c r="H42" s="530"/>
      <c r="I42" s="205"/>
      <c r="J42" s="531">
        <f t="shared" si="1"/>
      </c>
      <c r="K42" s="532">
        <f t="shared" si="2"/>
      </c>
      <c r="L42" s="281"/>
      <c r="M42" s="282">
        <f t="shared" si="3"/>
      </c>
      <c r="N42" s="166">
        <f t="shared" si="4"/>
      </c>
      <c r="O42" s="603">
        <f t="shared" si="5"/>
        <v>20</v>
      </c>
      <c r="P42" s="604" t="str">
        <f t="shared" si="6"/>
        <v>--</v>
      </c>
      <c r="Q42" s="605" t="str">
        <f t="shared" si="7"/>
        <v>--</v>
      </c>
      <c r="R42" s="606" t="str">
        <f t="shared" si="8"/>
        <v>--</v>
      </c>
      <c r="S42" s="607" t="str">
        <f t="shared" si="9"/>
        <v>--</v>
      </c>
      <c r="T42" s="388" t="str">
        <f t="shared" si="10"/>
        <v>--</v>
      </c>
      <c r="U42" s="166">
        <f t="shared" si="11"/>
      </c>
      <c r="V42" s="537">
        <f t="shared" si="12"/>
      </c>
      <c r="W42" s="6"/>
    </row>
    <row r="43" spans="2:23" s="5" customFormat="1" ht="16.5" customHeight="1" thickBot="1">
      <c r="B43" s="50"/>
      <c r="C43" s="168"/>
      <c r="D43" s="609"/>
      <c r="E43" s="159"/>
      <c r="F43" s="610"/>
      <c r="G43" s="139"/>
      <c r="H43" s="538"/>
      <c r="I43" s="538"/>
      <c r="J43" s="539"/>
      <c r="K43" s="539"/>
      <c r="L43" s="538"/>
      <c r="M43" s="210"/>
      <c r="N43" s="165"/>
      <c r="O43" s="611"/>
      <c r="P43" s="612"/>
      <c r="Q43" s="613"/>
      <c r="R43" s="614"/>
      <c r="S43" s="615"/>
      <c r="T43" s="615"/>
      <c r="U43" s="165"/>
      <c r="V43" s="616"/>
      <c r="W43" s="6"/>
    </row>
    <row r="44" spans="2:23" s="5" customFormat="1" ht="16.5" customHeight="1" thickBot="1" thickTop="1">
      <c r="B44" s="50"/>
      <c r="C44" s="129" t="s">
        <v>25</v>
      </c>
      <c r="D44" s="130" t="s">
        <v>292</v>
      </c>
      <c r="G44" s="4"/>
      <c r="H44" s="4"/>
      <c r="I44" s="4"/>
      <c r="J44" s="4"/>
      <c r="K44" s="4"/>
      <c r="L44" s="4"/>
      <c r="M44" s="4"/>
      <c r="N44" s="4"/>
      <c r="O44" s="4"/>
      <c r="P44" s="617">
        <f>SUM(P20:P43)</f>
        <v>591.381</v>
      </c>
      <c r="Q44" s="618">
        <f>SUM(Q20:Q43)</f>
        <v>0</v>
      </c>
      <c r="R44" s="619">
        <f>SUM(R20:R43)</f>
        <v>0</v>
      </c>
      <c r="S44" s="620">
        <f>SUM(S20:S43)</f>
        <v>0</v>
      </c>
      <c r="T44" s="620">
        <f>SUM(T20:T43)</f>
        <v>0</v>
      </c>
      <c r="V44" s="101">
        <f>ROUND(SUM(V20:V43),2)</f>
        <v>591.38</v>
      </c>
      <c r="W44" s="621"/>
    </row>
    <row r="45" spans="2:23" s="135" customFormat="1" ht="9.75" thickTop="1">
      <c r="B45" s="134"/>
      <c r="C45" s="131"/>
      <c r="D45" s="132"/>
      <c r="G45" s="133"/>
      <c r="H45" s="133"/>
      <c r="I45" s="133"/>
      <c r="J45" s="133"/>
      <c r="K45" s="133"/>
      <c r="L45" s="133"/>
      <c r="M45" s="133"/>
      <c r="N45" s="133"/>
      <c r="O45" s="133"/>
      <c r="P45" s="427"/>
      <c r="Q45" s="427"/>
      <c r="R45" s="427"/>
      <c r="S45" s="427"/>
      <c r="T45" s="427"/>
      <c r="V45" s="216"/>
      <c r="W45" s="550"/>
    </row>
    <row r="46" spans="2:23" s="5" customFormat="1" ht="16.5" customHeight="1" thickBot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4:25" ht="16.5" customHeight="1" thickTop="1">
      <c r="D47" s="193"/>
      <c r="E47" s="193"/>
      <c r="F47" s="193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</row>
    <row r="48" spans="4:25" ht="16.5" customHeight="1">
      <c r="D48" s="193"/>
      <c r="E48" s="193"/>
      <c r="F48" s="193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</row>
    <row r="49" spans="4:25" ht="16.5" customHeight="1">
      <c r="D49" s="193"/>
      <c r="E49" s="193"/>
      <c r="F49" s="193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</row>
    <row r="50" spans="4:25" ht="16.5" customHeight="1">
      <c r="D50" s="193"/>
      <c r="E50" s="193"/>
      <c r="F50" s="193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</row>
    <row r="51" spans="4:25" ht="16.5" customHeight="1">
      <c r="D51" s="193"/>
      <c r="E51" s="193"/>
      <c r="F51" s="193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</row>
    <row r="52" spans="4:25" ht="16.5" customHeight="1">
      <c r="D52" s="193"/>
      <c r="E52" s="193"/>
      <c r="F52" s="193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</row>
    <row r="53" spans="4:25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</row>
    <row r="54" spans="4:25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</row>
    <row r="55" spans="4:25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</row>
    <row r="56" spans="4:25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</row>
    <row r="57" spans="4:25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</row>
    <row r="58" spans="4:25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</row>
    <row r="59" spans="4:25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</row>
    <row r="60" spans="4:25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</row>
    <row r="61" spans="4:25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</row>
    <row r="62" spans="4:25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</row>
    <row r="63" spans="4:25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</row>
    <row r="64" spans="4:25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</row>
    <row r="65" spans="4:25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</row>
    <row r="66" spans="4:25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</row>
    <row r="67" spans="4:25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</row>
    <row r="68" spans="4:25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</row>
    <row r="69" spans="4:25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</row>
    <row r="70" spans="4:25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</row>
    <row r="71" spans="4:25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</row>
    <row r="72" spans="4:25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</row>
    <row r="73" spans="4:25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</row>
    <row r="74" spans="4:25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</row>
    <row r="75" spans="4:25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</row>
    <row r="76" spans="4:25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</row>
    <row r="77" spans="4:25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</row>
    <row r="78" spans="4:25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</row>
    <row r="79" spans="4:25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</row>
    <row r="80" spans="4:25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</row>
    <row r="81" spans="4:25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</row>
    <row r="82" spans="4:25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</row>
    <row r="83" spans="4:25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</row>
    <row r="84" spans="4:25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</row>
    <row r="85" spans="4:25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</row>
    <row r="86" spans="4:25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</row>
    <row r="87" spans="4:25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</row>
    <row r="88" spans="4:25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</row>
    <row r="89" spans="4:25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</row>
    <row r="90" spans="4:25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</row>
    <row r="91" spans="4:25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</row>
    <row r="92" spans="4:25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</row>
    <row r="93" spans="4:25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</row>
    <row r="94" spans="4:25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</row>
    <row r="95" spans="4:25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</row>
    <row r="96" spans="4:25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</row>
    <row r="97" spans="4:25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</row>
    <row r="98" spans="4:25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</row>
    <row r="99" spans="4:25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</row>
    <row r="100" spans="4:25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</row>
    <row r="101" spans="4:25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</row>
    <row r="102" spans="4:25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</row>
    <row r="103" spans="4:25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</row>
    <row r="104" spans="4:25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</row>
    <row r="105" spans="4:25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</row>
    <row r="106" spans="4:25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</row>
    <row r="107" spans="4:25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</row>
    <row r="108" spans="4:25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</row>
    <row r="109" spans="4:25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</row>
    <row r="110" spans="4:25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</row>
    <row r="111" spans="4:25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</row>
    <row r="112" spans="4:25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</row>
    <row r="113" spans="4:25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</row>
    <row r="114" spans="4:25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</row>
    <row r="115" spans="4:25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</row>
    <row r="116" spans="4:25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</row>
    <row r="117" spans="4:25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</row>
    <row r="118" spans="4:25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</row>
    <row r="119" spans="4:25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</row>
    <row r="120" spans="4:25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</row>
    <row r="121" spans="4:25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</row>
    <row r="122" spans="4:25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</row>
    <row r="123" spans="4:25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</row>
    <row r="124" spans="4:25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</row>
    <row r="125" spans="4:25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</row>
    <row r="126" spans="4:25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</row>
    <row r="127" spans="4:25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</row>
    <row r="128" spans="4:25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</row>
    <row r="129" spans="4:25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</row>
    <row r="130" spans="4:25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</row>
    <row r="131" spans="4:25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</row>
    <row r="132" spans="4:25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</row>
    <row r="133" spans="4:25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</row>
    <row r="134" spans="4:25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</row>
    <row r="135" spans="4:25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</row>
    <row r="136" spans="4:25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</row>
    <row r="137" spans="4:25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</row>
    <row r="138" spans="4:25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</row>
    <row r="139" spans="4:25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</row>
    <row r="140" spans="4:25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</row>
    <row r="141" spans="4:25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</row>
    <row r="142" spans="4:25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</row>
    <row r="143" spans="4:25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</row>
    <row r="144" spans="4:25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</row>
    <row r="145" spans="4:25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</row>
    <row r="146" spans="4:25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</row>
    <row r="147" spans="4:25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</row>
    <row r="148" spans="4:25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</row>
    <row r="149" spans="4:25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</row>
    <row r="150" spans="4:25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</row>
    <row r="151" spans="4:25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</row>
    <row r="152" spans="4:25" ht="16.5" customHeight="1"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</row>
    <row r="153" spans="4:25" ht="16.5" customHeight="1"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</row>
    <row r="154" spans="4:25" ht="16.5" customHeight="1">
      <c r="D154" s="191"/>
      <c r="E154" s="191"/>
      <c r="F154" s="191"/>
      <c r="X154" s="191"/>
      <c r="Y154" s="191"/>
    </row>
    <row r="155" spans="4:6" ht="16.5" customHeight="1">
      <c r="D155" s="191"/>
      <c r="E155" s="191"/>
      <c r="F155" s="191"/>
    </row>
    <row r="156" spans="4:6" ht="16.5" customHeight="1">
      <c r="D156" s="191"/>
      <c r="E156" s="191"/>
      <c r="F156" s="191"/>
    </row>
    <row r="157" spans="4:6" ht="16.5" customHeight="1">
      <c r="D157" s="191"/>
      <c r="E157" s="191"/>
      <c r="F157" s="191"/>
    </row>
    <row r="158" spans="4:6" ht="16.5" customHeight="1">
      <c r="D158" s="191"/>
      <c r="E158" s="191"/>
      <c r="F158" s="191"/>
    </row>
    <row r="159" spans="4:6" ht="16.5" customHeight="1">
      <c r="D159" s="191"/>
      <c r="E159" s="191"/>
      <c r="F159" s="191"/>
    </row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E46"/>
  <sheetViews>
    <sheetView zoomScale="75" zoomScaleNormal="75" workbookViewId="0" topLeftCell="A1">
      <selection activeCell="AD22" sqref="AD22:AD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="18" customFormat="1" ht="31.5" customHeight="1">
      <c r="AE1" s="156"/>
    </row>
    <row r="2" spans="1:31" s="18" customFormat="1" ht="26.25">
      <c r="A2" s="91"/>
      <c r="B2" s="19" t="str">
        <f>+'TOT-1007'!B2</f>
        <v>ANEXO V al Memorandum D.T.E.E. N° 1955 /2009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="5" customFormat="1" ht="12.75">
      <c r="A3" s="90"/>
    </row>
    <row r="4" spans="1:2" s="25" customFormat="1" ht="11.25">
      <c r="A4" s="23" t="s">
        <v>2</v>
      </c>
      <c r="B4" s="126"/>
    </row>
    <row r="5" spans="1:2" s="25" customFormat="1" ht="11.25">
      <c r="A5" s="23" t="s">
        <v>3</v>
      </c>
      <c r="B5" s="126"/>
    </row>
    <row r="6" s="5" customFormat="1" ht="13.5" thickBot="1"/>
    <row r="7" spans="2:31" s="5" customFormat="1" ht="13.5" thickTop="1">
      <c r="B7" s="69"/>
      <c r="C7" s="70"/>
      <c r="D7" s="70"/>
      <c r="E7" s="21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4"/>
    </row>
    <row r="8" spans="2:31" s="36" customFormat="1" ht="20.25">
      <c r="B8" s="44"/>
      <c r="C8" s="43"/>
      <c r="D8" s="219" t="s">
        <v>61</v>
      </c>
      <c r="E8" s="43"/>
      <c r="F8" s="43"/>
      <c r="G8" s="43"/>
      <c r="H8" s="43"/>
      <c r="N8" s="43"/>
      <c r="O8" s="43"/>
      <c r="P8" s="220"/>
      <c r="Q8" s="220"/>
      <c r="R8" s="43"/>
      <c r="S8" s="43"/>
      <c r="T8" s="43"/>
      <c r="U8" s="43"/>
      <c r="V8" s="43"/>
      <c r="W8" s="43"/>
      <c r="X8" s="43"/>
      <c r="Y8" s="43"/>
      <c r="Z8" s="30"/>
      <c r="AA8" s="30"/>
      <c r="AB8" s="43"/>
      <c r="AC8" s="43"/>
      <c r="AD8"/>
      <c r="AE8" s="221"/>
    </row>
    <row r="9" spans="2:31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7"/>
    </row>
    <row r="10" spans="2:31" s="36" customFormat="1" ht="20.25">
      <c r="B10" s="44"/>
      <c r="C10" s="43"/>
      <c r="D10" s="219" t="s">
        <v>281</v>
      </c>
      <c r="E10" s="43"/>
      <c r="F10" s="43"/>
      <c r="G10" s="43"/>
      <c r="H10" s="43"/>
      <c r="N10" s="43"/>
      <c r="O10" s="43"/>
      <c r="P10" s="220"/>
      <c r="Q10" s="220"/>
      <c r="R10" s="43"/>
      <c r="S10" s="43"/>
      <c r="T10" s="43"/>
      <c r="U10" s="43"/>
      <c r="V10" s="43"/>
      <c r="W10" s="43"/>
      <c r="X10" s="43"/>
      <c r="Y10" s="43"/>
      <c r="Z10" s="30"/>
      <c r="AA10" s="30"/>
      <c r="AB10" s="43"/>
      <c r="AC10" s="43"/>
      <c r="AD10"/>
      <c r="AE10" s="221"/>
    </row>
    <row r="11" spans="2:31" s="5" customFormat="1" ht="12.75">
      <c r="B11" s="50"/>
      <c r="C11" s="4"/>
      <c r="D11" s="4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7"/>
    </row>
    <row r="12" spans="2:31" s="36" customFormat="1" ht="21">
      <c r="B12" s="37" t="str">
        <f>'TOT-1007'!B14</f>
        <v>Desde el 01 al 31 de octubre de 2007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22"/>
      <c r="O12" s="22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30"/>
      <c r="AA12" s="30"/>
      <c r="AB12" s="40"/>
      <c r="AC12" s="40"/>
      <c r="AD12" s="40"/>
      <c r="AE12" s="149"/>
    </row>
    <row r="13" spans="2:31" s="5" customFormat="1" ht="16.5" customHeight="1" thickBot="1">
      <c r="B13" s="50"/>
      <c r="C13" s="4"/>
      <c r="D13" s="4"/>
      <c r="E13" s="66"/>
      <c r="F13" s="66"/>
      <c r="G13" s="4"/>
      <c r="H13" s="4"/>
      <c r="I13" s="4"/>
      <c r="J13" s="223"/>
      <c r="K13" s="4"/>
      <c r="L13" s="4"/>
      <c r="M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7"/>
    </row>
    <row r="14" spans="2:31" s="5" customFormat="1" ht="16.5" customHeight="1" thickBot="1" thickTop="1">
      <c r="B14" s="50"/>
      <c r="C14" s="4"/>
      <c r="D14" s="4"/>
      <c r="E14" s="66"/>
      <c r="F14" s="66"/>
      <c r="G14" s="4"/>
      <c r="H14" s="4"/>
      <c r="I14" s="4"/>
      <c r="J14" s="223"/>
      <c r="K14" s="4"/>
      <c r="L14" s="4"/>
      <c r="M14" s="1083" t="s">
        <v>63</v>
      </c>
      <c r="N14" s="1084"/>
      <c r="O14" s="1084"/>
      <c r="P14" s="1084"/>
      <c r="Q14" s="1085"/>
      <c r="R14" s="224" t="b">
        <f>AND(Q15&lt;=0.82,Q16&lt;=1.17)</f>
        <v>1</v>
      </c>
      <c r="S14" s="224" t="b">
        <f>AND(Q15&gt;=1.17,Q16&gt;=1.7)</f>
        <v>0</v>
      </c>
      <c r="T14" s="225">
        <f>((Q16/1.17)+(Q15/0.82))*0.852446393-1.454892785</f>
        <v>-1.454892785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17"/>
    </row>
    <row r="15" spans="2:31" s="5" customFormat="1" ht="16.5" customHeight="1" thickBot="1" thickTop="1">
      <c r="B15" s="50"/>
      <c r="C15" s="4"/>
      <c r="D15" s="82" t="s">
        <v>64</v>
      </c>
      <c r="E15" s="148">
        <v>89.969</v>
      </c>
      <c r="F15" s="226"/>
      <c r="G15" s="4"/>
      <c r="H15" s="4"/>
      <c r="I15" s="4"/>
      <c r="J15"/>
      <c r="K15"/>
      <c r="L15" s="4"/>
      <c r="M15" s="227" t="s">
        <v>65</v>
      </c>
      <c r="N15" s="228"/>
      <c r="O15" s="228"/>
      <c r="P15" s="228"/>
      <c r="Q15" s="229">
        <v>0</v>
      </c>
      <c r="R15" s="230"/>
      <c r="S15" s="224"/>
      <c r="T15" s="225"/>
      <c r="U15" s="4"/>
      <c r="V15" s="4"/>
      <c r="W15" s="4"/>
      <c r="X15" s="4"/>
      <c r="Y15" s="4"/>
      <c r="Z15" s="40"/>
      <c r="AA15" s="40"/>
      <c r="AB15" s="4"/>
      <c r="AC15" s="4"/>
      <c r="AD15" s="4"/>
      <c r="AE15" s="17"/>
    </row>
    <row r="16" spans="2:31" s="5" customFormat="1" ht="16.5" customHeight="1" thickBot="1" thickTop="1">
      <c r="B16" s="50"/>
      <c r="C16" s="4"/>
      <c r="D16" s="82" t="s">
        <v>66</v>
      </c>
      <c r="E16" s="148">
        <v>74.974</v>
      </c>
      <c r="F16" s="226"/>
      <c r="G16" s="4"/>
      <c r="H16" s="4"/>
      <c r="I16" s="4"/>
      <c r="J16" s="152" t="s">
        <v>67</v>
      </c>
      <c r="K16" s="231">
        <f>4*Q17</f>
        <v>1</v>
      </c>
      <c r="L16" s="4"/>
      <c r="M16" s="227" t="s">
        <v>68</v>
      </c>
      <c r="N16" s="228"/>
      <c r="O16" s="228"/>
      <c r="P16" s="228"/>
      <c r="Q16" s="229">
        <v>0</v>
      </c>
      <c r="R16" s="230"/>
      <c r="S16" s="224"/>
      <c r="T16" s="225"/>
      <c r="U16" s="4"/>
      <c r="V16" s="117"/>
      <c r="W16" s="117"/>
      <c r="X16" s="117"/>
      <c r="Y16" s="117"/>
      <c r="Z16" s="4"/>
      <c r="AA16" s="4"/>
      <c r="AB16" s="117"/>
      <c r="AE16" s="17"/>
    </row>
    <row r="17" spans="2:31" s="5" customFormat="1" ht="16.5" customHeight="1" thickBot="1" thickTop="1">
      <c r="B17" s="50"/>
      <c r="C17" s="4"/>
      <c r="D17" s="232"/>
      <c r="E17" s="233"/>
      <c r="F17" s="234"/>
      <c r="G17" s="4"/>
      <c r="H17" s="4"/>
      <c r="I17" s="4"/>
      <c r="J17" s="152"/>
      <c r="K17" s="231"/>
      <c r="L17" s="4"/>
      <c r="M17" s="227" t="s">
        <v>69</v>
      </c>
      <c r="N17" s="228"/>
      <c r="O17" s="228"/>
      <c r="P17" s="228"/>
      <c r="Q17" s="229">
        <f>IF(R14=TRUE,0.25,IF(S14=TRUE,1,T14))</f>
        <v>0.25</v>
      </c>
      <c r="R17" s="235"/>
      <c r="S17" s="235"/>
      <c r="T17" s="235"/>
      <c r="U17" s="4"/>
      <c r="V17" s="117"/>
      <c r="W17" s="117"/>
      <c r="X17" s="117"/>
      <c r="Y17" s="117"/>
      <c r="Z17" s="4"/>
      <c r="AA17" s="4"/>
      <c r="AB17" s="117"/>
      <c r="AE17" s="17"/>
    </row>
    <row r="18" spans="2:31" s="5" customFormat="1" ht="16.5" customHeight="1" thickBot="1" thickTop="1">
      <c r="B18" s="50"/>
      <c r="C18" s="4"/>
      <c r="D18" s="4"/>
      <c r="E18" s="236"/>
      <c r="F18" s="4"/>
      <c r="G18" s="4"/>
      <c r="H18" s="4"/>
      <c r="I18" s="4"/>
      <c r="J18" s="4"/>
      <c r="K18" s="4"/>
      <c r="L18" s="4"/>
      <c r="M18" s="4"/>
      <c r="N18" s="23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7"/>
    </row>
    <row r="19" spans="2:31" s="5" customFormat="1" ht="33.75" customHeight="1" thickBot="1" thickTop="1">
      <c r="B19" s="50"/>
      <c r="C19" s="84" t="s">
        <v>13</v>
      </c>
      <c r="D19" s="238" t="s">
        <v>0</v>
      </c>
      <c r="E19" s="194" t="s">
        <v>14</v>
      </c>
      <c r="F19" s="87" t="s">
        <v>15</v>
      </c>
      <c r="G19" s="239" t="s">
        <v>70</v>
      </c>
      <c r="H19" s="240" t="s">
        <v>39</v>
      </c>
      <c r="I19" s="241" t="s">
        <v>16</v>
      </c>
      <c r="J19" s="85" t="s">
        <v>17</v>
      </c>
      <c r="K19" s="195" t="s">
        <v>18</v>
      </c>
      <c r="L19" s="88" t="s">
        <v>38</v>
      </c>
      <c r="M19" s="86" t="s">
        <v>33</v>
      </c>
      <c r="N19" s="88" t="s">
        <v>19</v>
      </c>
      <c r="O19" s="88" t="s">
        <v>48</v>
      </c>
      <c r="P19" s="195" t="s">
        <v>49</v>
      </c>
      <c r="Q19" s="85" t="s">
        <v>34</v>
      </c>
      <c r="R19" s="196" t="s">
        <v>20</v>
      </c>
      <c r="S19" s="242" t="s">
        <v>21</v>
      </c>
      <c r="T19" s="243" t="s">
        <v>71</v>
      </c>
      <c r="U19" s="244"/>
      <c r="V19" s="245"/>
      <c r="W19" s="246" t="s">
        <v>72</v>
      </c>
      <c r="X19" s="247"/>
      <c r="Y19" s="248"/>
      <c r="Z19" s="249" t="s">
        <v>22</v>
      </c>
      <c r="AA19" s="250" t="s">
        <v>73</v>
      </c>
      <c r="AB19" s="142" t="s">
        <v>74</v>
      </c>
      <c r="AC19" s="251" t="s">
        <v>24</v>
      </c>
      <c r="AD19" s="142" t="s">
        <v>24</v>
      </c>
      <c r="AE19" s="252"/>
    </row>
    <row r="20" spans="2:31" s="5" customFormat="1" ht="16.5" customHeight="1" thickTop="1">
      <c r="B20" s="50"/>
      <c r="C20" s="198"/>
      <c r="D20" s="199"/>
      <c r="E20" s="199"/>
      <c r="F20" s="990"/>
      <c r="G20" s="198"/>
      <c r="H20" s="140"/>
      <c r="I20" s="253"/>
      <c r="J20" s="198"/>
      <c r="K20" s="198"/>
      <c r="L20" s="198"/>
      <c r="M20" s="198"/>
      <c r="N20" s="198"/>
      <c r="O20" s="198"/>
      <c r="P20" s="198"/>
      <c r="Q20" s="198"/>
      <c r="R20" s="254"/>
      <c r="S20" s="255"/>
      <c r="T20" s="256"/>
      <c r="U20" s="257"/>
      <c r="V20" s="258"/>
      <c r="W20" s="259"/>
      <c r="X20" s="259"/>
      <c r="Y20" s="260"/>
      <c r="Z20" s="261"/>
      <c r="AA20" s="262"/>
      <c r="AB20" s="198"/>
      <c r="AC20" s="263"/>
      <c r="AD20" s="264"/>
      <c r="AE20" s="17"/>
    </row>
    <row r="21" spans="2:31" s="5" customFormat="1" ht="16.5" customHeight="1">
      <c r="B21" s="50"/>
      <c r="C21" s="367"/>
      <c r="D21" s="200"/>
      <c r="E21" s="202"/>
      <c r="F21" s="986"/>
      <c r="G21" s="201"/>
      <c r="H21" s="141"/>
      <c r="I21" s="265"/>
      <c r="J21" s="266"/>
      <c r="K21" s="4"/>
      <c r="L21" s="200"/>
      <c r="M21" s="200"/>
      <c r="N21" s="201"/>
      <c r="O21" s="201"/>
      <c r="P21" s="200"/>
      <c r="Q21" s="200"/>
      <c r="R21" s="267"/>
      <c r="S21" s="268"/>
      <c r="T21" s="269"/>
      <c r="U21" s="270"/>
      <c r="V21" s="271"/>
      <c r="W21" s="272"/>
      <c r="X21" s="272"/>
      <c r="Y21" s="273"/>
      <c r="Z21" s="274"/>
      <c r="AA21" s="275"/>
      <c r="AB21" s="200"/>
      <c r="AC21" s="276"/>
      <c r="AD21" s="277"/>
      <c r="AE21" s="17"/>
    </row>
    <row r="22" spans="2:31" s="5" customFormat="1" ht="16.5" customHeight="1">
      <c r="B22" s="50"/>
      <c r="C22" s="168">
        <v>85</v>
      </c>
      <c r="D22" s="158" t="s">
        <v>251</v>
      </c>
      <c r="E22" s="161">
        <v>500</v>
      </c>
      <c r="F22" s="989">
        <v>506</v>
      </c>
      <c r="G22" s="161" t="s">
        <v>186</v>
      </c>
      <c r="H22" s="278">
        <f aca="true" t="shared" si="0" ref="H22:H41">IF(G22="A",200,IF(G22="B",60,20))</f>
        <v>20</v>
      </c>
      <c r="I22" s="279">
        <f aca="true" t="shared" si="1" ref="I22:I41">IF(E22=500,IF(F22&lt;100,$E$15,F22*$E$15/100),IF(F22&lt;100,$E$16,F22*$E$16/100))</f>
        <v>455.24314</v>
      </c>
      <c r="J22" s="204">
        <v>39367.05347222222</v>
      </c>
      <c r="K22" s="280">
        <v>39367.07847222222</v>
      </c>
      <c r="L22" s="206">
        <f aca="true" t="shared" si="2" ref="L22:L41">IF(D22="","",(K22-J22)*24)</f>
        <v>0.6000000000349246</v>
      </c>
      <c r="M22" s="207">
        <f aca="true" t="shared" si="3" ref="M22:M41">IF(D22="","",ROUND((K22-J22)*24*60,0))</f>
        <v>36</v>
      </c>
      <c r="N22" s="281" t="s">
        <v>190</v>
      </c>
      <c r="O22" s="282" t="str">
        <f aca="true" t="shared" si="4" ref="O22:O41">IF(D22="","","--")</f>
        <v>--</v>
      </c>
      <c r="P22" s="283" t="str">
        <f aca="true" t="shared" si="5" ref="P22:P41">IF(D22="","","NO")</f>
        <v>NO</v>
      </c>
      <c r="Q22" s="166" t="str">
        <f aca="true" t="shared" si="6" ref="Q22:Q41">IF(D22="","",IF(OR(N22="P",N22="RP"),"--","NO"))</f>
        <v>NO</v>
      </c>
      <c r="R22" s="284" t="str">
        <f aca="true" t="shared" si="7" ref="R22:R41">IF(N22="P",I22*H22*ROUND(M22/60,2)*0.01,"--")</f>
        <v>--</v>
      </c>
      <c r="S22" s="285" t="str">
        <f aca="true" t="shared" si="8" ref="S22:S41">IF(N22="RP",I22*H22*ROUND(M22/60,2)*0.01*O22/100,"--")</f>
        <v>--</v>
      </c>
      <c r="T22" s="286">
        <f aca="true" t="shared" si="9" ref="T22:T41">IF(AND(N22="F",Q22="NO"),I22*H22*IF(P22="SI",1.2,1),"--")</f>
        <v>9104.862799999999</v>
      </c>
      <c r="U22" s="287">
        <f aca="true" t="shared" si="10" ref="U22:U41">IF(AND(N22="F",M22&gt;=10),I22*H22*IF(P22="SI",1.2,1)*IF(M22&lt;=300,ROUND(M22/60,2),5),"--")</f>
        <v>5462.91768</v>
      </c>
      <c r="V22" s="288" t="str">
        <f aca="true" t="shared" si="11" ref="V22:V41">IF(AND(N22="F",M22&gt;300),(ROUND(M22/60,2)-5)*I22*H22*0.1*IF(P22="SI",1.2,1),"--")</f>
        <v>--</v>
      </c>
      <c r="W22" s="289" t="str">
        <f aca="true" t="shared" si="12" ref="W22:W41">IF(AND(N22="R",Q22="NO"),I22*H22*O22/100*IF(P22="SI",1.2,1),"--")</f>
        <v>--</v>
      </c>
      <c r="X22" s="290" t="str">
        <f aca="true" t="shared" si="13" ref="X22:X41">IF(AND(N22="R",M22&gt;=10),IF(M22&lt;=300,I22*H22*O22/100*IF(P22="SI",1.2,1)*ROUND(M22/60,2),5),"--")</f>
        <v>--</v>
      </c>
      <c r="Y22" s="291" t="str">
        <f aca="true" t="shared" si="14" ref="Y22:Y41">IF(AND(N22="R",M22&gt;300),(ROUND(M22/60,2)-5)*I22*H22*0.1*O22/100*IF(P22="SI",1.2,1),"--")</f>
        <v>--</v>
      </c>
      <c r="Z22" s="292" t="str">
        <f aca="true" t="shared" si="15" ref="Z22:Z41">IF(N22="RF",ROUND(M22/60,2)*I22*H22*0.1*IF(P22="SI",1.2,1),"--")</f>
        <v>--</v>
      </c>
      <c r="AA22" s="293" t="str">
        <f aca="true" t="shared" si="16" ref="AA22:AA41">IF(N22="RR",ROUND(M22/60,2)*I22*H22*0.1*O22/100*IF(P22="SI",1.2,1),"--")</f>
        <v>--</v>
      </c>
      <c r="AB22" s="294" t="s">
        <v>188</v>
      </c>
      <c r="AC22" s="295">
        <f aca="true" t="shared" si="17" ref="AC22:AC41">SUM(R22:AA22)*IF(AB22="SI",1,2)</f>
        <v>14567.780479999998</v>
      </c>
      <c r="AD22" s="16">
        <f aca="true" t="shared" si="18" ref="AD22:AD41">IF(D22="","",AC22*$K$16)</f>
        <v>14567.780479999998</v>
      </c>
      <c r="AE22" s="17"/>
    </row>
    <row r="23" spans="2:31" s="5" customFormat="1" ht="16.5" customHeight="1">
      <c r="B23" s="50"/>
      <c r="C23" s="367">
        <v>86</v>
      </c>
      <c r="D23" s="158" t="s">
        <v>252</v>
      </c>
      <c r="E23" s="161">
        <v>500</v>
      </c>
      <c r="F23" s="989">
        <v>85</v>
      </c>
      <c r="G23" s="161" t="s">
        <v>186</v>
      </c>
      <c r="H23" s="278">
        <f t="shared" si="0"/>
        <v>20</v>
      </c>
      <c r="I23" s="279">
        <f t="shared" si="1"/>
        <v>89.969</v>
      </c>
      <c r="J23" s="204">
        <v>39368.45416666667</v>
      </c>
      <c r="K23" s="280">
        <v>39368.59652777778</v>
      </c>
      <c r="L23" s="206">
        <f t="shared" si="2"/>
        <v>3.4166666666278616</v>
      </c>
      <c r="M23" s="207">
        <f t="shared" si="3"/>
        <v>205</v>
      </c>
      <c r="N23" s="281" t="s">
        <v>190</v>
      </c>
      <c r="O23" s="282" t="str">
        <f t="shared" si="4"/>
        <v>--</v>
      </c>
      <c r="P23" s="283" t="str">
        <f t="shared" si="5"/>
        <v>NO</v>
      </c>
      <c r="Q23" s="166" t="s">
        <v>188</v>
      </c>
      <c r="R23" s="284" t="str">
        <f t="shared" si="7"/>
        <v>--</v>
      </c>
      <c r="S23" s="285" t="str">
        <f t="shared" si="8"/>
        <v>--</v>
      </c>
      <c r="T23" s="286" t="str">
        <f t="shared" si="9"/>
        <v>--</v>
      </c>
      <c r="U23" s="287">
        <f t="shared" si="10"/>
        <v>6153.879599999999</v>
      </c>
      <c r="V23" s="288" t="str">
        <f t="shared" si="11"/>
        <v>--</v>
      </c>
      <c r="W23" s="289" t="str">
        <f t="shared" si="12"/>
        <v>--</v>
      </c>
      <c r="X23" s="290" t="str">
        <f t="shared" si="13"/>
        <v>--</v>
      </c>
      <c r="Y23" s="291" t="str">
        <f t="shared" si="14"/>
        <v>--</v>
      </c>
      <c r="Z23" s="292" t="str">
        <f t="shared" si="15"/>
        <v>--</v>
      </c>
      <c r="AA23" s="293" t="str">
        <f t="shared" si="16"/>
        <v>--</v>
      </c>
      <c r="AB23" s="294" t="s">
        <v>188</v>
      </c>
      <c r="AC23" s="295">
        <f t="shared" si="17"/>
        <v>6153.879599999999</v>
      </c>
      <c r="AD23" s="16">
        <f t="shared" si="18"/>
        <v>6153.879599999999</v>
      </c>
      <c r="AE23" s="17"/>
    </row>
    <row r="24" spans="2:31" s="5" customFormat="1" ht="16.5" customHeight="1">
      <c r="B24" s="50"/>
      <c r="C24" s="168">
        <v>87</v>
      </c>
      <c r="D24" s="158" t="s">
        <v>252</v>
      </c>
      <c r="E24" s="161">
        <v>500</v>
      </c>
      <c r="F24" s="989">
        <v>85</v>
      </c>
      <c r="G24" s="161" t="s">
        <v>186</v>
      </c>
      <c r="H24" s="278">
        <f t="shared" si="0"/>
        <v>20</v>
      </c>
      <c r="I24" s="279">
        <f t="shared" si="1"/>
        <v>89.969</v>
      </c>
      <c r="J24" s="204">
        <v>39376.470138888886</v>
      </c>
      <c r="K24" s="280">
        <v>39376.61041666667</v>
      </c>
      <c r="L24" s="206">
        <f t="shared" si="2"/>
        <v>3.366666666814126</v>
      </c>
      <c r="M24" s="207">
        <f t="shared" si="3"/>
        <v>202</v>
      </c>
      <c r="N24" s="281" t="s">
        <v>187</v>
      </c>
      <c r="O24" s="282" t="str">
        <f t="shared" si="4"/>
        <v>--</v>
      </c>
      <c r="P24" s="283" t="str">
        <f t="shared" si="5"/>
        <v>NO</v>
      </c>
      <c r="Q24" s="166" t="str">
        <f t="shared" si="6"/>
        <v>--</v>
      </c>
      <c r="R24" s="284">
        <f t="shared" si="7"/>
        <v>60.639106000000005</v>
      </c>
      <c r="S24" s="285" t="str">
        <f t="shared" si="8"/>
        <v>--</v>
      </c>
      <c r="T24" s="286" t="str">
        <f t="shared" si="9"/>
        <v>--</v>
      </c>
      <c r="U24" s="287" t="str">
        <f t="shared" si="10"/>
        <v>--</v>
      </c>
      <c r="V24" s="288" t="str">
        <f t="shared" si="11"/>
        <v>--</v>
      </c>
      <c r="W24" s="289" t="str">
        <f t="shared" si="12"/>
        <v>--</v>
      </c>
      <c r="X24" s="290" t="str">
        <f t="shared" si="13"/>
        <v>--</v>
      </c>
      <c r="Y24" s="291" t="str">
        <f t="shared" si="14"/>
        <v>--</v>
      </c>
      <c r="Z24" s="292" t="str">
        <f t="shared" si="15"/>
        <v>--</v>
      </c>
      <c r="AA24" s="293" t="str">
        <f t="shared" si="16"/>
        <v>--</v>
      </c>
      <c r="AB24" s="294" t="s">
        <v>188</v>
      </c>
      <c r="AC24" s="295">
        <f t="shared" si="17"/>
        <v>60.639106000000005</v>
      </c>
      <c r="AD24" s="16">
        <f t="shared" si="18"/>
        <v>60.639106000000005</v>
      </c>
      <c r="AE24" s="17"/>
    </row>
    <row r="25" spans="2:31" s="5" customFormat="1" ht="16.5" customHeight="1">
      <c r="B25" s="50"/>
      <c r="C25" s="367"/>
      <c r="D25" s="158"/>
      <c r="E25" s="161"/>
      <c r="F25" s="989"/>
      <c r="G25" s="161"/>
      <c r="H25" s="278">
        <f t="shared" si="0"/>
        <v>20</v>
      </c>
      <c r="I25" s="279">
        <f t="shared" si="1"/>
        <v>74.974</v>
      </c>
      <c r="J25" s="204"/>
      <c r="K25" s="280"/>
      <c r="L25" s="206">
        <f t="shared" si="2"/>
      </c>
      <c r="M25" s="207">
        <f t="shared" si="3"/>
      </c>
      <c r="N25" s="281"/>
      <c r="O25" s="282">
        <f t="shared" si="4"/>
      </c>
      <c r="P25" s="283">
        <f t="shared" si="5"/>
      </c>
      <c r="Q25" s="166">
        <f t="shared" si="6"/>
      </c>
      <c r="R25" s="284" t="str">
        <f t="shared" si="7"/>
        <v>--</v>
      </c>
      <c r="S25" s="285" t="str">
        <f t="shared" si="8"/>
        <v>--</v>
      </c>
      <c r="T25" s="286" t="str">
        <f t="shared" si="9"/>
        <v>--</v>
      </c>
      <c r="U25" s="287" t="str">
        <f t="shared" si="10"/>
        <v>--</v>
      </c>
      <c r="V25" s="288" t="str">
        <f t="shared" si="11"/>
        <v>--</v>
      </c>
      <c r="W25" s="289" t="str">
        <f t="shared" si="12"/>
        <v>--</v>
      </c>
      <c r="X25" s="290" t="str">
        <f t="shared" si="13"/>
        <v>--</v>
      </c>
      <c r="Y25" s="291" t="str">
        <f t="shared" si="14"/>
        <v>--</v>
      </c>
      <c r="Z25" s="292" t="str">
        <f t="shared" si="15"/>
        <v>--</v>
      </c>
      <c r="AA25" s="293" t="str">
        <f t="shared" si="16"/>
        <v>--</v>
      </c>
      <c r="AB25" s="294">
        <f aca="true" t="shared" si="19" ref="AB25:AB41">IF(D25="","","SI")</f>
      </c>
      <c r="AC25" s="295">
        <f t="shared" si="17"/>
        <v>0</v>
      </c>
      <c r="AD25" s="16">
        <f t="shared" si="18"/>
      </c>
      <c r="AE25" s="17"/>
    </row>
    <row r="26" spans="2:31" s="5" customFormat="1" ht="16.5" customHeight="1">
      <c r="B26" s="50"/>
      <c r="C26" s="168"/>
      <c r="D26" s="158"/>
      <c r="E26" s="161"/>
      <c r="F26" s="989"/>
      <c r="G26" s="161"/>
      <c r="H26" s="278">
        <f t="shared" si="0"/>
        <v>20</v>
      </c>
      <c r="I26" s="279">
        <f t="shared" si="1"/>
        <v>74.974</v>
      </c>
      <c r="J26" s="204"/>
      <c r="K26" s="280"/>
      <c r="L26" s="206">
        <f t="shared" si="2"/>
      </c>
      <c r="M26" s="207">
        <f t="shared" si="3"/>
      </c>
      <c r="N26" s="281"/>
      <c r="O26" s="282">
        <f t="shared" si="4"/>
      </c>
      <c r="P26" s="283">
        <f t="shared" si="5"/>
      </c>
      <c r="Q26" s="166">
        <f t="shared" si="6"/>
      </c>
      <c r="R26" s="284" t="str">
        <f t="shared" si="7"/>
        <v>--</v>
      </c>
      <c r="S26" s="285" t="str">
        <f t="shared" si="8"/>
        <v>--</v>
      </c>
      <c r="T26" s="286" t="str">
        <f t="shared" si="9"/>
        <v>--</v>
      </c>
      <c r="U26" s="287" t="str">
        <f t="shared" si="10"/>
        <v>--</v>
      </c>
      <c r="V26" s="288" t="str">
        <f t="shared" si="11"/>
        <v>--</v>
      </c>
      <c r="W26" s="289" t="str">
        <f t="shared" si="12"/>
        <v>--</v>
      </c>
      <c r="X26" s="290" t="str">
        <f t="shared" si="13"/>
        <v>--</v>
      </c>
      <c r="Y26" s="291" t="str">
        <f t="shared" si="14"/>
        <v>--</v>
      </c>
      <c r="Z26" s="292" t="str">
        <f t="shared" si="15"/>
        <v>--</v>
      </c>
      <c r="AA26" s="293" t="str">
        <f t="shared" si="16"/>
        <v>--</v>
      </c>
      <c r="AB26" s="294">
        <f t="shared" si="19"/>
      </c>
      <c r="AC26" s="295">
        <f t="shared" si="17"/>
        <v>0</v>
      </c>
      <c r="AD26" s="16">
        <f t="shared" si="18"/>
      </c>
      <c r="AE26" s="17"/>
    </row>
    <row r="27" spans="2:31" s="5" customFormat="1" ht="16.5" customHeight="1">
      <c r="B27" s="50"/>
      <c r="C27" s="367"/>
      <c r="D27" s="158"/>
      <c r="E27" s="161"/>
      <c r="F27" s="989"/>
      <c r="G27" s="161"/>
      <c r="H27" s="278">
        <f t="shared" si="0"/>
        <v>20</v>
      </c>
      <c r="I27" s="279">
        <f t="shared" si="1"/>
        <v>74.974</v>
      </c>
      <c r="J27" s="204"/>
      <c r="K27" s="280"/>
      <c r="L27" s="206">
        <f t="shared" si="2"/>
      </c>
      <c r="M27" s="207">
        <f t="shared" si="3"/>
      </c>
      <c r="N27" s="281"/>
      <c r="O27" s="282">
        <f t="shared" si="4"/>
      </c>
      <c r="P27" s="283">
        <f t="shared" si="5"/>
      </c>
      <c r="Q27" s="166">
        <f t="shared" si="6"/>
      </c>
      <c r="R27" s="284" t="str">
        <f t="shared" si="7"/>
        <v>--</v>
      </c>
      <c r="S27" s="285" t="str">
        <f t="shared" si="8"/>
        <v>--</v>
      </c>
      <c r="T27" s="286" t="str">
        <f t="shared" si="9"/>
        <v>--</v>
      </c>
      <c r="U27" s="287" t="str">
        <f t="shared" si="10"/>
        <v>--</v>
      </c>
      <c r="V27" s="288" t="str">
        <f t="shared" si="11"/>
        <v>--</v>
      </c>
      <c r="W27" s="289" t="str">
        <f t="shared" si="12"/>
        <v>--</v>
      </c>
      <c r="X27" s="290" t="str">
        <f t="shared" si="13"/>
        <v>--</v>
      </c>
      <c r="Y27" s="291" t="str">
        <f t="shared" si="14"/>
        <v>--</v>
      </c>
      <c r="Z27" s="292" t="str">
        <f t="shared" si="15"/>
        <v>--</v>
      </c>
      <c r="AA27" s="293" t="str">
        <f t="shared" si="16"/>
        <v>--</v>
      </c>
      <c r="AB27" s="294">
        <f t="shared" si="19"/>
      </c>
      <c r="AC27" s="295">
        <f t="shared" si="17"/>
        <v>0</v>
      </c>
      <c r="AD27" s="16">
        <f t="shared" si="18"/>
      </c>
      <c r="AE27" s="17"/>
    </row>
    <row r="28" spans="2:31" s="5" customFormat="1" ht="16.5" customHeight="1">
      <c r="B28" s="50"/>
      <c r="C28" s="168"/>
      <c r="D28" s="158"/>
      <c r="E28" s="161"/>
      <c r="F28" s="989"/>
      <c r="G28" s="161"/>
      <c r="H28" s="278">
        <f t="shared" si="0"/>
        <v>20</v>
      </c>
      <c r="I28" s="279">
        <f t="shared" si="1"/>
        <v>74.974</v>
      </c>
      <c r="J28" s="204"/>
      <c r="K28" s="280"/>
      <c r="L28" s="206">
        <f t="shared" si="2"/>
      </c>
      <c r="M28" s="207">
        <f t="shared" si="3"/>
      </c>
      <c r="N28" s="281"/>
      <c r="O28" s="282">
        <f t="shared" si="4"/>
      </c>
      <c r="P28" s="283">
        <f t="shared" si="5"/>
      </c>
      <c r="Q28" s="166">
        <f t="shared" si="6"/>
      </c>
      <c r="R28" s="284" t="str">
        <f t="shared" si="7"/>
        <v>--</v>
      </c>
      <c r="S28" s="285" t="str">
        <f t="shared" si="8"/>
        <v>--</v>
      </c>
      <c r="T28" s="286" t="str">
        <f t="shared" si="9"/>
        <v>--</v>
      </c>
      <c r="U28" s="287" t="str">
        <f t="shared" si="10"/>
        <v>--</v>
      </c>
      <c r="V28" s="288" t="str">
        <f t="shared" si="11"/>
        <v>--</v>
      </c>
      <c r="W28" s="289" t="str">
        <f t="shared" si="12"/>
        <v>--</v>
      </c>
      <c r="X28" s="290" t="str">
        <f t="shared" si="13"/>
        <v>--</v>
      </c>
      <c r="Y28" s="291" t="str">
        <f t="shared" si="14"/>
        <v>--</v>
      </c>
      <c r="Z28" s="292" t="str">
        <f t="shared" si="15"/>
        <v>--</v>
      </c>
      <c r="AA28" s="293" t="str">
        <f t="shared" si="16"/>
        <v>--</v>
      </c>
      <c r="AB28" s="294">
        <f t="shared" si="19"/>
      </c>
      <c r="AC28" s="295">
        <f t="shared" si="17"/>
        <v>0</v>
      </c>
      <c r="AD28" s="16">
        <f t="shared" si="18"/>
      </c>
      <c r="AE28" s="296"/>
    </row>
    <row r="29" spans="2:31" s="5" customFormat="1" ht="16.5" customHeight="1">
      <c r="B29" s="50"/>
      <c r="C29" s="367"/>
      <c r="D29" s="158"/>
      <c r="E29" s="161"/>
      <c r="F29" s="989"/>
      <c r="G29" s="161"/>
      <c r="H29" s="278">
        <f t="shared" si="0"/>
        <v>20</v>
      </c>
      <c r="I29" s="279">
        <f t="shared" si="1"/>
        <v>74.974</v>
      </c>
      <c r="J29" s="204"/>
      <c r="K29" s="280"/>
      <c r="L29" s="206">
        <f t="shared" si="2"/>
      </c>
      <c r="M29" s="207">
        <f t="shared" si="3"/>
      </c>
      <c r="N29" s="281"/>
      <c r="O29" s="282">
        <f t="shared" si="4"/>
      </c>
      <c r="P29" s="283">
        <f t="shared" si="5"/>
      </c>
      <c r="Q29" s="166">
        <f t="shared" si="6"/>
      </c>
      <c r="R29" s="284" t="str">
        <f t="shared" si="7"/>
        <v>--</v>
      </c>
      <c r="S29" s="285" t="str">
        <f t="shared" si="8"/>
        <v>--</v>
      </c>
      <c r="T29" s="286" t="str">
        <f t="shared" si="9"/>
        <v>--</v>
      </c>
      <c r="U29" s="287" t="str">
        <f t="shared" si="10"/>
        <v>--</v>
      </c>
      <c r="V29" s="288" t="str">
        <f t="shared" si="11"/>
        <v>--</v>
      </c>
      <c r="W29" s="289" t="str">
        <f t="shared" si="12"/>
        <v>--</v>
      </c>
      <c r="X29" s="290" t="str">
        <f t="shared" si="13"/>
        <v>--</v>
      </c>
      <c r="Y29" s="291" t="str">
        <f t="shared" si="14"/>
        <v>--</v>
      </c>
      <c r="Z29" s="292" t="str">
        <f t="shared" si="15"/>
        <v>--</v>
      </c>
      <c r="AA29" s="293" t="str">
        <f t="shared" si="16"/>
        <v>--</v>
      </c>
      <c r="AB29" s="294">
        <f t="shared" si="19"/>
      </c>
      <c r="AC29" s="295">
        <f t="shared" si="17"/>
        <v>0</v>
      </c>
      <c r="AD29" s="16">
        <f t="shared" si="18"/>
      </c>
      <c r="AE29" s="296"/>
    </row>
    <row r="30" spans="2:31" s="5" customFormat="1" ht="16.5" customHeight="1">
      <c r="B30" s="50"/>
      <c r="C30" s="168"/>
      <c r="D30" s="158"/>
      <c r="E30" s="161"/>
      <c r="F30" s="989"/>
      <c r="G30" s="161"/>
      <c r="H30" s="278">
        <f t="shared" si="0"/>
        <v>20</v>
      </c>
      <c r="I30" s="279">
        <f t="shared" si="1"/>
        <v>74.974</v>
      </c>
      <c r="J30" s="204"/>
      <c r="K30" s="280"/>
      <c r="L30" s="206">
        <f t="shared" si="2"/>
      </c>
      <c r="M30" s="207">
        <f t="shared" si="3"/>
      </c>
      <c r="N30" s="281"/>
      <c r="O30" s="282">
        <f t="shared" si="4"/>
      </c>
      <c r="P30" s="283">
        <f t="shared" si="5"/>
      </c>
      <c r="Q30" s="166">
        <f t="shared" si="6"/>
      </c>
      <c r="R30" s="284" t="str">
        <f t="shared" si="7"/>
        <v>--</v>
      </c>
      <c r="S30" s="285" t="str">
        <f t="shared" si="8"/>
        <v>--</v>
      </c>
      <c r="T30" s="286" t="str">
        <f t="shared" si="9"/>
        <v>--</v>
      </c>
      <c r="U30" s="287" t="str">
        <f t="shared" si="10"/>
        <v>--</v>
      </c>
      <c r="V30" s="288" t="str">
        <f t="shared" si="11"/>
        <v>--</v>
      </c>
      <c r="W30" s="289" t="str">
        <f t="shared" si="12"/>
        <v>--</v>
      </c>
      <c r="X30" s="290" t="str">
        <f t="shared" si="13"/>
        <v>--</v>
      </c>
      <c r="Y30" s="291" t="str">
        <f t="shared" si="14"/>
        <v>--</v>
      </c>
      <c r="Z30" s="292" t="str">
        <f t="shared" si="15"/>
        <v>--</v>
      </c>
      <c r="AA30" s="293" t="str">
        <f t="shared" si="16"/>
        <v>--</v>
      </c>
      <c r="AB30" s="294">
        <f t="shared" si="19"/>
      </c>
      <c r="AC30" s="295">
        <f t="shared" si="17"/>
        <v>0</v>
      </c>
      <c r="AD30" s="16">
        <f t="shared" si="18"/>
      </c>
      <c r="AE30" s="296"/>
    </row>
    <row r="31" spans="2:31" s="5" customFormat="1" ht="16.5" customHeight="1">
      <c r="B31" s="50"/>
      <c r="C31" s="367"/>
      <c r="D31" s="158"/>
      <c r="E31" s="161"/>
      <c r="F31" s="989"/>
      <c r="G31" s="161"/>
      <c r="H31" s="278">
        <f t="shared" si="0"/>
        <v>20</v>
      </c>
      <c r="I31" s="279">
        <f t="shared" si="1"/>
        <v>74.974</v>
      </c>
      <c r="J31" s="204"/>
      <c r="K31" s="280"/>
      <c r="L31" s="206">
        <f t="shared" si="2"/>
      </c>
      <c r="M31" s="207">
        <f t="shared" si="3"/>
      </c>
      <c r="N31" s="281"/>
      <c r="O31" s="282">
        <f t="shared" si="4"/>
      </c>
      <c r="P31" s="283">
        <f t="shared" si="5"/>
      </c>
      <c r="Q31" s="166">
        <f t="shared" si="6"/>
      </c>
      <c r="R31" s="284" t="str">
        <f t="shared" si="7"/>
        <v>--</v>
      </c>
      <c r="S31" s="285" t="str">
        <f t="shared" si="8"/>
        <v>--</v>
      </c>
      <c r="T31" s="286" t="str">
        <f t="shared" si="9"/>
        <v>--</v>
      </c>
      <c r="U31" s="287" t="str">
        <f t="shared" si="10"/>
        <v>--</v>
      </c>
      <c r="V31" s="288" t="str">
        <f t="shared" si="11"/>
        <v>--</v>
      </c>
      <c r="W31" s="289" t="str">
        <f t="shared" si="12"/>
        <v>--</v>
      </c>
      <c r="X31" s="290" t="str">
        <f t="shared" si="13"/>
        <v>--</v>
      </c>
      <c r="Y31" s="291" t="str">
        <f t="shared" si="14"/>
        <v>--</v>
      </c>
      <c r="Z31" s="292" t="str">
        <f t="shared" si="15"/>
        <v>--</v>
      </c>
      <c r="AA31" s="293" t="str">
        <f t="shared" si="16"/>
        <v>--</v>
      </c>
      <c r="AB31" s="294">
        <f t="shared" si="19"/>
      </c>
      <c r="AC31" s="295">
        <f t="shared" si="17"/>
        <v>0</v>
      </c>
      <c r="AD31" s="16">
        <f t="shared" si="18"/>
      </c>
      <c r="AE31" s="296"/>
    </row>
    <row r="32" spans="2:31" s="5" customFormat="1" ht="16.5" customHeight="1">
      <c r="B32" s="50"/>
      <c r="C32" s="168"/>
      <c r="D32" s="158"/>
      <c r="E32" s="161"/>
      <c r="F32" s="989"/>
      <c r="G32" s="161"/>
      <c r="H32" s="278">
        <f t="shared" si="0"/>
        <v>20</v>
      </c>
      <c r="I32" s="279">
        <f t="shared" si="1"/>
        <v>74.974</v>
      </c>
      <c r="J32" s="204"/>
      <c r="K32" s="280"/>
      <c r="L32" s="206">
        <f t="shared" si="2"/>
      </c>
      <c r="M32" s="207">
        <f t="shared" si="3"/>
      </c>
      <c r="N32" s="281"/>
      <c r="O32" s="282">
        <f t="shared" si="4"/>
      </c>
      <c r="P32" s="283">
        <f t="shared" si="5"/>
      </c>
      <c r="Q32" s="166">
        <f t="shared" si="6"/>
      </c>
      <c r="R32" s="284" t="str">
        <f t="shared" si="7"/>
        <v>--</v>
      </c>
      <c r="S32" s="285" t="str">
        <f t="shared" si="8"/>
        <v>--</v>
      </c>
      <c r="T32" s="286" t="str">
        <f t="shared" si="9"/>
        <v>--</v>
      </c>
      <c r="U32" s="287" t="str">
        <f t="shared" si="10"/>
        <v>--</v>
      </c>
      <c r="V32" s="288" t="str">
        <f t="shared" si="11"/>
        <v>--</v>
      </c>
      <c r="W32" s="289" t="str">
        <f t="shared" si="12"/>
        <v>--</v>
      </c>
      <c r="X32" s="290" t="str">
        <f t="shared" si="13"/>
        <v>--</v>
      </c>
      <c r="Y32" s="291" t="str">
        <f t="shared" si="14"/>
        <v>--</v>
      </c>
      <c r="Z32" s="292" t="str">
        <f t="shared" si="15"/>
        <v>--</v>
      </c>
      <c r="AA32" s="293" t="str">
        <f t="shared" si="16"/>
        <v>--</v>
      </c>
      <c r="AB32" s="294">
        <f t="shared" si="19"/>
      </c>
      <c r="AC32" s="295">
        <f t="shared" si="17"/>
        <v>0</v>
      </c>
      <c r="AD32" s="16">
        <f t="shared" si="18"/>
      </c>
      <c r="AE32" s="296"/>
    </row>
    <row r="33" spans="2:31" s="5" customFormat="1" ht="16.5" customHeight="1">
      <c r="B33" s="50"/>
      <c r="C33" s="367"/>
      <c r="D33" s="158"/>
      <c r="E33" s="161"/>
      <c r="F33" s="989"/>
      <c r="G33" s="161"/>
      <c r="H33" s="278">
        <f t="shared" si="0"/>
        <v>20</v>
      </c>
      <c r="I33" s="279">
        <f t="shared" si="1"/>
        <v>74.974</v>
      </c>
      <c r="J33" s="204"/>
      <c r="K33" s="205"/>
      <c r="L33" s="206">
        <f t="shared" si="2"/>
      </c>
      <c r="M33" s="207">
        <f t="shared" si="3"/>
      </c>
      <c r="N33" s="281"/>
      <c r="O33" s="282">
        <f t="shared" si="4"/>
      </c>
      <c r="P33" s="283">
        <f t="shared" si="5"/>
      </c>
      <c r="Q33" s="166">
        <f t="shared" si="6"/>
      </c>
      <c r="R33" s="284" t="str">
        <f t="shared" si="7"/>
        <v>--</v>
      </c>
      <c r="S33" s="285" t="str">
        <f t="shared" si="8"/>
        <v>--</v>
      </c>
      <c r="T33" s="286" t="str">
        <f t="shared" si="9"/>
        <v>--</v>
      </c>
      <c r="U33" s="287" t="str">
        <f t="shared" si="10"/>
        <v>--</v>
      </c>
      <c r="V33" s="288" t="str">
        <f t="shared" si="11"/>
        <v>--</v>
      </c>
      <c r="W33" s="289" t="str">
        <f t="shared" si="12"/>
        <v>--</v>
      </c>
      <c r="X33" s="290" t="str">
        <f t="shared" si="13"/>
        <v>--</v>
      </c>
      <c r="Y33" s="291" t="str">
        <f t="shared" si="14"/>
        <v>--</v>
      </c>
      <c r="Z33" s="292" t="str">
        <f t="shared" si="15"/>
        <v>--</v>
      </c>
      <c r="AA33" s="293" t="str">
        <f t="shared" si="16"/>
        <v>--</v>
      </c>
      <c r="AB33" s="294">
        <f t="shared" si="19"/>
      </c>
      <c r="AC33" s="295">
        <f t="shared" si="17"/>
        <v>0</v>
      </c>
      <c r="AD33" s="16">
        <f t="shared" si="18"/>
      </c>
      <c r="AE33" s="296"/>
    </row>
    <row r="34" spans="2:31" s="5" customFormat="1" ht="16.5" customHeight="1">
      <c r="B34" s="50"/>
      <c r="C34" s="168"/>
      <c r="D34" s="158"/>
      <c r="E34" s="161"/>
      <c r="F34" s="989"/>
      <c r="G34" s="161"/>
      <c r="H34" s="278">
        <f t="shared" si="0"/>
        <v>20</v>
      </c>
      <c r="I34" s="279">
        <f t="shared" si="1"/>
        <v>74.974</v>
      </c>
      <c r="J34" s="204"/>
      <c r="K34" s="205"/>
      <c r="L34" s="206">
        <f t="shared" si="2"/>
      </c>
      <c r="M34" s="207">
        <f t="shared" si="3"/>
      </c>
      <c r="N34" s="281"/>
      <c r="O34" s="282">
        <f t="shared" si="4"/>
      </c>
      <c r="P34" s="283">
        <f t="shared" si="5"/>
      </c>
      <c r="Q34" s="166">
        <f t="shared" si="6"/>
      </c>
      <c r="R34" s="284" t="str">
        <f t="shared" si="7"/>
        <v>--</v>
      </c>
      <c r="S34" s="285" t="str">
        <f t="shared" si="8"/>
        <v>--</v>
      </c>
      <c r="T34" s="286" t="str">
        <f t="shared" si="9"/>
        <v>--</v>
      </c>
      <c r="U34" s="287" t="str">
        <f t="shared" si="10"/>
        <v>--</v>
      </c>
      <c r="V34" s="288" t="str">
        <f t="shared" si="11"/>
        <v>--</v>
      </c>
      <c r="W34" s="289" t="str">
        <f t="shared" si="12"/>
        <v>--</v>
      </c>
      <c r="X34" s="290" t="str">
        <f t="shared" si="13"/>
        <v>--</v>
      </c>
      <c r="Y34" s="291" t="str">
        <f t="shared" si="14"/>
        <v>--</v>
      </c>
      <c r="Z34" s="292" t="str">
        <f t="shared" si="15"/>
        <v>--</v>
      </c>
      <c r="AA34" s="293" t="str">
        <f t="shared" si="16"/>
        <v>--</v>
      </c>
      <c r="AB34" s="294">
        <f t="shared" si="19"/>
      </c>
      <c r="AC34" s="295">
        <f t="shared" si="17"/>
        <v>0</v>
      </c>
      <c r="AD34" s="16">
        <f t="shared" si="18"/>
      </c>
      <c r="AE34" s="296"/>
    </row>
    <row r="35" spans="2:31" s="5" customFormat="1" ht="16.5" customHeight="1">
      <c r="B35" s="50"/>
      <c r="C35" s="367"/>
      <c r="D35" s="158"/>
      <c r="E35" s="161"/>
      <c r="F35" s="989"/>
      <c r="G35" s="161"/>
      <c r="H35" s="278">
        <f t="shared" si="0"/>
        <v>20</v>
      </c>
      <c r="I35" s="279">
        <f t="shared" si="1"/>
        <v>74.974</v>
      </c>
      <c r="J35" s="204"/>
      <c r="K35" s="205"/>
      <c r="L35" s="206">
        <f t="shared" si="2"/>
      </c>
      <c r="M35" s="207">
        <f t="shared" si="3"/>
      </c>
      <c r="N35" s="281"/>
      <c r="O35" s="282">
        <f t="shared" si="4"/>
      </c>
      <c r="P35" s="283">
        <f t="shared" si="5"/>
      </c>
      <c r="Q35" s="166">
        <f t="shared" si="6"/>
      </c>
      <c r="R35" s="284" t="str">
        <f t="shared" si="7"/>
        <v>--</v>
      </c>
      <c r="S35" s="285" t="str">
        <f t="shared" si="8"/>
        <v>--</v>
      </c>
      <c r="T35" s="286" t="str">
        <f t="shared" si="9"/>
        <v>--</v>
      </c>
      <c r="U35" s="287" t="str">
        <f t="shared" si="10"/>
        <v>--</v>
      </c>
      <c r="V35" s="288" t="str">
        <f t="shared" si="11"/>
        <v>--</v>
      </c>
      <c r="W35" s="289" t="str">
        <f t="shared" si="12"/>
        <v>--</v>
      </c>
      <c r="X35" s="290" t="str">
        <f t="shared" si="13"/>
        <v>--</v>
      </c>
      <c r="Y35" s="291" t="str">
        <f t="shared" si="14"/>
        <v>--</v>
      </c>
      <c r="Z35" s="292" t="str">
        <f t="shared" si="15"/>
        <v>--</v>
      </c>
      <c r="AA35" s="293" t="str">
        <f t="shared" si="16"/>
        <v>--</v>
      </c>
      <c r="AB35" s="294">
        <f t="shared" si="19"/>
      </c>
      <c r="AC35" s="295">
        <f t="shared" si="17"/>
        <v>0</v>
      </c>
      <c r="AD35" s="16">
        <f t="shared" si="18"/>
      </c>
      <c r="AE35" s="296"/>
    </row>
    <row r="36" spans="2:31" s="5" customFormat="1" ht="16.5" customHeight="1">
      <c r="B36" s="50"/>
      <c r="C36" s="168"/>
      <c r="D36" s="158"/>
      <c r="E36" s="161"/>
      <c r="F36" s="989"/>
      <c r="G36" s="161"/>
      <c r="H36" s="278">
        <f t="shared" si="0"/>
        <v>20</v>
      </c>
      <c r="I36" s="279">
        <f t="shared" si="1"/>
        <v>74.974</v>
      </c>
      <c r="J36" s="204"/>
      <c r="K36" s="205"/>
      <c r="L36" s="206">
        <f t="shared" si="2"/>
      </c>
      <c r="M36" s="207">
        <f t="shared" si="3"/>
      </c>
      <c r="N36" s="281"/>
      <c r="O36" s="282">
        <f t="shared" si="4"/>
      </c>
      <c r="P36" s="283">
        <f t="shared" si="5"/>
      </c>
      <c r="Q36" s="166">
        <f t="shared" si="6"/>
      </c>
      <c r="R36" s="284" t="str">
        <f t="shared" si="7"/>
        <v>--</v>
      </c>
      <c r="S36" s="285" t="str">
        <f t="shared" si="8"/>
        <v>--</v>
      </c>
      <c r="T36" s="286" t="str">
        <f t="shared" si="9"/>
        <v>--</v>
      </c>
      <c r="U36" s="287" t="str">
        <f t="shared" si="10"/>
        <v>--</v>
      </c>
      <c r="V36" s="288" t="str">
        <f t="shared" si="11"/>
        <v>--</v>
      </c>
      <c r="W36" s="289" t="str">
        <f t="shared" si="12"/>
        <v>--</v>
      </c>
      <c r="X36" s="290" t="str">
        <f t="shared" si="13"/>
        <v>--</v>
      </c>
      <c r="Y36" s="291" t="str">
        <f t="shared" si="14"/>
        <v>--</v>
      </c>
      <c r="Z36" s="292" t="str">
        <f t="shared" si="15"/>
        <v>--</v>
      </c>
      <c r="AA36" s="293" t="str">
        <f t="shared" si="16"/>
        <v>--</v>
      </c>
      <c r="AB36" s="294">
        <f t="shared" si="19"/>
      </c>
      <c r="AC36" s="295">
        <f t="shared" si="17"/>
        <v>0</v>
      </c>
      <c r="AD36" s="16">
        <f t="shared" si="18"/>
      </c>
      <c r="AE36" s="296"/>
    </row>
    <row r="37" spans="2:31" s="5" customFormat="1" ht="16.5" customHeight="1">
      <c r="B37" s="50"/>
      <c r="C37" s="367"/>
      <c r="D37" s="158"/>
      <c r="E37" s="161"/>
      <c r="F37" s="989"/>
      <c r="G37" s="161"/>
      <c r="H37" s="278">
        <f t="shared" si="0"/>
        <v>20</v>
      </c>
      <c r="I37" s="279">
        <f t="shared" si="1"/>
        <v>74.974</v>
      </c>
      <c r="J37" s="204"/>
      <c r="K37" s="205"/>
      <c r="L37" s="206">
        <f t="shared" si="2"/>
      </c>
      <c r="M37" s="207">
        <f t="shared" si="3"/>
      </c>
      <c r="N37" s="281"/>
      <c r="O37" s="282">
        <f t="shared" si="4"/>
      </c>
      <c r="P37" s="283">
        <f t="shared" si="5"/>
      </c>
      <c r="Q37" s="166">
        <f t="shared" si="6"/>
      </c>
      <c r="R37" s="284" t="str">
        <f t="shared" si="7"/>
        <v>--</v>
      </c>
      <c r="S37" s="285" t="str">
        <f t="shared" si="8"/>
        <v>--</v>
      </c>
      <c r="T37" s="286" t="str">
        <f t="shared" si="9"/>
        <v>--</v>
      </c>
      <c r="U37" s="287" t="str">
        <f t="shared" si="10"/>
        <v>--</v>
      </c>
      <c r="V37" s="288" t="str">
        <f t="shared" si="11"/>
        <v>--</v>
      </c>
      <c r="W37" s="289" t="str">
        <f t="shared" si="12"/>
        <v>--</v>
      </c>
      <c r="X37" s="290" t="str">
        <f t="shared" si="13"/>
        <v>--</v>
      </c>
      <c r="Y37" s="291" t="str">
        <f t="shared" si="14"/>
        <v>--</v>
      </c>
      <c r="Z37" s="292" t="str">
        <f t="shared" si="15"/>
        <v>--</v>
      </c>
      <c r="AA37" s="293" t="str">
        <f t="shared" si="16"/>
        <v>--</v>
      </c>
      <c r="AB37" s="294">
        <f t="shared" si="19"/>
      </c>
      <c r="AC37" s="295">
        <f t="shared" si="17"/>
        <v>0</v>
      </c>
      <c r="AD37" s="16">
        <f t="shared" si="18"/>
      </c>
      <c r="AE37" s="296"/>
    </row>
    <row r="38" spans="2:31" s="5" customFormat="1" ht="16.5" customHeight="1">
      <c r="B38" s="50"/>
      <c r="C38" s="168"/>
      <c r="D38" s="158"/>
      <c r="E38" s="161"/>
      <c r="F38" s="989"/>
      <c r="G38" s="161"/>
      <c r="H38" s="278">
        <f t="shared" si="0"/>
        <v>20</v>
      </c>
      <c r="I38" s="279">
        <f t="shared" si="1"/>
        <v>74.974</v>
      </c>
      <c r="J38" s="204"/>
      <c r="K38" s="205"/>
      <c r="L38" s="206">
        <f t="shared" si="2"/>
      </c>
      <c r="M38" s="207">
        <f t="shared" si="3"/>
      </c>
      <c r="N38" s="281"/>
      <c r="O38" s="282">
        <f t="shared" si="4"/>
      </c>
      <c r="P38" s="283">
        <f t="shared" si="5"/>
      </c>
      <c r="Q38" s="166">
        <f t="shared" si="6"/>
      </c>
      <c r="R38" s="284" t="str">
        <f t="shared" si="7"/>
        <v>--</v>
      </c>
      <c r="S38" s="285" t="str">
        <f t="shared" si="8"/>
        <v>--</v>
      </c>
      <c r="T38" s="286" t="str">
        <f t="shared" si="9"/>
        <v>--</v>
      </c>
      <c r="U38" s="287" t="str">
        <f t="shared" si="10"/>
        <v>--</v>
      </c>
      <c r="V38" s="288" t="str">
        <f t="shared" si="11"/>
        <v>--</v>
      </c>
      <c r="W38" s="289" t="str">
        <f t="shared" si="12"/>
        <v>--</v>
      </c>
      <c r="X38" s="290" t="str">
        <f t="shared" si="13"/>
        <v>--</v>
      </c>
      <c r="Y38" s="291" t="str">
        <f t="shared" si="14"/>
        <v>--</v>
      </c>
      <c r="Z38" s="292" t="str">
        <f t="shared" si="15"/>
        <v>--</v>
      </c>
      <c r="AA38" s="293" t="str">
        <f t="shared" si="16"/>
        <v>--</v>
      </c>
      <c r="AB38" s="294">
        <f t="shared" si="19"/>
      </c>
      <c r="AC38" s="295">
        <f t="shared" si="17"/>
        <v>0</v>
      </c>
      <c r="AD38" s="16">
        <f t="shared" si="18"/>
      </c>
      <c r="AE38" s="296"/>
    </row>
    <row r="39" spans="2:31" s="5" customFormat="1" ht="16.5" customHeight="1">
      <c r="B39" s="50"/>
      <c r="C39" s="367"/>
      <c r="D39" s="158"/>
      <c r="E39" s="161"/>
      <c r="F39" s="989"/>
      <c r="G39" s="161"/>
      <c r="H39" s="278">
        <f t="shared" si="0"/>
        <v>20</v>
      </c>
      <c r="I39" s="279">
        <f t="shared" si="1"/>
        <v>74.974</v>
      </c>
      <c r="J39" s="204"/>
      <c r="K39" s="205"/>
      <c r="L39" s="206">
        <f t="shared" si="2"/>
      </c>
      <c r="M39" s="207">
        <f t="shared" si="3"/>
      </c>
      <c r="N39" s="281"/>
      <c r="O39" s="282">
        <f t="shared" si="4"/>
      </c>
      <c r="P39" s="283">
        <f t="shared" si="5"/>
      </c>
      <c r="Q39" s="166">
        <f t="shared" si="6"/>
      </c>
      <c r="R39" s="284" t="str">
        <f t="shared" si="7"/>
        <v>--</v>
      </c>
      <c r="S39" s="285" t="str">
        <f t="shared" si="8"/>
        <v>--</v>
      </c>
      <c r="T39" s="286" t="str">
        <f t="shared" si="9"/>
        <v>--</v>
      </c>
      <c r="U39" s="287" t="str">
        <f t="shared" si="10"/>
        <v>--</v>
      </c>
      <c r="V39" s="288" t="str">
        <f t="shared" si="11"/>
        <v>--</v>
      </c>
      <c r="W39" s="289" t="str">
        <f t="shared" si="12"/>
        <v>--</v>
      </c>
      <c r="X39" s="290" t="str">
        <f t="shared" si="13"/>
        <v>--</v>
      </c>
      <c r="Y39" s="291" t="str">
        <f t="shared" si="14"/>
        <v>--</v>
      </c>
      <c r="Z39" s="292" t="str">
        <f t="shared" si="15"/>
        <v>--</v>
      </c>
      <c r="AA39" s="293" t="str">
        <f t="shared" si="16"/>
        <v>--</v>
      </c>
      <c r="AB39" s="294">
        <f t="shared" si="19"/>
      </c>
      <c r="AC39" s="295">
        <f t="shared" si="17"/>
        <v>0</v>
      </c>
      <c r="AD39" s="16">
        <f t="shared" si="18"/>
      </c>
      <c r="AE39" s="296"/>
    </row>
    <row r="40" spans="2:31" s="5" customFormat="1" ht="16.5" customHeight="1">
      <c r="B40" s="50"/>
      <c r="C40" s="168"/>
      <c r="D40" s="158"/>
      <c r="E40" s="297"/>
      <c r="F40" s="989"/>
      <c r="G40" s="161"/>
      <c r="H40" s="278">
        <f t="shared" si="0"/>
        <v>20</v>
      </c>
      <c r="I40" s="279">
        <f t="shared" si="1"/>
        <v>74.974</v>
      </c>
      <c r="J40" s="204"/>
      <c r="K40" s="205"/>
      <c r="L40" s="206">
        <f t="shared" si="2"/>
      </c>
      <c r="M40" s="207">
        <f t="shared" si="3"/>
      </c>
      <c r="N40" s="281"/>
      <c r="O40" s="282">
        <f t="shared" si="4"/>
      </c>
      <c r="P40" s="283">
        <f t="shared" si="5"/>
      </c>
      <c r="Q40" s="166">
        <f t="shared" si="6"/>
      </c>
      <c r="R40" s="284" t="str">
        <f t="shared" si="7"/>
        <v>--</v>
      </c>
      <c r="S40" s="285" t="str">
        <f t="shared" si="8"/>
        <v>--</v>
      </c>
      <c r="T40" s="286" t="str">
        <f t="shared" si="9"/>
        <v>--</v>
      </c>
      <c r="U40" s="287" t="str">
        <f t="shared" si="10"/>
        <v>--</v>
      </c>
      <c r="V40" s="288" t="str">
        <f t="shared" si="11"/>
        <v>--</v>
      </c>
      <c r="W40" s="289" t="str">
        <f t="shared" si="12"/>
        <v>--</v>
      </c>
      <c r="X40" s="290" t="str">
        <f t="shared" si="13"/>
        <v>--</v>
      </c>
      <c r="Y40" s="291" t="str">
        <f t="shared" si="14"/>
        <v>--</v>
      </c>
      <c r="Z40" s="292" t="str">
        <f t="shared" si="15"/>
        <v>--</v>
      </c>
      <c r="AA40" s="293" t="str">
        <f t="shared" si="16"/>
        <v>--</v>
      </c>
      <c r="AB40" s="294">
        <f t="shared" si="19"/>
      </c>
      <c r="AC40" s="295">
        <f t="shared" si="17"/>
        <v>0</v>
      </c>
      <c r="AD40" s="16">
        <f t="shared" si="18"/>
      </c>
      <c r="AE40" s="296"/>
    </row>
    <row r="41" spans="2:31" s="5" customFormat="1" ht="16.5" customHeight="1">
      <c r="B41" s="50"/>
      <c r="C41" s="367"/>
      <c r="D41" s="158"/>
      <c r="E41" s="297"/>
      <c r="F41" s="989"/>
      <c r="G41" s="161"/>
      <c r="H41" s="278">
        <f t="shared" si="0"/>
        <v>20</v>
      </c>
      <c r="I41" s="279">
        <f t="shared" si="1"/>
        <v>74.974</v>
      </c>
      <c r="J41" s="204"/>
      <c r="K41" s="205"/>
      <c r="L41" s="206">
        <f t="shared" si="2"/>
      </c>
      <c r="M41" s="207">
        <f t="shared" si="3"/>
      </c>
      <c r="N41" s="281"/>
      <c r="O41" s="282">
        <f t="shared" si="4"/>
      </c>
      <c r="P41" s="283">
        <f t="shared" si="5"/>
      </c>
      <c r="Q41" s="166">
        <f t="shared" si="6"/>
      </c>
      <c r="R41" s="284" t="str">
        <f t="shared" si="7"/>
        <v>--</v>
      </c>
      <c r="S41" s="285" t="str">
        <f t="shared" si="8"/>
        <v>--</v>
      </c>
      <c r="T41" s="286" t="str">
        <f t="shared" si="9"/>
        <v>--</v>
      </c>
      <c r="U41" s="287" t="str">
        <f t="shared" si="10"/>
        <v>--</v>
      </c>
      <c r="V41" s="288" t="str">
        <f t="shared" si="11"/>
        <v>--</v>
      </c>
      <c r="W41" s="289" t="str">
        <f t="shared" si="12"/>
        <v>--</v>
      </c>
      <c r="X41" s="290" t="str">
        <f t="shared" si="13"/>
        <v>--</v>
      </c>
      <c r="Y41" s="291" t="str">
        <f t="shared" si="14"/>
        <v>--</v>
      </c>
      <c r="Z41" s="292" t="str">
        <f t="shared" si="15"/>
        <v>--</v>
      </c>
      <c r="AA41" s="293" t="str">
        <f t="shared" si="16"/>
        <v>--</v>
      </c>
      <c r="AB41" s="294">
        <f t="shared" si="19"/>
      </c>
      <c r="AC41" s="295">
        <f t="shared" si="17"/>
        <v>0</v>
      </c>
      <c r="AD41" s="16">
        <f t="shared" si="18"/>
      </c>
      <c r="AE41" s="296"/>
    </row>
    <row r="42" spans="2:31" s="5" customFormat="1" ht="16.5" customHeight="1" thickBot="1">
      <c r="B42" s="50"/>
      <c r="C42" s="168"/>
      <c r="D42" s="163"/>
      <c r="E42" s="298"/>
      <c r="F42" s="983"/>
      <c r="G42" s="299"/>
      <c r="H42" s="300"/>
      <c r="I42" s="301"/>
      <c r="J42" s="165"/>
      <c r="K42" s="165"/>
      <c r="L42" s="9"/>
      <c r="M42" s="9"/>
      <c r="N42" s="165"/>
      <c r="O42" s="210"/>
      <c r="P42" s="9"/>
      <c r="Q42" s="165"/>
      <c r="R42" s="302"/>
      <c r="S42" s="303"/>
      <c r="T42" s="304"/>
      <c r="U42" s="305"/>
      <c r="V42" s="306"/>
      <c r="W42" s="307"/>
      <c r="X42" s="308"/>
      <c r="Y42" s="309"/>
      <c r="Z42" s="310"/>
      <c r="AA42" s="311"/>
      <c r="AB42" s="312"/>
      <c r="AC42" s="313"/>
      <c r="AD42" s="314"/>
      <c r="AE42" s="296"/>
    </row>
    <row r="43" spans="2:31" s="5" customFormat="1" ht="16.5" customHeight="1" thickBot="1" thickTop="1">
      <c r="B43" s="50"/>
      <c r="C43" s="129" t="s">
        <v>25</v>
      </c>
      <c r="D43" s="130" t="s">
        <v>293</v>
      </c>
      <c r="E43" s="315"/>
      <c r="F43" s="236"/>
      <c r="G43" s="316"/>
      <c r="H43" s="236"/>
      <c r="I43" s="211"/>
      <c r="J43" s="211"/>
      <c r="K43" s="211"/>
      <c r="L43" s="211"/>
      <c r="M43" s="211"/>
      <c r="N43" s="211"/>
      <c r="O43" s="317"/>
      <c r="P43" s="211"/>
      <c r="Q43" s="211"/>
      <c r="R43" s="212">
        <f aca="true" t="shared" si="20" ref="R43:AA43">SUM(R20:R42)</f>
        <v>60.639106000000005</v>
      </c>
      <c r="S43" s="318">
        <f t="shared" si="20"/>
        <v>0</v>
      </c>
      <c r="T43" s="319">
        <f t="shared" si="20"/>
        <v>9104.862799999999</v>
      </c>
      <c r="U43" s="320">
        <f t="shared" si="20"/>
        <v>11616.797279999999</v>
      </c>
      <c r="V43" s="321">
        <f t="shared" si="20"/>
        <v>0</v>
      </c>
      <c r="W43" s="322">
        <f t="shared" si="20"/>
        <v>0</v>
      </c>
      <c r="X43" s="323">
        <f t="shared" si="20"/>
        <v>0</v>
      </c>
      <c r="Y43" s="324">
        <f t="shared" si="20"/>
        <v>0</v>
      </c>
      <c r="Z43" s="325">
        <f t="shared" si="20"/>
        <v>0</v>
      </c>
      <c r="AA43" s="326">
        <f t="shared" si="20"/>
        <v>0</v>
      </c>
      <c r="AB43" s="327"/>
      <c r="AC43" s="328">
        <f>ROUND(SUM(AC20:AC42),2)</f>
        <v>20782.3</v>
      </c>
      <c r="AD43" s="329">
        <f>ROUND(SUM(AD20:AD42),2)</f>
        <v>20782.3</v>
      </c>
      <c r="AE43" s="296"/>
    </row>
    <row r="44" spans="2:31" s="135" customFormat="1" ht="9.75" thickTop="1">
      <c r="B44" s="134"/>
      <c r="C44" s="131"/>
      <c r="D44" s="132" t="s">
        <v>291</v>
      </c>
      <c r="E44" s="330"/>
      <c r="F44" s="331"/>
      <c r="G44" s="332"/>
      <c r="H44" s="331"/>
      <c r="I44" s="214"/>
      <c r="J44" s="214"/>
      <c r="K44" s="214"/>
      <c r="L44" s="214"/>
      <c r="M44" s="214"/>
      <c r="N44" s="214"/>
      <c r="O44" s="333"/>
      <c r="P44" s="214"/>
      <c r="Q44" s="214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334"/>
      <c r="AD44" s="334"/>
      <c r="AE44" s="335"/>
    </row>
    <row r="45" spans="2:31" s="5" customFormat="1" ht="16.5" customHeight="1" thickBot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</row>
    <row r="46" spans="2:31" ht="16.5" customHeight="1" thickTop="1">
      <c r="B46" s="1"/>
      <c r="AE46" s="1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G157"/>
  <sheetViews>
    <sheetView zoomScale="75" zoomScaleNormal="75" workbookViewId="0" topLeftCell="B1">
      <selection activeCell="K22" sqref="K22:N23"/>
    </sheetView>
  </sheetViews>
  <sheetFormatPr defaultColWidth="11.421875" defaultRowHeight="12.75"/>
  <cols>
    <col min="1" max="2" width="15.7109375" style="0" customWidth="1"/>
    <col min="3" max="3" width="5.140625" style="0" customWidth="1"/>
    <col min="4" max="4" width="28.57421875" style="0" customWidth="1"/>
    <col min="5" max="5" width="19.7109375" style="0" customWidth="1"/>
    <col min="6" max="6" width="8.7109375" style="0" customWidth="1"/>
    <col min="7" max="7" width="11.14062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1.28125" style="0" hidden="1" customWidth="1"/>
    <col min="18" max="19" width="14.421875" style="0" hidden="1" customWidth="1"/>
    <col min="20" max="20" width="15.8515625" style="0" hidden="1" customWidth="1"/>
    <col min="21" max="25" width="15.421875" style="0" hidden="1" customWidth="1"/>
    <col min="26" max="26" width="8.7109375" style="0" customWidth="1"/>
    <col min="27" max="27" width="15.00390625" style="0" hidden="1" customWidth="1"/>
    <col min="28" max="29" width="15.7109375" style="0" customWidth="1"/>
  </cols>
  <sheetData>
    <row r="1" spans="2:29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157"/>
    </row>
    <row r="2" spans="1:29" s="18" customFormat="1" ht="26.25">
      <c r="A2" s="91"/>
      <c r="B2" s="336" t="str">
        <f>+'TOT-1007'!B2</f>
        <v>ANEXO V al Memorandum D.T.E.E. N° 1955 /2009</v>
      </c>
      <c r="C2" s="336"/>
      <c r="D2" s="336"/>
      <c r="E2" s="19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</row>
    <row r="3" spans="1:29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s="25" customFormat="1" ht="11.25">
      <c r="A4" s="337" t="s">
        <v>75</v>
      </c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s="25" customFormat="1" ht="11.25">
      <c r="A5" s="337" t="s">
        <v>3</v>
      </c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29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</row>
    <row r="8" spans="2:33" s="29" customFormat="1" ht="20.25">
      <c r="B8" s="79"/>
      <c r="C8" s="30"/>
      <c r="D8" s="190" t="s">
        <v>61</v>
      </c>
      <c r="E8" s="30"/>
      <c r="F8" s="30"/>
      <c r="G8" s="30"/>
      <c r="H8" s="30"/>
      <c r="O8" s="30"/>
      <c r="P8" s="30"/>
      <c r="Q8" s="11"/>
      <c r="R8" s="11"/>
      <c r="S8" s="11"/>
      <c r="T8" s="30"/>
      <c r="U8" s="30"/>
      <c r="V8" s="30"/>
      <c r="W8" s="30"/>
      <c r="X8" s="30"/>
      <c r="Y8" s="30"/>
      <c r="Z8" s="30"/>
      <c r="AA8" s="30"/>
      <c r="AB8" s="429"/>
      <c r="AC8" s="109"/>
      <c r="AD8" s="30"/>
      <c r="AE8" s="30"/>
      <c r="AF8" s="429"/>
      <c r="AG8" s="429"/>
    </row>
    <row r="9" spans="1:29" s="5" customFormat="1" ht="12.75">
      <c r="A9" s="90"/>
      <c r="B9" s="95"/>
      <c r="C9" s="90"/>
      <c r="D9" s="15"/>
      <c r="E9" s="340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90"/>
      <c r="AC9" s="17"/>
    </row>
    <row r="10" spans="2:33" s="29" customFormat="1" ht="20.25">
      <c r="B10" s="79"/>
      <c r="C10" s="30"/>
      <c r="D10" s="190" t="s">
        <v>79</v>
      </c>
      <c r="E10" s="30"/>
      <c r="F10" s="30"/>
      <c r="G10" s="30"/>
      <c r="H10" s="30"/>
      <c r="O10" s="30"/>
      <c r="P10" s="30"/>
      <c r="Q10" s="11"/>
      <c r="R10" s="11"/>
      <c r="S10" s="11"/>
      <c r="T10" s="30"/>
      <c r="U10" s="30"/>
      <c r="V10" s="30"/>
      <c r="W10" s="30"/>
      <c r="X10" s="30"/>
      <c r="Y10" s="30"/>
      <c r="Z10" s="30"/>
      <c r="AA10" s="30"/>
      <c r="AB10" s="429"/>
      <c r="AC10" s="109"/>
      <c r="AD10" s="30"/>
      <c r="AE10" s="30"/>
      <c r="AF10" s="429"/>
      <c r="AG10" s="429"/>
    </row>
    <row r="11" spans="1:29" s="5" customFormat="1" ht="12.75">
      <c r="A11" s="90"/>
      <c r="B11" s="95"/>
      <c r="C11" s="90"/>
      <c r="D11" s="15"/>
      <c r="E11" s="15"/>
      <c r="F11" s="15"/>
      <c r="G11" s="98"/>
      <c r="H11" s="15"/>
      <c r="I11" s="15"/>
      <c r="J11" s="15"/>
      <c r="K11" s="15"/>
      <c r="L11" s="15"/>
      <c r="M11" s="90"/>
      <c r="N11" s="90"/>
      <c r="O11" s="90"/>
      <c r="P11" s="90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0"/>
      <c r="AC11" s="17"/>
    </row>
    <row r="12" spans="1:29" s="36" customFormat="1" ht="19.5">
      <c r="A12" s="111"/>
      <c r="B12" s="37" t="str">
        <f>'TOT-1007'!B14</f>
        <v>Desde el 01 al 31 de octubre de 2007</v>
      </c>
      <c r="C12" s="341"/>
      <c r="D12" s="114"/>
      <c r="E12" s="114"/>
      <c r="F12" s="114"/>
      <c r="G12" s="114"/>
      <c r="H12" s="114"/>
      <c r="I12" s="114"/>
      <c r="J12" s="114"/>
      <c r="K12" s="114"/>
      <c r="L12" s="114"/>
      <c r="M12" s="341"/>
      <c r="N12" s="341"/>
      <c r="O12" s="341"/>
      <c r="P12" s="341"/>
      <c r="Q12" s="341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430"/>
      <c r="AC12" s="342"/>
    </row>
    <row r="13" spans="1:29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0"/>
      <c r="AC13" s="17"/>
    </row>
    <row r="14" spans="1:29" s="5" customFormat="1" ht="16.5" customHeight="1" thickBot="1" thickTop="1">
      <c r="A14" s="90"/>
      <c r="B14" s="95"/>
      <c r="C14" s="90"/>
      <c r="D14" s="431" t="s">
        <v>183</v>
      </c>
      <c r="E14" s="432"/>
      <c r="F14" s="433">
        <v>0.245</v>
      </c>
      <c r="G14" s="98"/>
      <c r="H14" s="15"/>
      <c r="I14" s="15"/>
      <c r="J14" s="15"/>
      <c r="K14" s="15"/>
      <c r="L14" s="1083" t="s">
        <v>63</v>
      </c>
      <c r="M14" s="1084"/>
      <c r="N14" s="1084"/>
      <c r="O14" s="1084"/>
      <c r="P14" s="1085"/>
      <c r="Q14" s="224" t="b">
        <f>AND(P15&lt;=0.82,P16&lt;=1.17)</f>
        <v>1</v>
      </c>
      <c r="R14" s="224" t="b">
        <f>AND(P15&gt;=1.17,P16&gt;=1.7)</f>
        <v>0</v>
      </c>
      <c r="S14" s="225">
        <f>((P16/1.17)+(P15/0.82))*0.852446393-1.454892785</f>
        <v>-1.454892785</v>
      </c>
      <c r="T14" s="15"/>
      <c r="U14" s="15"/>
      <c r="V14" s="15"/>
      <c r="W14" s="15"/>
      <c r="X14" s="15"/>
      <c r="Y14" s="15"/>
      <c r="Z14" s="15"/>
      <c r="AA14" s="15"/>
      <c r="AB14" s="90"/>
      <c r="AC14" s="17"/>
    </row>
    <row r="15" spans="1:29" s="5" customFormat="1" ht="16.5" customHeight="1" thickBot="1" thickTop="1">
      <c r="A15" s="90"/>
      <c r="B15" s="95"/>
      <c r="C15" s="90"/>
      <c r="D15" s="431" t="s">
        <v>80</v>
      </c>
      <c r="E15" s="432"/>
      <c r="F15" s="433">
        <v>0.245</v>
      </c>
      <c r="G15"/>
      <c r="H15" s="90"/>
      <c r="I15" s="90"/>
      <c r="J15" s="90"/>
      <c r="K15" s="90"/>
      <c r="L15" s="227" t="s">
        <v>65</v>
      </c>
      <c r="M15" s="228"/>
      <c r="N15" s="228"/>
      <c r="O15" s="228"/>
      <c r="P15" s="229">
        <v>0</v>
      </c>
      <c r="Q15" s="230"/>
      <c r="R15" s="224"/>
      <c r="S15" s="225"/>
      <c r="T15" s="15"/>
      <c r="U15" s="15"/>
      <c r="V15" s="15"/>
      <c r="W15" s="15"/>
      <c r="X15" s="15"/>
      <c r="Y15" s="15"/>
      <c r="Z15" s="15"/>
      <c r="AA15" s="15"/>
      <c r="AB15" s="90"/>
      <c r="AC15" s="17"/>
    </row>
    <row r="16" spans="1:29" s="5" customFormat="1" ht="16.5" customHeight="1" thickBot="1" thickTop="1">
      <c r="A16" s="90"/>
      <c r="B16" s="95"/>
      <c r="C16" s="90"/>
      <c r="D16" s="112" t="s">
        <v>28</v>
      </c>
      <c r="E16" s="113"/>
      <c r="F16" s="993">
        <v>200</v>
      </c>
      <c r="G16"/>
      <c r="H16" s="15"/>
      <c r="I16" s="152" t="s">
        <v>67</v>
      </c>
      <c r="J16" s="231">
        <f>4*P17</f>
        <v>1</v>
      </c>
      <c r="K16" s="15"/>
      <c r="L16" s="227" t="s">
        <v>68</v>
      </c>
      <c r="M16" s="228"/>
      <c r="N16" s="228"/>
      <c r="O16" s="228"/>
      <c r="P16" s="229">
        <v>0</v>
      </c>
      <c r="Q16" s="230"/>
      <c r="R16" s="224"/>
      <c r="S16" s="225"/>
      <c r="T16" s="15"/>
      <c r="U16" s="99"/>
      <c r="V16" s="99"/>
      <c r="W16" s="99"/>
      <c r="X16" s="99"/>
      <c r="Y16" s="99"/>
      <c r="Z16" s="99"/>
      <c r="AA16" s="90"/>
      <c r="AB16" s="90"/>
      <c r="AC16" s="17"/>
    </row>
    <row r="17" spans="1:29" s="5" customFormat="1" ht="16.5" customHeight="1" thickBot="1" thickTop="1">
      <c r="A17" s="90"/>
      <c r="B17" s="95"/>
      <c r="C17" s="90"/>
      <c r="D17" s="434"/>
      <c r="E17" s="435"/>
      <c r="F17" s="436"/>
      <c r="G17"/>
      <c r="H17" s="15"/>
      <c r="I17" s="152"/>
      <c r="J17" s="231"/>
      <c r="K17" s="15"/>
      <c r="L17" s="227" t="s">
        <v>69</v>
      </c>
      <c r="M17" s="228"/>
      <c r="N17" s="228"/>
      <c r="O17" s="228"/>
      <c r="P17" s="229">
        <f>IF(Q14=TRUE,0.25,IF(R14=TRUE,1,S14))</f>
        <v>0.25</v>
      </c>
      <c r="Q17" s="235"/>
      <c r="R17" s="235"/>
      <c r="S17" s="235"/>
      <c r="T17" s="15"/>
      <c r="U17" s="99"/>
      <c r="V17" s="99"/>
      <c r="W17" s="99"/>
      <c r="X17" s="99"/>
      <c r="Y17" s="99"/>
      <c r="Z17" s="99"/>
      <c r="AA17" s="90"/>
      <c r="AB17" s="90"/>
      <c r="AC17" s="17"/>
    </row>
    <row r="18" spans="1:29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90"/>
      <c r="AC18" s="17"/>
    </row>
    <row r="19" spans="1:29" s="5" customFormat="1" ht="33.75" customHeight="1" thickBot="1" thickTop="1">
      <c r="A19" s="90"/>
      <c r="B19" s="95"/>
      <c r="C19" s="125" t="s">
        <v>13</v>
      </c>
      <c r="D19" s="121" t="s">
        <v>29</v>
      </c>
      <c r="E19" s="120" t="s">
        <v>30</v>
      </c>
      <c r="F19" s="122" t="s">
        <v>31</v>
      </c>
      <c r="G19" s="123" t="s">
        <v>14</v>
      </c>
      <c r="H19" s="137" t="s">
        <v>16</v>
      </c>
      <c r="I19" s="120" t="s">
        <v>17</v>
      </c>
      <c r="J19" s="120" t="s">
        <v>18</v>
      </c>
      <c r="K19" s="121" t="s">
        <v>32</v>
      </c>
      <c r="L19" s="121" t="s">
        <v>33</v>
      </c>
      <c r="M19" s="88" t="s">
        <v>19</v>
      </c>
      <c r="N19" s="88" t="s">
        <v>48</v>
      </c>
      <c r="O19" s="124" t="s">
        <v>34</v>
      </c>
      <c r="P19" s="124" t="s">
        <v>35</v>
      </c>
      <c r="Q19" s="437" t="s">
        <v>39</v>
      </c>
      <c r="R19" s="347" t="s">
        <v>20</v>
      </c>
      <c r="S19" s="348" t="s">
        <v>21</v>
      </c>
      <c r="T19" s="243" t="s">
        <v>77</v>
      </c>
      <c r="U19" s="245"/>
      <c r="V19" s="349" t="s">
        <v>78</v>
      </c>
      <c r="W19" s="350"/>
      <c r="X19" s="351" t="s">
        <v>22</v>
      </c>
      <c r="Y19" s="352" t="s">
        <v>73</v>
      </c>
      <c r="Z19" s="142" t="s">
        <v>74</v>
      </c>
      <c r="AA19" s="438" t="s">
        <v>81</v>
      </c>
      <c r="AB19" s="123" t="s">
        <v>24</v>
      </c>
      <c r="AC19" s="17"/>
    </row>
    <row r="20" spans="1:29" s="5" customFormat="1" ht="16.5" customHeight="1" thickTop="1">
      <c r="A20" s="90"/>
      <c r="B20" s="95"/>
      <c r="C20" s="439"/>
      <c r="D20" s="439"/>
      <c r="E20" s="439"/>
      <c r="F20" s="439"/>
      <c r="G20" s="440"/>
      <c r="H20" s="441"/>
      <c r="I20" s="439"/>
      <c r="J20" s="439"/>
      <c r="K20" s="439"/>
      <c r="L20" s="439"/>
      <c r="M20" s="439"/>
      <c r="N20" s="200"/>
      <c r="O20" s="442"/>
      <c r="P20" s="439"/>
      <c r="Q20" s="443"/>
      <c r="R20" s="358"/>
      <c r="S20" s="359"/>
      <c r="T20" s="360"/>
      <c r="U20" s="361"/>
      <c r="V20" s="362"/>
      <c r="W20" s="363"/>
      <c r="X20" s="364"/>
      <c r="Y20" s="365"/>
      <c r="Z20" s="442"/>
      <c r="AA20" s="444"/>
      <c r="AB20" s="445"/>
      <c r="AC20" s="17"/>
    </row>
    <row r="21" spans="1:29" s="5" customFormat="1" ht="16.5" customHeight="1">
      <c r="A21" s="90"/>
      <c r="B21" s="95"/>
      <c r="C21" s="367"/>
      <c r="D21" s="367"/>
      <c r="E21" s="367"/>
      <c r="F21" s="367"/>
      <c r="G21" s="368"/>
      <c r="H21" s="369"/>
      <c r="I21" s="367"/>
      <c r="J21" s="367"/>
      <c r="K21" s="367"/>
      <c r="L21" s="367"/>
      <c r="M21" s="367"/>
      <c r="N21" s="201"/>
      <c r="O21" s="370"/>
      <c r="P21" s="367"/>
      <c r="Q21" s="446"/>
      <c r="R21" s="372"/>
      <c r="S21" s="373"/>
      <c r="T21" s="374"/>
      <c r="U21" s="375"/>
      <c r="V21" s="376"/>
      <c r="W21" s="377"/>
      <c r="X21" s="378"/>
      <c r="Y21" s="379"/>
      <c r="Z21" s="370"/>
      <c r="AA21" s="447"/>
      <c r="AB21" s="448"/>
      <c r="AC21" s="17"/>
    </row>
    <row r="22" spans="1:29" s="5" customFormat="1" ht="16.5" customHeight="1">
      <c r="A22" s="90"/>
      <c r="B22" s="95"/>
      <c r="C22" s="168">
        <v>88</v>
      </c>
      <c r="D22" s="162" t="s">
        <v>269</v>
      </c>
      <c r="E22" s="381" t="s">
        <v>270</v>
      </c>
      <c r="F22" s="382">
        <v>300</v>
      </c>
      <c r="G22" s="996" t="s">
        <v>255</v>
      </c>
      <c r="H22" s="449">
        <f aca="true" t="shared" si="0" ref="H22:H41">IF(D22="RINCÓN",F22*$F$15,F22*$F$14)</f>
        <v>73.5</v>
      </c>
      <c r="I22" s="172">
        <v>39368.55</v>
      </c>
      <c r="J22" s="172">
        <v>39368.569444444445</v>
      </c>
      <c r="K22" s="450">
        <f aca="true" t="shared" si="1" ref="K22:K41">IF(D22="","",(J22-I22)*24)</f>
        <v>0.46666666661622</v>
      </c>
      <c r="L22" s="451">
        <f aca="true" t="shared" si="2" ref="L22:L41">IF(D22="","",ROUND((J22-I22)*24*60,0))</f>
        <v>28</v>
      </c>
      <c r="M22" s="452" t="s">
        <v>190</v>
      </c>
      <c r="N22" s="282" t="str">
        <f aca="true" t="shared" si="3" ref="N22:N41">IF(D22="","","--")</f>
        <v>--</v>
      </c>
      <c r="O22" s="454" t="s">
        <v>188</v>
      </c>
      <c r="P22" s="454" t="str">
        <f aca="true" t="shared" si="4" ref="P22:P41">IF(D22="","","NO")</f>
        <v>NO</v>
      </c>
      <c r="Q22" s="455">
        <f aca="true" t="shared" si="5" ref="Q22:Q41">$F$16*IF(OR(M22="P",M22="RP"),0.1,1)*IF(P22="SI",1,0.1)</f>
        <v>20</v>
      </c>
      <c r="R22" s="456" t="str">
        <f aca="true" t="shared" si="6" ref="R22:R41">IF(M22="P",H22*Q22*ROUND(L22/60,2),"--")</f>
        <v>--</v>
      </c>
      <c r="S22" s="457" t="str">
        <f aca="true" t="shared" si="7" ref="S22:S41">IF(M22="RP",H22*Q22*N22/100*ROUND(L22/60,2),"--")</f>
        <v>--</v>
      </c>
      <c r="T22" s="458" t="str">
        <f aca="true" t="shared" si="8" ref="T22:T41">IF(AND(M22="F",O22="NO"),H22*Q22,"--")</f>
        <v>--</v>
      </c>
      <c r="U22" s="459">
        <f aca="true" t="shared" si="9" ref="U22:U41">IF(M22="F",H22*Q22*ROUND(L22/60,2),"--")</f>
        <v>690.9</v>
      </c>
      <c r="V22" s="460" t="str">
        <f aca="true" t="shared" si="10" ref="V22:V41">IF(AND(M22="R",O22="NO"),H22*Q22*N22/100,"--")</f>
        <v>--</v>
      </c>
      <c r="W22" s="461" t="str">
        <f aca="true" t="shared" si="11" ref="W22:W41">IF(M22="R",H22*Q22*N22/100*ROUND(L22/60,2),"--")</f>
        <v>--</v>
      </c>
      <c r="X22" s="462" t="str">
        <f aca="true" t="shared" si="12" ref="X22:X41">IF(M22="RF",H22*Q22*ROUND(L22/60,2),"--")</f>
        <v>--</v>
      </c>
      <c r="Y22" s="463" t="str">
        <f aca="true" t="shared" si="13" ref="Y22:Y41">IF(M22="RR",H22*Q22*N22/100*ROUND(L22/60,2),"--")</f>
        <v>--</v>
      </c>
      <c r="Z22" s="464" t="str">
        <f aca="true" t="shared" si="14" ref="Z22:Z41">IF(D22="","","SI")</f>
        <v>SI</v>
      </c>
      <c r="AA22" s="465">
        <f aca="true" t="shared" si="15" ref="AA22:AA41">SUM(R22:Y22)*IF(Z22="SI",1,2)</f>
        <v>690.9</v>
      </c>
      <c r="AB22" s="466">
        <f aca="true" t="shared" si="16" ref="AB22:AB41">IF(D22="","",AA22*$J$16)</f>
        <v>690.9</v>
      </c>
      <c r="AC22" s="17"/>
    </row>
    <row r="23" spans="1:29" s="5" customFormat="1" ht="16.5" customHeight="1">
      <c r="A23" s="90"/>
      <c r="B23" s="95"/>
      <c r="C23" s="367">
        <v>89</v>
      </c>
      <c r="D23" s="162" t="s">
        <v>269</v>
      </c>
      <c r="E23" s="381" t="s">
        <v>270</v>
      </c>
      <c r="F23" s="382">
        <v>300</v>
      </c>
      <c r="G23" s="996" t="s">
        <v>255</v>
      </c>
      <c r="H23" s="449">
        <f>IF(D23="RINCÓN",F23*$F$15,F23*$F$14)</f>
        <v>73.5</v>
      </c>
      <c r="I23" s="172">
        <v>39376.475</v>
      </c>
      <c r="J23" s="169">
        <v>39376.59722222222</v>
      </c>
      <c r="K23" s="450">
        <f t="shared" si="1"/>
        <v>2.9333333332906477</v>
      </c>
      <c r="L23" s="451">
        <f t="shared" si="2"/>
        <v>176</v>
      </c>
      <c r="M23" s="170" t="s">
        <v>187</v>
      </c>
      <c r="N23" s="282" t="str">
        <f t="shared" si="3"/>
        <v>--</v>
      </c>
      <c r="O23" s="453" t="str">
        <f aca="true" t="shared" si="17" ref="O23:O41">IF(D23="","",IF(OR(M23="P",M23="RP"),"--","NO"))</f>
        <v>--</v>
      </c>
      <c r="P23" s="454" t="str">
        <f t="shared" si="4"/>
        <v>NO</v>
      </c>
      <c r="Q23" s="455">
        <f t="shared" si="5"/>
        <v>2</v>
      </c>
      <c r="R23" s="456">
        <f t="shared" si="6"/>
        <v>430.71000000000004</v>
      </c>
      <c r="S23" s="457" t="str">
        <f t="shared" si="7"/>
        <v>--</v>
      </c>
      <c r="T23" s="458" t="str">
        <f t="shared" si="8"/>
        <v>--</v>
      </c>
      <c r="U23" s="459" t="str">
        <f t="shared" si="9"/>
        <v>--</v>
      </c>
      <c r="V23" s="460" t="str">
        <f t="shared" si="10"/>
        <v>--</v>
      </c>
      <c r="W23" s="461" t="str">
        <f t="shared" si="11"/>
        <v>--</v>
      </c>
      <c r="X23" s="462" t="str">
        <f t="shared" si="12"/>
        <v>--</v>
      </c>
      <c r="Y23" s="463" t="str">
        <f t="shared" si="13"/>
        <v>--</v>
      </c>
      <c r="Z23" s="464" t="str">
        <f t="shared" si="14"/>
        <v>SI</v>
      </c>
      <c r="AA23" s="465">
        <f t="shared" si="15"/>
        <v>430.71000000000004</v>
      </c>
      <c r="AB23" s="466">
        <f t="shared" si="16"/>
        <v>430.71000000000004</v>
      </c>
      <c r="AC23" s="17"/>
    </row>
    <row r="24" spans="1:29" s="5" customFormat="1" ht="16.5" customHeight="1">
      <c r="A24" s="90"/>
      <c r="B24" s="95"/>
      <c r="C24" s="168"/>
      <c r="D24" s="162"/>
      <c r="E24" s="381"/>
      <c r="F24" s="382"/>
      <c r="G24" s="383"/>
      <c r="H24" s="449">
        <f t="shared" si="0"/>
        <v>0</v>
      </c>
      <c r="I24" s="169"/>
      <c r="J24" s="169"/>
      <c r="K24" s="450">
        <f t="shared" si="1"/>
      </c>
      <c r="L24" s="451">
        <f t="shared" si="2"/>
      </c>
      <c r="M24" s="170"/>
      <c r="N24" s="282">
        <f t="shared" si="3"/>
      </c>
      <c r="O24" s="453">
        <f t="shared" si="17"/>
      </c>
      <c r="P24" s="454">
        <f t="shared" si="4"/>
      </c>
      <c r="Q24" s="455">
        <f t="shared" si="5"/>
        <v>20</v>
      </c>
      <c r="R24" s="456" t="str">
        <f t="shared" si="6"/>
        <v>--</v>
      </c>
      <c r="S24" s="457" t="str">
        <f t="shared" si="7"/>
        <v>--</v>
      </c>
      <c r="T24" s="458" t="str">
        <f t="shared" si="8"/>
        <v>--</v>
      </c>
      <c r="U24" s="459" t="str">
        <f t="shared" si="9"/>
        <v>--</v>
      </c>
      <c r="V24" s="460" t="str">
        <f t="shared" si="10"/>
        <v>--</v>
      </c>
      <c r="W24" s="461" t="str">
        <f t="shared" si="11"/>
        <v>--</v>
      </c>
      <c r="X24" s="462" t="str">
        <f t="shared" si="12"/>
        <v>--</v>
      </c>
      <c r="Y24" s="463" t="str">
        <f t="shared" si="13"/>
        <v>--</v>
      </c>
      <c r="Z24" s="464">
        <f t="shared" si="14"/>
      </c>
      <c r="AA24" s="465">
        <f t="shared" si="15"/>
        <v>0</v>
      </c>
      <c r="AB24" s="466">
        <f t="shared" si="16"/>
      </c>
      <c r="AC24" s="17"/>
    </row>
    <row r="25" spans="1:29" s="5" customFormat="1" ht="16.5" customHeight="1">
      <c r="A25" s="90"/>
      <c r="B25" s="95"/>
      <c r="C25" s="367"/>
      <c r="D25" s="162"/>
      <c r="E25" s="381"/>
      <c r="F25" s="382"/>
      <c r="G25" s="383"/>
      <c r="H25" s="449">
        <f t="shared" si="0"/>
        <v>0</v>
      </c>
      <c r="I25" s="169"/>
      <c r="J25" s="169"/>
      <c r="K25" s="450">
        <f t="shared" si="1"/>
      </c>
      <c r="L25" s="451">
        <f t="shared" si="2"/>
      </c>
      <c r="M25" s="170"/>
      <c r="N25" s="282">
        <f t="shared" si="3"/>
      </c>
      <c r="O25" s="453">
        <f t="shared" si="17"/>
      </c>
      <c r="P25" s="454">
        <f t="shared" si="4"/>
      </c>
      <c r="Q25" s="455">
        <f t="shared" si="5"/>
        <v>20</v>
      </c>
      <c r="R25" s="456" t="str">
        <f t="shared" si="6"/>
        <v>--</v>
      </c>
      <c r="S25" s="457" t="str">
        <f t="shared" si="7"/>
        <v>--</v>
      </c>
      <c r="T25" s="458" t="str">
        <f t="shared" si="8"/>
        <v>--</v>
      </c>
      <c r="U25" s="459" t="str">
        <f t="shared" si="9"/>
        <v>--</v>
      </c>
      <c r="V25" s="460" t="str">
        <f t="shared" si="10"/>
        <v>--</v>
      </c>
      <c r="W25" s="461" t="str">
        <f t="shared" si="11"/>
        <v>--</v>
      </c>
      <c r="X25" s="462" t="str">
        <f t="shared" si="12"/>
        <v>--</v>
      </c>
      <c r="Y25" s="463" t="str">
        <f t="shared" si="13"/>
        <v>--</v>
      </c>
      <c r="Z25" s="464">
        <f t="shared" si="14"/>
      </c>
      <c r="AA25" s="465">
        <f t="shared" si="15"/>
        <v>0</v>
      </c>
      <c r="AB25" s="466">
        <f t="shared" si="16"/>
      </c>
      <c r="AC25" s="17"/>
    </row>
    <row r="26" spans="1:29" s="5" customFormat="1" ht="16.5" customHeight="1">
      <c r="A26" s="90"/>
      <c r="B26" s="95"/>
      <c r="C26" s="168"/>
      <c r="D26" s="162"/>
      <c r="E26" s="381"/>
      <c r="F26" s="382"/>
      <c r="G26" s="383"/>
      <c r="H26" s="449">
        <f t="shared" si="0"/>
        <v>0</v>
      </c>
      <c r="I26" s="169"/>
      <c r="J26" s="169"/>
      <c r="K26" s="450">
        <f t="shared" si="1"/>
      </c>
      <c r="L26" s="451">
        <f t="shared" si="2"/>
      </c>
      <c r="M26" s="170"/>
      <c r="N26" s="282">
        <f t="shared" si="3"/>
      </c>
      <c r="O26" s="453">
        <f t="shared" si="17"/>
      </c>
      <c r="P26" s="454">
        <f t="shared" si="4"/>
      </c>
      <c r="Q26" s="455">
        <f t="shared" si="5"/>
        <v>20</v>
      </c>
      <c r="R26" s="456" t="str">
        <f t="shared" si="6"/>
        <v>--</v>
      </c>
      <c r="S26" s="457" t="str">
        <f t="shared" si="7"/>
        <v>--</v>
      </c>
      <c r="T26" s="458" t="str">
        <f t="shared" si="8"/>
        <v>--</v>
      </c>
      <c r="U26" s="459" t="str">
        <f t="shared" si="9"/>
        <v>--</v>
      </c>
      <c r="V26" s="460" t="str">
        <f t="shared" si="10"/>
        <v>--</v>
      </c>
      <c r="W26" s="461" t="str">
        <f t="shared" si="11"/>
        <v>--</v>
      </c>
      <c r="X26" s="462" t="str">
        <f t="shared" si="12"/>
        <v>--</v>
      </c>
      <c r="Y26" s="463" t="str">
        <f t="shared" si="13"/>
        <v>--</v>
      </c>
      <c r="Z26" s="464">
        <f t="shared" si="14"/>
      </c>
      <c r="AA26" s="465">
        <f t="shared" si="15"/>
        <v>0</v>
      </c>
      <c r="AB26" s="466">
        <f t="shared" si="16"/>
      </c>
      <c r="AC26" s="17"/>
    </row>
    <row r="27" spans="1:29" s="5" customFormat="1" ht="16.5" customHeight="1">
      <c r="A27" s="90"/>
      <c r="B27" s="95"/>
      <c r="C27" s="367"/>
      <c r="D27" s="162"/>
      <c r="E27" s="381"/>
      <c r="F27" s="382"/>
      <c r="G27" s="383"/>
      <c r="H27" s="449">
        <f t="shared" si="0"/>
        <v>0</v>
      </c>
      <c r="I27" s="169"/>
      <c r="J27" s="169"/>
      <c r="K27" s="450">
        <f t="shared" si="1"/>
      </c>
      <c r="L27" s="451">
        <f t="shared" si="2"/>
      </c>
      <c r="M27" s="170"/>
      <c r="N27" s="282">
        <f t="shared" si="3"/>
      </c>
      <c r="O27" s="453">
        <f t="shared" si="17"/>
      </c>
      <c r="P27" s="454">
        <f t="shared" si="4"/>
      </c>
      <c r="Q27" s="455">
        <f t="shared" si="5"/>
        <v>20</v>
      </c>
      <c r="R27" s="456" t="str">
        <f t="shared" si="6"/>
        <v>--</v>
      </c>
      <c r="S27" s="457" t="str">
        <f t="shared" si="7"/>
        <v>--</v>
      </c>
      <c r="T27" s="458" t="str">
        <f t="shared" si="8"/>
        <v>--</v>
      </c>
      <c r="U27" s="459" t="str">
        <f t="shared" si="9"/>
        <v>--</v>
      </c>
      <c r="V27" s="460" t="str">
        <f t="shared" si="10"/>
        <v>--</v>
      </c>
      <c r="W27" s="461" t="str">
        <f t="shared" si="11"/>
        <v>--</v>
      </c>
      <c r="X27" s="462" t="str">
        <f t="shared" si="12"/>
        <v>--</v>
      </c>
      <c r="Y27" s="463" t="str">
        <f t="shared" si="13"/>
        <v>--</v>
      </c>
      <c r="Z27" s="464">
        <f t="shared" si="14"/>
      </c>
      <c r="AA27" s="465">
        <f t="shared" si="15"/>
        <v>0</v>
      </c>
      <c r="AB27" s="466">
        <f t="shared" si="16"/>
      </c>
      <c r="AC27" s="17"/>
    </row>
    <row r="28" spans="1:30" s="5" customFormat="1" ht="16.5" customHeight="1">
      <c r="A28" s="90"/>
      <c r="B28" s="95"/>
      <c r="C28" s="168"/>
      <c r="D28" s="162"/>
      <c r="E28" s="381"/>
      <c r="F28" s="382"/>
      <c r="G28" s="383"/>
      <c r="H28" s="449">
        <f t="shared" si="0"/>
        <v>0</v>
      </c>
      <c r="I28" s="169"/>
      <c r="J28" s="169"/>
      <c r="K28" s="450">
        <f t="shared" si="1"/>
      </c>
      <c r="L28" s="451">
        <f t="shared" si="2"/>
      </c>
      <c r="M28" s="170"/>
      <c r="N28" s="282">
        <f t="shared" si="3"/>
      </c>
      <c r="O28" s="453">
        <f t="shared" si="17"/>
      </c>
      <c r="P28" s="454">
        <f t="shared" si="4"/>
      </c>
      <c r="Q28" s="455">
        <f t="shared" si="5"/>
        <v>20</v>
      </c>
      <c r="R28" s="456" t="str">
        <f t="shared" si="6"/>
        <v>--</v>
      </c>
      <c r="S28" s="457" t="str">
        <f t="shared" si="7"/>
        <v>--</v>
      </c>
      <c r="T28" s="458" t="str">
        <f t="shared" si="8"/>
        <v>--</v>
      </c>
      <c r="U28" s="459" t="str">
        <f t="shared" si="9"/>
        <v>--</v>
      </c>
      <c r="V28" s="460" t="str">
        <f t="shared" si="10"/>
        <v>--</v>
      </c>
      <c r="W28" s="461" t="str">
        <f t="shared" si="11"/>
        <v>--</v>
      </c>
      <c r="X28" s="462" t="str">
        <f t="shared" si="12"/>
        <v>--</v>
      </c>
      <c r="Y28" s="463" t="str">
        <f t="shared" si="13"/>
        <v>--</v>
      </c>
      <c r="Z28" s="464">
        <f t="shared" si="14"/>
      </c>
      <c r="AA28" s="465">
        <f t="shared" si="15"/>
        <v>0</v>
      </c>
      <c r="AB28" s="466">
        <f t="shared" si="16"/>
      </c>
      <c r="AC28" s="17"/>
      <c r="AD28" s="15"/>
    </row>
    <row r="29" spans="1:29" s="5" customFormat="1" ht="16.5" customHeight="1">
      <c r="A29" s="90"/>
      <c r="B29" s="95"/>
      <c r="C29" s="367"/>
      <c r="D29" s="162"/>
      <c r="E29" s="381"/>
      <c r="F29" s="382"/>
      <c r="G29" s="383"/>
      <c r="H29" s="449">
        <f t="shared" si="0"/>
        <v>0</v>
      </c>
      <c r="I29" s="169"/>
      <c r="J29" s="169"/>
      <c r="K29" s="450">
        <f t="shared" si="1"/>
      </c>
      <c r="L29" s="451">
        <f t="shared" si="2"/>
      </c>
      <c r="M29" s="170"/>
      <c r="N29" s="282">
        <f t="shared" si="3"/>
      </c>
      <c r="O29" s="453">
        <f t="shared" si="17"/>
      </c>
      <c r="P29" s="454">
        <f t="shared" si="4"/>
      </c>
      <c r="Q29" s="455">
        <f t="shared" si="5"/>
        <v>20</v>
      </c>
      <c r="R29" s="456" t="str">
        <f t="shared" si="6"/>
        <v>--</v>
      </c>
      <c r="S29" s="457" t="str">
        <f t="shared" si="7"/>
        <v>--</v>
      </c>
      <c r="T29" s="458" t="str">
        <f t="shared" si="8"/>
        <v>--</v>
      </c>
      <c r="U29" s="459" t="str">
        <f t="shared" si="9"/>
        <v>--</v>
      </c>
      <c r="V29" s="460" t="str">
        <f t="shared" si="10"/>
        <v>--</v>
      </c>
      <c r="W29" s="461" t="str">
        <f t="shared" si="11"/>
        <v>--</v>
      </c>
      <c r="X29" s="462" t="str">
        <f t="shared" si="12"/>
        <v>--</v>
      </c>
      <c r="Y29" s="463" t="str">
        <f t="shared" si="13"/>
        <v>--</v>
      </c>
      <c r="Z29" s="464">
        <f t="shared" si="14"/>
      </c>
      <c r="AA29" s="465">
        <f t="shared" si="15"/>
        <v>0</v>
      </c>
      <c r="AB29" s="466">
        <f t="shared" si="16"/>
      </c>
      <c r="AC29" s="17"/>
    </row>
    <row r="30" spans="1:29" s="5" customFormat="1" ht="16.5" customHeight="1">
      <c r="A30" s="90"/>
      <c r="B30" s="95"/>
      <c r="C30" s="168"/>
      <c r="D30" s="162"/>
      <c r="E30" s="381"/>
      <c r="F30" s="382"/>
      <c r="G30" s="383"/>
      <c r="H30" s="449">
        <f t="shared" si="0"/>
        <v>0</v>
      </c>
      <c r="I30" s="169"/>
      <c r="J30" s="169"/>
      <c r="K30" s="450">
        <f t="shared" si="1"/>
      </c>
      <c r="L30" s="451">
        <f t="shared" si="2"/>
      </c>
      <c r="M30" s="170"/>
      <c r="N30" s="282">
        <f t="shared" si="3"/>
      </c>
      <c r="O30" s="453">
        <f t="shared" si="17"/>
      </c>
      <c r="P30" s="454">
        <f t="shared" si="4"/>
      </c>
      <c r="Q30" s="455">
        <f t="shared" si="5"/>
        <v>20</v>
      </c>
      <c r="R30" s="456" t="str">
        <f t="shared" si="6"/>
        <v>--</v>
      </c>
      <c r="S30" s="457" t="str">
        <f t="shared" si="7"/>
        <v>--</v>
      </c>
      <c r="T30" s="458" t="str">
        <f t="shared" si="8"/>
        <v>--</v>
      </c>
      <c r="U30" s="459" t="str">
        <f t="shared" si="9"/>
        <v>--</v>
      </c>
      <c r="V30" s="460" t="str">
        <f t="shared" si="10"/>
        <v>--</v>
      </c>
      <c r="W30" s="461" t="str">
        <f t="shared" si="11"/>
        <v>--</v>
      </c>
      <c r="X30" s="462" t="str">
        <f t="shared" si="12"/>
        <v>--</v>
      </c>
      <c r="Y30" s="463" t="str">
        <f t="shared" si="13"/>
        <v>--</v>
      </c>
      <c r="Z30" s="464">
        <f t="shared" si="14"/>
      </c>
      <c r="AA30" s="465">
        <f t="shared" si="15"/>
        <v>0</v>
      </c>
      <c r="AB30" s="466">
        <f t="shared" si="16"/>
      </c>
      <c r="AC30" s="17"/>
    </row>
    <row r="31" spans="1:29" s="5" customFormat="1" ht="16.5" customHeight="1">
      <c r="A31" s="90"/>
      <c r="B31" s="95"/>
      <c r="C31" s="367"/>
      <c r="D31" s="162"/>
      <c r="E31" s="381"/>
      <c r="F31" s="382"/>
      <c r="G31" s="383"/>
      <c r="H31" s="449">
        <f t="shared" si="0"/>
        <v>0</v>
      </c>
      <c r="I31" s="169"/>
      <c r="J31" s="169"/>
      <c r="K31" s="450">
        <f t="shared" si="1"/>
      </c>
      <c r="L31" s="451">
        <f t="shared" si="2"/>
      </c>
      <c r="M31" s="170"/>
      <c r="N31" s="282">
        <f t="shared" si="3"/>
      </c>
      <c r="O31" s="453">
        <f t="shared" si="17"/>
      </c>
      <c r="P31" s="454">
        <f t="shared" si="4"/>
      </c>
      <c r="Q31" s="455">
        <f t="shared" si="5"/>
        <v>20</v>
      </c>
      <c r="R31" s="456" t="str">
        <f t="shared" si="6"/>
        <v>--</v>
      </c>
      <c r="S31" s="457" t="str">
        <f t="shared" si="7"/>
        <v>--</v>
      </c>
      <c r="T31" s="458" t="str">
        <f t="shared" si="8"/>
        <v>--</v>
      </c>
      <c r="U31" s="459" t="str">
        <f t="shared" si="9"/>
        <v>--</v>
      </c>
      <c r="V31" s="460" t="str">
        <f t="shared" si="10"/>
        <v>--</v>
      </c>
      <c r="W31" s="461" t="str">
        <f t="shared" si="11"/>
        <v>--</v>
      </c>
      <c r="X31" s="462" t="str">
        <f t="shared" si="12"/>
        <v>--</v>
      </c>
      <c r="Y31" s="463" t="str">
        <f t="shared" si="13"/>
        <v>--</v>
      </c>
      <c r="Z31" s="464">
        <f t="shared" si="14"/>
      </c>
      <c r="AA31" s="465">
        <f t="shared" si="15"/>
        <v>0</v>
      </c>
      <c r="AB31" s="466">
        <f t="shared" si="16"/>
      </c>
      <c r="AC31" s="17"/>
    </row>
    <row r="32" spans="1:29" s="5" customFormat="1" ht="16.5" customHeight="1">
      <c r="A32" s="90"/>
      <c r="B32" s="95"/>
      <c r="C32" s="168"/>
      <c r="D32" s="162"/>
      <c r="E32" s="397"/>
      <c r="F32" s="382"/>
      <c r="G32" s="383"/>
      <c r="H32" s="449">
        <f t="shared" si="0"/>
        <v>0</v>
      </c>
      <c r="I32" s="169"/>
      <c r="J32" s="169"/>
      <c r="K32" s="450">
        <f t="shared" si="1"/>
      </c>
      <c r="L32" s="451">
        <f t="shared" si="2"/>
      </c>
      <c r="M32" s="170"/>
      <c r="N32" s="282">
        <f t="shared" si="3"/>
      </c>
      <c r="O32" s="453">
        <f t="shared" si="17"/>
      </c>
      <c r="P32" s="454">
        <f t="shared" si="4"/>
      </c>
      <c r="Q32" s="455">
        <f t="shared" si="5"/>
        <v>20</v>
      </c>
      <c r="R32" s="456" t="str">
        <f t="shared" si="6"/>
        <v>--</v>
      </c>
      <c r="S32" s="457" t="str">
        <f t="shared" si="7"/>
        <v>--</v>
      </c>
      <c r="T32" s="458" t="str">
        <f t="shared" si="8"/>
        <v>--</v>
      </c>
      <c r="U32" s="459" t="str">
        <f t="shared" si="9"/>
        <v>--</v>
      </c>
      <c r="V32" s="460" t="str">
        <f t="shared" si="10"/>
        <v>--</v>
      </c>
      <c r="W32" s="461" t="str">
        <f t="shared" si="11"/>
        <v>--</v>
      </c>
      <c r="X32" s="462" t="str">
        <f t="shared" si="12"/>
        <v>--</v>
      </c>
      <c r="Y32" s="463" t="str">
        <f t="shared" si="13"/>
        <v>--</v>
      </c>
      <c r="Z32" s="464">
        <f t="shared" si="14"/>
      </c>
      <c r="AA32" s="465">
        <f t="shared" si="15"/>
        <v>0</v>
      </c>
      <c r="AB32" s="466">
        <f t="shared" si="16"/>
      </c>
      <c r="AC32" s="17"/>
    </row>
    <row r="33" spans="1:29" s="5" customFormat="1" ht="16.5" customHeight="1">
      <c r="A33" s="90"/>
      <c r="B33" s="95"/>
      <c r="C33" s="367"/>
      <c r="D33" s="162"/>
      <c r="E33" s="397"/>
      <c r="F33" s="382"/>
      <c r="G33" s="383"/>
      <c r="H33" s="449">
        <f t="shared" si="0"/>
        <v>0</v>
      </c>
      <c r="I33" s="169"/>
      <c r="J33" s="169"/>
      <c r="K33" s="450">
        <f t="shared" si="1"/>
      </c>
      <c r="L33" s="451">
        <f t="shared" si="2"/>
      </c>
      <c r="M33" s="170"/>
      <c r="N33" s="282">
        <f t="shared" si="3"/>
      </c>
      <c r="O33" s="453">
        <f t="shared" si="17"/>
      </c>
      <c r="P33" s="454">
        <f t="shared" si="4"/>
      </c>
      <c r="Q33" s="455">
        <f t="shared" si="5"/>
        <v>20</v>
      </c>
      <c r="R33" s="456" t="str">
        <f t="shared" si="6"/>
        <v>--</v>
      </c>
      <c r="S33" s="457" t="str">
        <f t="shared" si="7"/>
        <v>--</v>
      </c>
      <c r="T33" s="458" t="str">
        <f t="shared" si="8"/>
        <v>--</v>
      </c>
      <c r="U33" s="459" t="str">
        <f t="shared" si="9"/>
        <v>--</v>
      </c>
      <c r="V33" s="460" t="str">
        <f t="shared" si="10"/>
        <v>--</v>
      </c>
      <c r="W33" s="461" t="str">
        <f t="shared" si="11"/>
        <v>--</v>
      </c>
      <c r="X33" s="462" t="str">
        <f t="shared" si="12"/>
        <v>--</v>
      </c>
      <c r="Y33" s="463" t="str">
        <f t="shared" si="13"/>
        <v>--</v>
      </c>
      <c r="Z33" s="464">
        <f t="shared" si="14"/>
      </c>
      <c r="AA33" s="465">
        <f t="shared" si="15"/>
        <v>0</v>
      </c>
      <c r="AB33" s="466">
        <f t="shared" si="16"/>
      </c>
      <c r="AC33" s="17"/>
    </row>
    <row r="34" spans="1:29" s="5" customFormat="1" ht="16.5" customHeight="1">
      <c r="A34" s="90"/>
      <c r="B34" s="95"/>
      <c r="C34" s="168"/>
      <c r="D34" s="162"/>
      <c r="E34" s="397"/>
      <c r="F34" s="382"/>
      <c r="G34" s="383"/>
      <c r="H34" s="449">
        <f t="shared" si="0"/>
        <v>0</v>
      </c>
      <c r="I34" s="169"/>
      <c r="J34" s="169"/>
      <c r="K34" s="450">
        <f t="shared" si="1"/>
      </c>
      <c r="L34" s="451">
        <f t="shared" si="2"/>
      </c>
      <c r="M34" s="170"/>
      <c r="N34" s="282">
        <f t="shared" si="3"/>
      </c>
      <c r="O34" s="453">
        <f t="shared" si="17"/>
      </c>
      <c r="P34" s="454">
        <f t="shared" si="4"/>
      </c>
      <c r="Q34" s="455">
        <f t="shared" si="5"/>
        <v>20</v>
      </c>
      <c r="R34" s="456" t="str">
        <f t="shared" si="6"/>
        <v>--</v>
      </c>
      <c r="S34" s="457" t="str">
        <f t="shared" si="7"/>
        <v>--</v>
      </c>
      <c r="T34" s="458" t="str">
        <f t="shared" si="8"/>
        <v>--</v>
      </c>
      <c r="U34" s="459" t="str">
        <f t="shared" si="9"/>
        <v>--</v>
      </c>
      <c r="V34" s="460" t="str">
        <f t="shared" si="10"/>
        <v>--</v>
      </c>
      <c r="W34" s="461" t="str">
        <f t="shared" si="11"/>
        <v>--</v>
      </c>
      <c r="X34" s="462" t="str">
        <f t="shared" si="12"/>
        <v>--</v>
      </c>
      <c r="Y34" s="463" t="str">
        <f t="shared" si="13"/>
        <v>--</v>
      </c>
      <c r="Z34" s="464">
        <f t="shared" si="14"/>
      </c>
      <c r="AA34" s="465">
        <f t="shared" si="15"/>
        <v>0</v>
      </c>
      <c r="AB34" s="466">
        <f t="shared" si="16"/>
      </c>
      <c r="AC34" s="17"/>
    </row>
    <row r="35" spans="1:29" s="5" customFormat="1" ht="16.5" customHeight="1">
      <c r="A35" s="90"/>
      <c r="B35" s="95"/>
      <c r="C35" s="367"/>
      <c r="D35" s="162"/>
      <c r="E35" s="397"/>
      <c r="F35" s="382"/>
      <c r="G35" s="383"/>
      <c r="H35" s="449">
        <f t="shared" si="0"/>
        <v>0</v>
      </c>
      <c r="I35" s="169"/>
      <c r="J35" s="169"/>
      <c r="K35" s="450">
        <f t="shared" si="1"/>
      </c>
      <c r="L35" s="451">
        <f t="shared" si="2"/>
      </c>
      <c r="M35" s="170"/>
      <c r="N35" s="282">
        <f t="shared" si="3"/>
      </c>
      <c r="O35" s="453">
        <f t="shared" si="17"/>
      </c>
      <c r="P35" s="454">
        <f t="shared" si="4"/>
      </c>
      <c r="Q35" s="455">
        <f t="shared" si="5"/>
        <v>20</v>
      </c>
      <c r="R35" s="456" t="str">
        <f t="shared" si="6"/>
        <v>--</v>
      </c>
      <c r="S35" s="457" t="str">
        <f t="shared" si="7"/>
        <v>--</v>
      </c>
      <c r="T35" s="458" t="str">
        <f t="shared" si="8"/>
        <v>--</v>
      </c>
      <c r="U35" s="459" t="str">
        <f t="shared" si="9"/>
        <v>--</v>
      </c>
      <c r="V35" s="460" t="str">
        <f t="shared" si="10"/>
        <v>--</v>
      </c>
      <c r="W35" s="461" t="str">
        <f t="shared" si="11"/>
        <v>--</v>
      </c>
      <c r="X35" s="462" t="str">
        <f t="shared" si="12"/>
        <v>--</v>
      </c>
      <c r="Y35" s="463" t="str">
        <f t="shared" si="13"/>
        <v>--</v>
      </c>
      <c r="Z35" s="464">
        <f t="shared" si="14"/>
      </c>
      <c r="AA35" s="465">
        <f t="shared" si="15"/>
        <v>0</v>
      </c>
      <c r="AB35" s="466">
        <f t="shared" si="16"/>
      </c>
      <c r="AC35" s="17"/>
    </row>
    <row r="36" spans="1:29" s="5" customFormat="1" ht="16.5" customHeight="1">
      <c r="A36" s="90"/>
      <c r="B36" s="95"/>
      <c r="C36" s="168"/>
      <c r="D36" s="162"/>
      <c r="E36" s="397"/>
      <c r="F36" s="382"/>
      <c r="G36" s="383"/>
      <c r="H36" s="449">
        <f t="shared" si="0"/>
        <v>0</v>
      </c>
      <c r="I36" s="169"/>
      <c r="J36" s="169"/>
      <c r="K36" s="450">
        <f t="shared" si="1"/>
      </c>
      <c r="L36" s="451">
        <f t="shared" si="2"/>
      </c>
      <c r="M36" s="170"/>
      <c r="N36" s="282">
        <f t="shared" si="3"/>
      </c>
      <c r="O36" s="453">
        <f t="shared" si="17"/>
      </c>
      <c r="P36" s="454">
        <f t="shared" si="4"/>
      </c>
      <c r="Q36" s="455">
        <f t="shared" si="5"/>
        <v>20</v>
      </c>
      <c r="R36" s="456" t="str">
        <f t="shared" si="6"/>
        <v>--</v>
      </c>
      <c r="S36" s="457" t="str">
        <f t="shared" si="7"/>
        <v>--</v>
      </c>
      <c r="T36" s="458" t="str">
        <f t="shared" si="8"/>
        <v>--</v>
      </c>
      <c r="U36" s="459" t="str">
        <f t="shared" si="9"/>
        <v>--</v>
      </c>
      <c r="V36" s="460" t="str">
        <f t="shared" si="10"/>
        <v>--</v>
      </c>
      <c r="W36" s="461" t="str">
        <f t="shared" si="11"/>
        <v>--</v>
      </c>
      <c r="X36" s="462" t="str">
        <f t="shared" si="12"/>
        <v>--</v>
      </c>
      <c r="Y36" s="463" t="str">
        <f t="shared" si="13"/>
        <v>--</v>
      </c>
      <c r="Z36" s="464">
        <f t="shared" si="14"/>
      </c>
      <c r="AA36" s="465">
        <f t="shared" si="15"/>
        <v>0</v>
      </c>
      <c r="AB36" s="466">
        <f t="shared" si="16"/>
      </c>
      <c r="AC36" s="17"/>
    </row>
    <row r="37" spans="1:29" s="5" customFormat="1" ht="16.5" customHeight="1">
      <c r="A37" s="90"/>
      <c r="B37" s="95"/>
      <c r="C37" s="367"/>
      <c r="D37" s="162"/>
      <c r="E37" s="397"/>
      <c r="F37" s="382"/>
      <c r="G37" s="383"/>
      <c r="H37" s="449">
        <f t="shared" si="0"/>
        <v>0</v>
      </c>
      <c r="I37" s="169"/>
      <c r="J37" s="169"/>
      <c r="K37" s="450">
        <f t="shared" si="1"/>
      </c>
      <c r="L37" s="451">
        <f t="shared" si="2"/>
      </c>
      <c r="M37" s="170"/>
      <c r="N37" s="282">
        <f t="shared" si="3"/>
      </c>
      <c r="O37" s="453">
        <f t="shared" si="17"/>
      </c>
      <c r="P37" s="454">
        <f t="shared" si="4"/>
      </c>
      <c r="Q37" s="455">
        <f t="shared" si="5"/>
        <v>20</v>
      </c>
      <c r="R37" s="456" t="str">
        <f t="shared" si="6"/>
        <v>--</v>
      </c>
      <c r="S37" s="457" t="str">
        <f t="shared" si="7"/>
        <v>--</v>
      </c>
      <c r="T37" s="458" t="str">
        <f t="shared" si="8"/>
        <v>--</v>
      </c>
      <c r="U37" s="459" t="str">
        <f t="shared" si="9"/>
        <v>--</v>
      </c>
      <c r="V37" s="460" t="str">
        <f t="shared" si="10"/>
        <v>--</v>
      </c>
      <c r="W37" s="461" t="str">
        <f t="shared" si="11"/>
        <v>--</v>
      </c>
      <c r="X37" s="462" t="str">
        <f t="shared" si="12"/>
        <v>--</v>
      </c>
      <c r="Y37" s="463" t="str">
        <f t="shared" si="13"/>
        <v>--</v>
      </c>
      <c r="Z37" s="464">
        <f t="shared" si="14"/>
      </c>
      <c r="AA37" s="465">
        <f t="shared" si="15"/>
        <v>0</v>
      </c>
      <c r="AB37" s="466">
        <f t="shared" si="16"/>
      </c>
      <c r="AC37" s="17"/>
    </row>
    <row r="38" spans="1:29" s="5" customFormat="1" ht="16.5" customHeight="1">
      <c r="A38" s="90"/>
      <c r="B38" s="95"/>
      <c r="C38" s="168"/>
      <c r="D38" s="162"/>
      <c r="E38" s="397"/>
      <c r="F38" s="382"/>
      <c r="G38" s="383"/>
      <c r="H38" s="449">
        <f t="shared" si="0"/>
        <v>0</v>
      </c>
      <c r="I38" s="169"/>
      <c r="J38" s="169"/>
      <c r="K38" s="450">
        <f t="shared" si="1"/>
      </c>
      <c r="L38" s="451">
        <f t="shared" si="2"/>
      </c>
      <c r="M38" s="170"/>
      <c r="N38" s="282">
        <f t="shared" si="3"/>
      </c>
      <c r="O38" s="453">
        <f t="shared" si="17"/>
      </c>
      <c r="P38" s="454">
        <f t="shared" si="4"/>
      </c>
      <c r="Q38" s="455">
        <f t="shared" si="5"/>
        <v>20</v>
      </c>
      <c r="R38" s="456" t="str">
        <f t="shared" si="6"/>
        <v>--</v>
      </c>
      <c r="S38" s="457" t="str">
        <f t="shared" si="7"/>
        <v>--</v>
      </c>
      <c r="T38" s="458" t="str">
        <f t="shared" si="8"/>
        <v>--</v>
      </c>
      <c r="U38" s="459" t="str">
        <f t="shared" si="9"/>
        <v>--</v>
      </c>
      <c r="V38" s="460" t="str">
        <f t="shared" si="10"/>
        <v>--</v>
      </c>
      <c r="W38" s="461" t="str">
        <f t="shared" si="11"/>
        <v>--</v>
      </c>
      <c r="X38" s="462" t="str">
        <f t="shared" si="12"/>
        <v>--</v>
      </c>
      <c r="Y38" s="463" t="str">
        <f t="shared" si="13"/>
        <v>--</v>
      </c>
      <c r="Z38" s="464">
        <f t="shared" si="14"/>
      </c>
      <c r="AA38" s="465">
        <f t="shared" si="15"/>
        <v>0</v>
      </c>
      <c r="AB38" s="466">
        <f t="shared" si="16"/>
      </c>
      <c r="AC38" s="17"/>
    </row>
    <row r="39" spans="1:29" s="5" customFormat="1" ht="16.5" customHeight="1">
      <c r="A39" s="90"/>
      <c r="B39" s="95"/>
      <c r="C39" s="367"/>
      <c r="D39" s="162"/>
      <c r="E39" s="397"/>
      <c r="F39" s="382"/>
      <c r="G39" s="383"/>
      <c r="H39" s="449">
        <f t="shared" si="0"/>
        <v>0</v>
      </c>
      <c r="I39" s="169"/>
      <c r="J39" s="169"/>
      <c r="K39" s="450">
        <f t="shared" si="1"/>
      </c>
      <c r="L39" s="451">
        <f t="shared" si="2"/>
      </c>
      <c r="M39" s="170"/>
      <c r="N39" s="282">
        <f t="shared" si="3"/>
      </c>
      <c r="O39" s="453">
        <f t="shared" si="17"/>
      </c>
      <c r="P39" s="454">
        <f t="shared" si="4"/>
      </c>
      <c r="Q39" s="455">
        <f t="shared" si="5"/>
        <v>20</v>
      </c>
      <c r="R39" s="456" t="str">
        <f t="shared" si="6"/>
        <v>--</v>
      </c>
      <c r="S39" s="457" t="str">
        <f t="shared" si="7"/>
        <v>--</v>
      </c>
      <c r="T39" s="458" t="str">
        <f t="shared" si="8"/>
        <v>--</v>
      </c>
      <c r="U39" s="459" t="str">
        <f t="shared" si="9"/>
        <v>--</v>
      </c>
      <c r="V39" s="460" t="str">
        <f t="shared" si="10"/>
        <v>--</v>
      </c>
      <c r="W39" s="461" t="str">
        <f t="shared" si="11"/>
        <v>--</v>
      </c>
      <c r="X39" s="462" t="str">
        <f t="shared" si="12"/>
        <v>--</v>
      </c>
      <c r="Y39" s="463" t="str">
        <f t="shared" si="13"/>
        <v>--</v>
      </c>
      <c r="Z39" s="464">
        <f t="shared" si="14"/>
      </c>
      <c r="AA39" s="465">
        <f t="shared" si="15"/>
        <v>0</v>
      </c>
      <c r="AB39" s="466">
        <f t="shared" si="16"/>
      </c>
      <c r="AC39" s="17"/>
    </row>
    <row r="40" spans="1:29" s="5" customFormat="1" ht="16.5" customHeight="1">
      <c r="A40" s="90"/>
      <c r="B40" s="95"/>
      <c r="C40" s="168"/>
      <c r="D40" s="162"/>
      <c r="E40" s="397"/>
      <c r="F40" s="382"/>
      <c r="G40" s="383"/>
      <c r="H40" s="449">
        <f t="shared" si="0"/>
        <v>0</v>
      </c>
      <c r="I40" s="169"/>
      <c r="J40" s="169"/>
      <c r="K40" s="450">
        <f t="shared" si="1"/>
      </c>
      <c r="L40" s="451">
        <f t="shared" si="2"/>
      </c>
      <c r="M40" s="170"/>
      <c r="N40" s="282">
        <f t="shared" si="3"/>
      </c>
      <c r="O40" s="453">
        <f t="shared" si="17"/>
      </c>
      <c r="P40" s="454">
        <f t="shared" si="4"/>
      </c>
      <c r="Q40" s="455">
        <f t="shared" si="5"/>
        <v>20</v>
      </c>
      <c r="R40" s="456" t="str">
        <f t="shared" si="6"/>
        <v>--</v>
      </c>
      <c r="S40" s="457" t="str">
        <f t="shared" si="7"/>
        <v>--</v>
      </c>
      <c r="T40" s="458" t="str">
        <f t="shared" si="8"/>
        <v>--</v>
      </c>
      <c r="U40" s="459" t="str">
        <f t="shared" si="9"/>
        <v>--</v>
      </c>
      <c r="V40" s="460" t="str">
        <f t="shared" si="10"/>
        <v>--</v>
      </c>
      <c r="W40" s="461" t="str">
        <f t="shared" si="11"/>
        <v>--</v>
      </c>
      <c r="X40" s="462" t="str">
        <f t="shared" si="12"/>
        <v>--</v>
      </c>
      <c r="Y40" s="463" t="str">
        <f t="shared" si="13"/>
        <v>--</v>
      </c>
      <c r="Z40" s="464">
        <f t="shared" si="14"/>
      </c>
      <c r="AA40" s="465">
        <f t="shared" si="15"/>
        <v>0</v>
      </c>
      <c r="AB40" s="466">
        <f t="shared" si="16"/>
      </c>
      <c r="AC40" s="17"/>
    </row>
    <row r="41" spans="1:29" s="5" customFormat="1" ht="16.5" customHeight="1">
      <c r="A41" s="90"/>
      <c r="B41" s="95"/>
      <c r="C41" s="367"/>
      <c r="D41" s="162"/>
      <c r="E41" s="397"/>
      <c r="F41" s="382"/>
      <c r="G41" s="383"/>
      <c r="H41" s="449">
        <f t="shared" si="0"/>
        <v>0</v>
      </c>
      <c r="I41" s="169"/>
      <c r="J41" s="169"/>
      <c r="K41" s="450">
        <f t="shared" si="1"/>
      </c>
      <c r="L41" s="451">
        <f t="shared" si="2"/>
      </c>
      <c r="M41" s="170"/>
      <c r="N41" s="282">
        <f t="shared" si="3"/>
      </c>
      <c r="O41" s="453">
        <f t="shared" si="17"/>
      </c>
      <c r="P41" s="454">
        <f t="shared" si="4"/>
      </c>
      <c r="Q41" s="455">
        <f t="shared" si="5"/>
        <v>20</v>
      </c>
      <c r="R41" s="456" t="str">
        <f t="shared" si="6"/>
        <v>--</v>
      </c>
      <c r="S41" s="457" t="str">
        <f t="shared" si="7"/>
        <v>--</v>
      </c>
      <c r="T41" s="458" t="str">
        <f t="shared" si="8"/>
        <v>--</v>
      </c>
      <c r="U41" s="459" t="str">
        <f t="shared" si="9"/>
        <v>--</v>
      </c>
      <c r="V41" s="460" t="str">
        <f t="shared" si="10"/>
        <v>--</v>
      </c>
      <c r="W41" s="461" t="str">
        <f t="shared" si="11"/>
        <v>--</v>
      </c>
      <c r="X41" s="462" t="str">
        <f t="shared" si="12"/>
        <v>--</v>
      </c>
      <c r="Y41" s="463" t="str">
        <f t="shared" si="13"/>
        <v>--</v>
      </c>
      <c r="Z41" s="464">
        <f t="shared" si="14"/>
      </c>
      <c r="AA41" s="465">
        <f t="shared" si="15"/>
        <v>0</v>
      </c>
      <c r="AB41" s="466">
        <f t="shared" si="16"/>
      </c>
      <c r="AC41" s="17"/>
    </row>
    <row r="42" spans="1:29" s="5" customFormat="1" ht="16.5" customHeight="1" thickBot="1">
      <c r="A42" s="90"/>
      <c r="B42" s="95"/>
      <c r="C42" s="168"/>
      <c r="D42" s="398"/>
      <c r="E42" s="399"/>
      <c r="F42" s="398"/>
      <c r="G42" s="400"/>
      <c r="H42" s="139"/>
      <c r="I42" s="171"/>
      <c r="J42" s="401"/>
      <c r="K42" s="402"/>
      <c r="L42" s="403"/>
      <c r="M42" s="177"/>
      <c r="N42" s="210"/>
      <c r="O42" s="175"/>
      <c r="P42" s="175"/>
      <c r="Q42" s="467"/>
      <c r="R42" s="468"/>
      <c r="S42" s="469"/>
      <c r="T42" s="470"/>
      <c r="U42" s="471"/>
      <c r="V42" s="472"/>
      <c r="W42" s="473"/>
      <c r="X42" s="474"/>
      <c r="Y42" s="475"/>
      <c r="Z42" s="476"/>
      <c r="AA42" s="477"/>
      <c r="AB42" s="478"/>
      <c r="AC42" s="17"/>
    </row>
    <row r="43" spans="1:29" s="5" customFormat="1" ht="16.5" customHeight="1" thickBot="1" thickTop="1">
      <c r="A43" s="90"/>
      <c r="B43" s="95"/>
      <c r="C43" s="129" t="s">
        <v>25</v>
      </c>
      <c r="D43" s="130" t="s">
        <v>294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479"/>
      <c r="R43" s="414">
        <f aca="true" t="shared" si="18" ref="R43:Y43">SUM(R20:R42)</f>
        <v>430.71000000000004</v>
      </c>
      <c r="S43" s="415">
        <f t="shared" si="18"/>
        <v>0</v>
      </c>
      <c r="T43" s="416">
        <f t="shared" si="18"/>
        <v>0</v>
      </c>
      <c r="U43" s="417">
        <f t="shared" si="18"/>
        <v>690.9</v>
      </c>
      <c r="V43" s="418">
        <f t="shared" si="18"/>
        <v>0</v>
      </c>
      <c r="W43" s="419">
        <f t="shared" si="18"/>
        <v>0</v>
      </c>
      <c r="X43" s="480">
        <f t="shared" si="18"/>
        <v>0</v>
      </c>
      <c r="Y43" s="481">
        <f t="shared" si="18"/>
        <v>0</v>
      </c>
      <c r="Z43" s="90"/>
      <c r="AA43" s="482">
        <f>ROUND(SUM(AA20:AA42),2)</f>
        <v>1121.61</v>
      </c>
      <c r="AB43" s="422">
        <f>ROUND(SUM(AB20:AB42),2)</f>
        <v>1121.61</v>
      </c>
      <c r="AC43" s="17"/>
    </row>
    <row r="44" spans="1:29" s="135" customFormat="1" ht="13.5" thickTop="1">
      <c r="A44" s="423"/>
      <c r="B44" s="424"/>
      <c r="C44" s="131"/>
      <c r="D44" s="132" t="s">
        <v>287</v>
      </c>
      <c r="E44" s="425"/>
      <c r="F44" s="425"/>
      <c r="G44" s="425"/>
      <c r="H44" s="425"/>
      <c r="I44" s="425"/>
      <c r="J44" s="426"/>
      <c r="K44" s="425"/>
      <c r="L44" s="425"/>
      <c r="M44" s="425"/>
      <c r="N44" s="425"/>
      <c r="O44" s="425"/>
      <c r="P44" s="425"/>
      <c r="Q44" s="479"/>
      <c r="R44" s="427"/>
      <c r="S44" s="427"/>
      <c r="T44" s="427"/>
      <c r="U44" s="427"/>
      <c r="V44" s="427"/>
      <c r="W44" s="427"/>
      <c r="X44" s="427"/>
      <c r="Y44" s="427"/>
      <c r="Z44" s="423"/>
      <c r="AA44" s="428"/>
      <c r="AB44" s="428"/>
      <c r="AC44" s="136"/>
    </row>
    <row r="45" spans="1:29" s="5" customFormat="1" ht="16.5" customHeight="1" thickBot="1">
      <c r="A45" s="90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</row>
    <row r="46" spans="1:30" ht="16.5" customHeight="1" thickTop="1">
      <c r="A46" s="2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</row>
    <row r="47" spans="1:30" ht="16.5" customHeight="1">
      <c r="A47" s="2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</row>
    <row r="48" spans="1:30" ht="16.5" customHeight="1">
      <c r="A48" s="2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</row>
    <row r="49" spans="1:30" ht="16.5" customHeight="1">
      <c r="A49" s="2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</row>
    <row r="50" spans="4:30" ht="16.5" customHeight="1"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</row>
    <row r="51" spans="4:30" ht="16.5" customHeight="1"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</row>
    <row r="52" spans="4:30" ht="16.5" customHeight="1"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</row>
    <row r="53" spans="4:30" ht="16.5" customHeight="1"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</row>
    <row r="54" spans="4:30" ht="16.5" customHeight="1"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</row>
    <row r="55" spans="4:30" ht="16.5" customHeight="1"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</row>
    <row r="56" spans="4:30" ht="16.5" customHeight="1"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</row>
    <row r="57" spans="4:30" ht="16.5" customHeight="1"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</row>
    <row r="58" spans="4:30" ht="16.5" customHeight="1"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</row>
    <row r="59" spans="4:30" ht="16.5" customHeight="1"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</row>
    <row r="60" spans="4:30" ht="16.5" customHeight="1"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</row>
    <row r="61" spans="4:30" ht="16.5" customHeight="1"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</row>
    <row r="62" spans="4:30" ht="16.5" customHeight="1"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</row>
    <row r="63" spans="4:30" ht="16.5" customHeight="1"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</row>
    <row r="64" spans="4:30" ht="16.5" customHeight="1"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</row>
    <row r="65" spans="4:30" ht="16.5" customHeight="1"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</row>
    <row r="66" spans="4:30" ht="16.5" customHeight="1"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</row>
    <row r="67" spans="4:30" ht="16.5" customHeight="1"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</row>
    <row r="68" spans="4:30" ht="16.5" customHeight="1"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</row>
    <row r="69" spans="4:30" ht="16.5" customHeight="1"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</row>
    <row r="70" spans="4:30" ht="16.5" customHeight="1"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</row>
    <row r="71" spans="4:30" ht="16.5" customHeight="1"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</row>
    <row r="72" spans="4:30" ht="16.5" customHeight="1"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</row>
    <row r="73" spans="4:30" ht="16.5" customHeight="1"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</row>
    <row r="74" spans="4:30" ht="16.5" customHeight="1"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</row>
    <row r="75" spans="4:30" ht="16.5" customHeight="1"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</row>
    <row r="76" spans="4:30" ht="16.5" customHeight="1"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</row>
    <row r="77" spans="4:30" ht="16.5" customHeight="1"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</row>
    <row r="78" spans="4:30" ht="16.5" customHeight="1"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</row>
    <row r="79" spans="4:30" ht="16.5" customHeight="1"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</row>
    <row r="80" spans="4:30" ht="16.5" customHeight="1"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</row>
    <row r="81" spans="4:30" ht="16.5" customHeight="1"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</row>
    <row r="82" spans="4:30" ht="16.5" customHeight="1"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</row>
    <row r="83" spans="4:30" ht="16.5" customHeight="1"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</row>
    <row r="84" spans="4:30" ht="16.5" customHeight="1"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</row>
    <row r="85" spans="4:30" ht="16.5" customHeight="1"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</row>
    <row r="86" spans="4:30" ht="16.5" customHeight="1"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</row>
    <row r="87" spans="4:30" ht="16.5" customHeight="1"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</row>
    <row r="88" spans="4:30" ht="16.5" customHeight="1"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</row>
    <row r="89" spans="4:30" ht="16.5" customHeight="1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</row>
    <row r="90" spans="4:30" ht="16.5" customHeight="1"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</row>
    <row r="91" spans="4:30" ht="16.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</row>
    <row r="92" spans="4:30" ht="16.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</row>
    <row r="93" spans="4:30" ht="16.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</row>
    <row r="94" spans="4:30" ht="16.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</row>
    <row r="95" spans="4:30" ht="16.5" customHeight="1"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</row>
    <row r="96" spans="4:30" ht="16.5" customHeight="1"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</row>
    <row r="97" spans="4:30" ht="16.5" customHeight="1"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</row>
    <row r="98" spans="4:30" ht="16.5" customHeight="1"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</row>
    <row r="99" spans="4:30" ht="16.5" customHeight="1"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</row>
    <row r="100" spans="4:30" ht="16.5" customHeight="1"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</row>
    <row r="101" spans="4:30" ht="16.5" customHeight="1"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</row>
    <row r="102" spans="4:30" ht="16.5" customHeight="1"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</row>
    <row r="103" spans="4:30" ht="16.5" customHeight="1"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</row>
    <row r="104" spans="4:30" ht="16.5" customHeight="1"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</row>
    <row r="105" spans="4:30" ht="16.5" customHeight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</row>
    <row r="106" spans="4:30" ht="16.5" customHeight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</row>
    <row r="107" spans="4:30" ht="16.5" customHeight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</row>
    <row r="108" spans="4:30" ht="16.5" customHeight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</row>
    <row r="109" spans="4:30" ht="16.5" customHeight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</row>
    <row r="110" spans="4:30" ht="16.5" customHeight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</row>
    <row r="111" spans="4:30" ht="16.5" customHeight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</row>
    <row r="112" spans="4:30" ht="16.5" customHeight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</row>
    <row r="113" spans="4:30" ht="16.5" customHeight="1"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</row>
    <row r="114" spans="4:30" ht="16.5" customHeight="1"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</row>
    <row r="115" spans="4:30" ht="16.5" customHeight="1"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</row>
    <row r="116" spans="4:30" ht="16.5" customHeight="1"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</row>
    <row r="117" spans="4:30" ht="16.5" customHeight="1"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</row>
    <row r="118" spans="4:30" ht="16.5" customHeight="1"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</row>
    <row r="119" spans="4:30" ht="16.5" customHeight="1"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</row>
    <row r="120" spans="4:30" ht="16.5" customHeight="1"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</row>
    <row r="121" spans="4:30" ht="16.5" customHeight="1"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</row>
    <row r="122" spans="4:30" ht="16.5" customHeight="1"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</row>
    <row r="123" spans="4:30" ht="16.5" customHeight="1"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</row>
    <row r="124" spans="4:30" ht="16.5" customHeight="1"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</row>
    <row r="125" spans="4:30" ht="16.5" customHeight="1"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</row>
    <row r="126" spans="4:30" ht="16.5" customHeight="1"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</row>
    <row r="127" spans="4:30" ht="16.5" customHeight="1"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</row>
    <row r="128" spans="4:30" ht="16.5" customHeight="1"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</row>
    <row r="129" spans="4:30" ht="16.5" customHeight="1"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</row>
    <row r="130" spans="4:30" ht="16.5" customHeight="1"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</row>
    <row r="131" spans="4:30" ht="16.5" customHeight="1"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</row>
    <row r="132" spans="4:30" ht="16.5" customHeight="1"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</row>
    <row r="133" spans="4:30" ht="16.5" customHeight="1"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</row>
    <row r="134" spans="4:30" ht="16.5" customHeight="1"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</row>
    <row r="135" spans="4:30" ht="16.5" customHeight="1"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</row>
    <row r="136" spans="4:30" ht="16.5" customHeight="1"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</row>
    <row r="137" spans="4:30" ht="16.5" customHeight="1"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</row>
    <row r="138" spans="4:30" ht="16.5" customHeight="1"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</row>
    <row r="139" spans="4:30" ht="16.5" customHeight="1"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</row>
    <row r="140" spans="4:30" ht="16.5" customHeight="1"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</row>
    <row r="141" spans="4:30" ht="16.5" customHeight="1"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</row>
    <row r="142" spans="4:30" ht="16.5" customHeight="1"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</row>
    <row r="143" spans="4:30" ht="16.5" customHeight="1"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</row>
    <row r="144" spans="4:30" ht="16.5" customHeight="1"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</row>
    <row r="145" spans="4:30" ht="16.5" customHeight="1"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</row>
    <row r="146" spans="4:30" ht="16.5" customHeight="1"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</row>
    <row r="147" spans="4:30" ht="16.5" customHeight="1"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</row>
    <row r="148" spans="4:30" ht="16.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</row>
    <row r="149" spans="4:30" ht="16.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</row>
    <row r="150" spans="4:30" ht="16.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</row>
    <row r="151" spans="4:30" ht="16.5" customHeight="1"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</row>
    <row r="152" spans="4:30" ht="16.5" customHeight="1"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</row>
    <row r="153" spans="4:30" ht="16.5" customHeight="1"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</row>
    <row r="154" ht="16.5" customHeight="1">
      <c r="AD154" s="191"/>
    </row>
    <row r="155" ht="16.5" customHeight="1">
      <c r="AD155" s="191"/>
    </row>
    <row r="156" ht="16.5" customHeight="1">
      <c r="AD156" s="191"/>
    </row>
    <row r="157" ht="16.5" customHeight="1">
      <c r="AD157" s="191"/>
    </row>
    <row r="158" ht="16.5" customHeight="1"/>
    <row r="159" ht="16.5" customHeight="1"/>
    <row r="160" ht="16.5" customHeight="1"/>
  </sheetData>
  <mergeCells count="1">
    <mergeCell ref="L14:P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2009-12-09T15:41:21Z</cp:lastPrinted>
  <dcterms:created xsi:type="dcterms:W3CDTF">1998-04-21T14:04:37Z</dcterms:created>
  <dcterms:modified xsi:type="dcterms:W3CDTF">2009-12-18T20:00:40Z</dcterms:modified>
  <cp:category/>
  <cp:version/>
  <cp:contentType/>
  <cp:contentStatus/>
</cp:coreProperties>
</file>