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894" activeTab="0"/>
  </bookViews>
  <sheets>
    <sheet name="TOT-0514" sheetId="1" r:id="rId1"/>
    <sheet name="LI-05 (1)" sheetId="2" r:id="rId2"/>
    <sheet name="LI-TRANSPORTEL PATAG. (1)" sheetId="3" r:id="rId3"/>
    <sheet name="TR-05 (1)" sheetId="4" r:id="rId4"/>
    <sheet name="TR-TRANSPORTEL PATAG. (1)" sheetId="5" r:id="rId5"/>
    <sheet name="SA-05 (2)" sheetId="6" r:id="rId6"/>
    <sheet name="SA-EDERSA-05 (1)" sheetId="7" r:id="rId7"/>
    <sheet name="RE-05 (1)" sheetId="8" r:id="rId8"/>
    <sheet name="SUP-EDERSA" sheetId="9" r:id="rId9"/>
    <sheet name="SUP-TRANSPORTEL PATAG. S.A." sheetId="10" r:id="rId10"/>
    <sheet name="TASA FALLA" sheetId="11" r:id="rId11"/>
  </sheets>
  <externalReferences>
    <externalReference r:id="rId14"/>
    <externalReference r:id="rId15"/>
  </externalReferences>
  <definedNames>
    <definedName name="_xlnm.Print_Area" localSheetId="10">'TASA FALLA'!$A$1:$T$74</definedName>
    <definedName name="DD" localSheetId="10">'TASA FALLA'!DD</definedName>
    <definedName name="DD">[0]!DD</definedName>
    <definedName name="DDD" localSheetId="10">'TASA FALLA'!DDD</definedName>
    <definedName name="DDD">[0]!DDD</definedName>
    <definedName name="DISTROCUYO" localSheetId="10">'TASA FALLA'!DISTROCUYO</definedName>
    <definedName name="DISTROCUYO">[0]!DISTROCUYO</definedName>
    <definedName name="INICIO" localSheetId="10">'TASA FALLA'!INICIO</definedName>
    <definedName name="INICIO">[0]!INICIO</definedName>
    <definedName name="INICIOTI" localSheetId="10">'TASA FALLA'!INICIOTI</definedName>
    <definedName name="INICIOTI">[0]!INICIOTI</definedName>
    <definedName name="LINEAS" localSheetId="10">'TASA FALLA'!LINEAS</definedName>
    <definedName name="LINEAS">[0]!LINEAS</definedName>
    <definedName name="NAME_L" localSheetId="10">'TASA FALLA'!NAME_L</definedName>
    <definedName name="NAME_L">[0]!NAME_L</definedName>
    <definedName name="NAME_L_TI" localSheetId="10">'TASA FALLA'!NAME_L_TI</definedName>
    <definedName name="NAME_L_TI">[0]!NAME_L_TI</definedName>
    <definedName name="TRAN" localSheetId="10">'TASA FALLA'!TRAN</definedName>
    <definedName name="TRAN">[0]!TRAN</definedName>
    <definedName name="TRANSNOA" localSheetId="10">'TASA FALLA'!TRANSNOA</definedName>
    <definedName name="TRANSNOA">[0]!TRANSNOA</definedName>
    <definedName name="x" localSheetId="10">'TASA FALLA'!x</definedName>
    <definedName name="x">[0]!x</definedName>
    <definedName name="XX" localSheetId="10">'TASA FALLA'!XX</definedName>
    <definedName name="XX">[0]!XX</definedName>
  </definedNames>
  <calcPr fullCalcOnLoad="1"/>
</workbook>
</file>

<file path=xl/comments10.xml><?xml version="1.0" encoding="utf-8"?>
<comments xmlns="http://schemas.openxmlformats.org/spreadsheetml/2006/main">
  <authors>
    <author>pleoni</author>
  </authors>
  <commentList>
    <comment ref="I2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VALOR CALCULADO CON EL VALOR DE CARGO POR TRAFO =$ 0,975</t>
        </r>
      </text>
    </comment>
    <comment ref="I42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pleoni:
VALOR CALCULADO CON LOS VALORES DEL TI
</t>
        </r>
      </text>
    </comment>
  </commentList>
</comments>
</file>

<file path=xl/comments6.xml><?xml version="1.0" encoding="utf-8"?>
<comments xmlns="http://schemas.openxmlformats.org/spreadsheetml/2006/main">
  <authors>
    <author>jmessina</author>
  </authors>
  <commentList>
    <comment ref="G16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7,577 
hasta 01/07/2008 RES330</t>
        </r>
      </text>
    </comment>
    <comment ref="G17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3,030 hasta 01/07/2008 RES330</t>
        </r>
      </text>
    </comment>
    <comment ref="G18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2,274 hasta 01/07/2008 RES330</t>
        </r>
      </text>
    </comment>
    <comment ref="G19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2,274 hasta 01/07/2008 RES330</t>
        </r>
      </text>
    </comment>
  </commentList>
</comments>
</file>

<file path=xl/comments7.xml><?xml version="1.0" encoding="utf-8"?>
<comments xmlns="http://schemas.openxmlformats.org/spreadsheetml/2006/main">
  <authors>
    <author>jmessina</author>
  </authors>
  <commentList>
    <comment ref="G16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3,030 hasta 01/07/2008 RES330</t>
        </r>
      </text>
    </comment>
    <comment ref="G17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2,274 hasta 01/07/2008 RES330</t>
        </r>
      </text>
    </comment>
    <comment ref="G18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2,274 hasta 01/07/2008 RES330</t>
        </r>
      </text>
    </comment>
  </commentList>
</comments>
</file>

<file path=xl/comments9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<sst xmlns="http://schemas.openxmlformats.org/spreadsheetml/2006/main" count="455" uniqueCount="196">
  <si>
    <t>SISTEMA DE TRANSPORTE DE ENERGÍA ELÉCTRICA POR DISTRIBUCIÓN TRONCAL</t>
  </si>
  <si>
    <t>TRANSPA S.A.</t>
  </si>
  <si>
    <t>TOTAL</t>
  </si>
  <si>
    <t>SALIDAS</t>
  </si>
  <si>
    <t>PUNTA COLORADA - SIERRA GRANDE</t>
  </si>
  <si>
    <t>S.A. OESTE - SIERRA GRANDE</t>
  </si>
  <si>
    <t>S.A. OESTE - VIEDMA</t>
  </si>
  <si>
    <t>VIEDMA - CARMEN DE PATAGONES</t>
  </si>
  <si>
    <t>TRAFO 1</t>
  </si>
  <si>
    <t>PUNTA COLORADA</t>
  </si>
  <si>
    <t>SAN ANTONIO ESTE</t>
  </si>
  <si>
    <t>SAN ANTONIO OESTE</t>
  </si>
  <si>
    <t>SIERRA GRANDE</t>
  </si>
  <si>
    <t>VIEDMA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</si>
  <si>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</si>
  <si>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</si>
  <si>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</si>
  <si>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</si>
  <si>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</si>
  <si>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</si>
  <si>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</si>
  <si>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</si>
  <si>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1.2.-</t>
  </si>
  <si>
    <t>Transportista Independiente E.D.E.R.S.A.</t>
  </si>
  <si>
    <t>2.-</t>
  </si>
  <si>
    <t>CONEXIÓN</t>
  </si>
  <si>
    <t>2.1.-</t>
  </si>
  <si>
    <t>Transformación</t>
  </si>
  <si>
    <t>2.1.1.-</t>
  </si>
  <si>
    <t>2.1.2.-</t>
  </si>
  <si>
    <t>2.2.-</t>
  </si>
  <si>
    <t>Salidas</t>
  </si>
  <si>
    <t>2.2.1.-</t>
  </si>
  <si>
    <t>2.2.2.-</t>
  </si>
  <si>
    <t>3.-</t>
  </si>
  <si>
    <t>POTENCIA REACTIVA</t>
  </si>
  <si>
    <t>4.-</t>
  </si>
  <si>
    <t>SUPERVISIÓN</t>
  </si>
  <si>
    <t>4.1.-</t>
  </si>
  <si>
    <t>4.2.-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</si>
  <si>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</si>
  <si>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</si>
  <si>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</si>
  <si>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</si>
  <si>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</si>
  <si>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</si>
  <si>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</si>
  <si>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</si>
  <si>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</si>
  <si>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</si>
  <si>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</si>
  <si>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</si>
  <si>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</si>
  <si>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</si>
  <si>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</si>
  <si>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</si>
  <si>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</si>
  <si>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</si>
  <si>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</si>
  <si>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</si>
  <si>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</si>
  <si>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</si>
  <si>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</si>
  <si>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</si>
  <si>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</si>
  <si>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</si>
  <si>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</si>
  <si>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</si>
  <si>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</si>
  <si>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</si>
  <si>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</si>
  <si>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</si>
  <si>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</si>
  <si>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</si>
  <si>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</si>
  <si>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</si>
  <si>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</si>
  <si>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</si>
  <si>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</si>
  <si>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</si>
  <si>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</si>
  <si>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</si>
  <si>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>2.2.- Salidas</t>
  </si>
  <si>
    <t>2.2.1.- Equipamiento propio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</si>
  <si>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</si>
  <si>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</si>
  <si>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</si>
  <si>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</si>
  <si>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</si>
  <si>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t>3.- POTENCIA REACTIVA</t>
  </si>
  <si>
    <t>Por Transformador por cada MVA    $ =</t>
  </si>
  <si>
    <t>POT.
[MVAr]</t>
  </si>
  <si>
    <t>AUT</t>
  </si>
  <si>
    <t>K (P)</t>
  </si>
  <si>
    <t>PENALIZAC. FORZADA
Por Salida  hs. Restantes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</si>
  <si>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</si>
  <si>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</si>
  <si>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</si>
  <si>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</si>
  <si>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</si>
  <si>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</si>
  <si>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</si>
  <si>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</si>
  <si>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TRANSFORMACIÓN</t>
  </si>
  <si>
    <t>SEGÚN 2.2.2.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</si>
  <si>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</si>
  <si>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</si>
  <si>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</si>
  <si>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</si>
  <si>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</si>
  <si>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</si>
  <si>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Pot [MVA]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</si>
  <si>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</si>
  <si>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</si>
  <si>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</si>
  <si>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</si>
  <si>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</si>
  <si>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</si>
  <si>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</si>
  <si>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</si>
  <si>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</si>
  <si>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</si>
  <si>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</si>
  <si>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</si>
  <si>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</si>
  <si>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</si>
  <si>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</si>
  <si>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</si>
  <si>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</si>
  <si>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</si>
  <si>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</si>
  <si>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</si>
  <si>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</si>
  <si>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</si>
  <si>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</si>
  <si>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</si>
  <si>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4.1.- SUPERVISIÓN - Transportista Independiente E.D.E.R.S.A.</t>
  </si>
  <si>
    <t>2.2.2.- Transportista Independiente E.D.E.R.S.A.</t>
  </si>
  <si>
    <t>ID EQUIPO</t>
  </si>
  <si>
    <t>INDISP</t>
  </si>
  <si>
    <t xml:space="preserve">        DE LA ELECTRICIDAD</t>
  </si>
  <si>
    <t xml:space="preserve">              DE LA ELECTRICIDAD</t>
  </si>
  <si>
    <t xml:space="preserve">           ENTE NACIONAL REGULADOR </t>
  </si>
  <si>
    <t>Desde el 01 al 31 de mayo de 2014</t>
  </si>
  <si>
    <t>P</t>
  </si>
  <si>
    <t>SI</t>
  </si>
  <si>
    <t>0,000</t>
  </si>
  <si>
    <t>TRELEW - FLORENTINO AMEGHINO</t>
  </si>
  <si>
    <t>F</t>
  </si>
  <si>
    <t>TRELEW - P. ALUMINIO DGPA</t>
  </si>
  <si>
    <t>TRELEW .- RAWSON</t>
  </si>
  <si>
    <t>ESQUEL</t>
  </si>
  <si>
    <t>132/33/13,2</t>
  </si>
  <si>
    <t>BARRIO SAN MARTIN</t>
  </si>
  <si>
    <t>SALIDA TRAFO 4 COOP 16 DE OCTUBRE</t>
  </si>
  <si>
    <t>Capacitor 4</t>
  </si>
  <si>
    <t>Transp. Indep. TRANSPORTEL PATAG. S.A.</t>
  </si>
  <si>
    <t>4.2.- SUPERVISIÓN - Transportista Independiente TRANSPORTEL PATAG. S.A.</t>
  </si>
  <si>
    <t>ESPERANZA - RÍO TURBIO</t>
  </si>
  <si>
    <t>(DTE 0514)</t>
  </si>
  <si>
    <t>ESPERANZA - RÍO GALLEGOS</t>
  </si>
  <si>
    <t>RIO GALLEGOS</t>
  </si>
  <si>
    <t xml:space="preserve">$/100 km-h : LÍNEAS 220 kV </t>
  </si>
  <si>
    <t>SALIDA CD1</t>
  </si>
  <si>
    <t>SALIDA CD2</t>
  </si>
  <si>
    <t>SALIDA CD3</t>
  </si>
  <si>
    <t>SALIDA PALERMO AIKE</t>
  </si>
  <si>
    <t xml:space="preserve"> - </t>
  </si>
  <si>
    <t>S.A.OESTE</t>
  </si>
  <si>
    <t>SALIDA LINEA VALCHETA</t>
  </si>
  <si>
    <t>SALIDA ALIM. S.A.  OESTE</t>
  </si>
  <si>
    <t>SALIDA ALIM 6 VIEDMA 1</t>
  </si>
  <si>
    <t xml:space="preserve">$/100 km-h : LINEAS 220 kV </t>
  </si>
  <si>
    <t>1.2.- Equipamiento del T.I. TRANSPORTEL PATAG. S.A.</t>
  </si>
  <si>
    <t>ESPERANZA - RIO GALLEGOS</t>
  </si>
  <si>
    <t>220/33/13,2</t>
  </si>
  <si>
    <t>NO</t>
  </si>
  <si>
    <t>2.1.2.- Equipamiento del T.I. TRANSPORTEL PATAG. S.A.</t>
  </si>
  <si>
    <t>TOTAL A PENALIZAR A TRANSPA S.A. POR SUPERVISIÓN A  SU T.I.</t>
  </si>
  <si>
    <t>RM  * =</t>
  </si>
  <si>
    <r>
      <rPr>
        <b/>
        <sz val="11"/>
        <rFont val="Times New Roman"/>
        <family val="1"/>
      </rPr>
      <t>RM *</t>
    </r>
    <r>
      <rPr>
        <sz val="11"/>
        <rFont val="Times New Roman"/>
        <family val="1"/>
      </rPr>
      <t xml:space="preserve"> = VALOR EMPLEADO PARA CALCULAR </t>
    </r>
    <r>
      <rPr>
        <b/>
        <sz val="11"/>
        <rFont val="Times New Roman"/>
        <family val="1"/>
      </rPr>
      <t>CS</t>
    </r>
  </si>
  <si>
    <t>P - PROGRAMADA  ; F - FORZADA</t>
  </si>
  <si>
    <t>P - PROGRAMADA</t>
  </si>
  <si>
    <t>TOTAL DE PENALIZACIONES A APLICAR</t>
  </si>
  <si>
    <t xml:space="preserve">SISTEMA DE TRANSPORTE DE ENERGÍA ELÉCTRICA POR DISTRIBUCIÓN TRONCAL </t>
  </si>
  <si>
    <t>INDISPONIBILIDADES FORZADAS DE LÍNEAS - TASA DE FALLA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</si>
  <si>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</si>
  <si>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</si>
  <si>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</si>
  <si>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</si>
  <si>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</si>
  <si>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TASA DE FALLA</t>
  </si>
  <si>
    <t>SALIDAS x AÑO / 100 km</t>
  </si>
  <si>
    <t>Tasa de falla correspondiente al mes de mayo de 2014</t>
  </si>
  <si>
    <t>Valores remuneratorios  de acuerdo al Acuerdo Instrumental del Acta Acuerdo -  Res. ENRE N° 645/08 - Nota ENRE Nº 112183</t>
  </si>
  <si>
    <t>ANEXO V al Memorándum  D.T.E.E.  N°       34    / 2014.-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</si>
</sst>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dd/mm/yy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#,##0.000000_ ;\-#,##0.000000\ "/>
    <numFmt numFmtId="227" formatCode="[$-2C0A]hh:mm:ss\ \a\.m\./\p\.m\."/>
  </numFmts>
  <fonts count="1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0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0"/>
    </font>
    <font>
      <b/>
      <u val="single"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0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0"/>
    </font>
    <font>
      <sz val="10"/>
      <color indexed="9"/>
      <name val="Times New Roman"/>
      <family val="1"/>
    </font>
    <font>
      <b/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Times New Roman"/>
      <family val="0"/>
    </font>
    <font>
      <b/>
      <sz val="10"/>
      <color indexed="48"/>
      <name val="MS Sans Serif"/>
      <family val="0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b/>
      <sz val="15"/>
      <color indexed="62"/>
      <name val="Calibri"/>
      <family val="2"/>
    </font>
    <font>
      <sz val="8"/>
      <name val="MS Sans Serif"/>
      <family val="0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b/>
      <u val="single"/>
      <sz val="12"/>
      <name val="Arial"/>
      <family val="0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0625">
        <fgColor indexed="8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0" applyNumberFormat="0" applyBorder="0" applyAlignment="0" applyProtection="0"/>
    <xf numFmtId="0" fontId="100" fillId="21" borderId="1" applyNumberFormat="0" applyAlignment="0" applyProtection="0"/>
    <xf numFmtId="0" fontId="101" fillId="22" borderId="2" applyNumberFormat="0" applyAlignment="0" applyProtection="0"/>
    <xf numFmtId="0" fontId="102" fillId="0" borderId="3" applyNumberFormat="0" applyFill="0" applyAlignment="0" applyProtection="0"/>
    <xf numFmtId="0" fontId="72" fillId="0" borderId="4" applyNumberFormat="0" applyFill="0" applyAlignment="0" applyProtection="0"/>
    <xf numFmtId="0" fontId="103" fillId="0" borderId="0" applyNumberFormat="0" applyFill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104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5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7" fillId="21" borderId="6" applyNumberForma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7" applyNumberFormat="0" applyFill="0" applyAlignment="0" applyProtection="0"/>
    <xf numFmtId="0" fontId="112" fillId="0" borderId="8" applyNumberFormat="0" applyFill="0" applyAlignment="0" applyProtection="0"/>
    <xf numFmtId="0" fontId="103" fillId="0" borderId="9" applyNumberFormat="0" applyFill="0" applyAlignment="0" applyProtection="0"/>
    <xf numFmtId="0" fontId="113" fillId="0" borderId="10" applyNumberFormat="0" applyFill="0" applyAlignment="0" applyProtection="0"/>
  </cellStyleXfs>
  <cellXfs count="7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72" fontId="9" fillId="0" borderId="13" xfId="0" applyNumberFormat="1" applyFont="1" applyFill="1" applyBorder="1" applyAlignment="1" applyProtection="1">
      <alignment horizontal="center"/>
      <protection/>
    </xf>
    <xf numFmtId="2" fontId="7" fillId="0" borderId="13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68" fontId="7" fillId="0" borderId="1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68" fontId="7" fillId="0" borderId="13" xfId="0" applyNumberFormat="1" applyFont="1" applyFill="1" applyBorder="1" applyAlignment="1" applyProtection="1">
      <alignment horizontal="center"/>
      <protection/>
    </xf>
    <xf numFmtId="2" fontId="7" fillId="0" borderId="13" xfId="0" applyNumberFormat="1" applyFont="1" applyFill="1" applyBorder="1" applyAlignment="1" applyProtection="1">
      <alignment horizontal="center"/>
      <protection/>
    </xf>
    <xf numFmtId="3" fontId="7" fillId="0" borderId="13" xfId="0" applyNumberFormat="1" applyFont="1" applyFill="1" applyBorder="1" applyAlignment="1" applyProtection="1">
      <alignment horizontal="center"/>
      <protection/>
    </xf>
    <xf numFmtId="168" fontId="7" fillId="0" borderId="16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15" xfId="0" applyFont="1" applyFill="1" applyBorder="1" applyAlignment="1" applyProtection="1">
      <alignment horizontal="center"/>
      <protection/>
    </xf>
    <xf numFmtId="22" fontId="7" fillId="0" borderId="17" xfId="0" applyNumberFormat="1" applyFont="1" applyFill="1" applyBorder="1" applyAlignment="1">
      <alignment horizontal="center"/>
    </xf>
    <xf numFmtId="22" fontId="7" fillId="0" borderId="18" xfId="0" applyNumberFormat="1" applyFont="1" applyFill="1" applyBorder="1" applyAlignment="1" applyProtection="1">
      <alignment horizontal="center"/>
      <protection/>
    </xf>
    <xf numFmtId="2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1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7" fontId="7" fillId="0" borderId="27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7" fillId="0" borderId="13" xfId="0" applyNumberFormat="1" applyFont="1" applyFill="1" applyBorder="1" applyAlignment="1" applyProtection="1" quotePrefix="1">
      <alignment horizontal="center"/>
      <protection/>
    </xf>
    <xf numFmtId="168" fontId="10" fillId="0" borderId="13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17" xfId="0" applyFont="1" applyBorder="1" applyAlignment="1">
      <alignment horizontal="center"/>
    </xf>
    <xf numFmtId="0" fontId="13" fillId="0" borderId="28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168" fontId="7" fillId="0" borderId="17" xfId="0" applyNumberFormat="1" applyFont="1" applyBorder="1" applyAlignment="1" applyProtection="1">
      <alignment horizontal="center"/>
      <protection/>
    </xf>
    <xf numFmtId="22" fontId="7" fillId="0" borderId="29" xfId="0" applyNumberFormat="1" applyFont="1" applyBorder="1" applyAlignment="1">
      <alignment horizontal="center"/>
    </xf>
    <xf numFmtId="22" fontId="7" fillId="0" borderId="2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Fill="1" applyBorder="1" applyAlignment="1" applyProtection="1" quotePrefix="1">
      <alignment horizontal="center"/>
      <protection/>
    </xf>
    <xf numFmtId="164" fontId="7" fillId="0" borderId="17" xfId="0" applyNumberFormat="1" applyFont="1" applyFill="1" applyBorder="1" applyAlignment="1" applyProtection="1" quotePrefix="1">
      <alignment horizontal="center"/>
      <protection/>
    </xf>
    <xf numFmtId="168" fontId="7" fillId="0" borderId="30" xfId="0" applyNumberFormat="1" applyFont="1" applyBorder="1" applyAlignment="1" applyProtection="1">
      <alignment horizontal="center"/>
      <protection/>
    </xf>
    <xf numFmtId="2" fontId="7" fillId="0" borderId="13" xfId="0" applyNumberFormat="1" applyFont="1" applyFill="1" applyBorder="1" applyAlignment="1" applyProtection="1" quotePrefix="1">
      <alignment horizontal="center"/>
      <protection/>
    </xf>
    <xf numFmtId="4" fontId="18" fillId="0" borderId="13" xfId="0" applyNumberFormat="1" applyFont="1" applyFill="1" applyBorder="1" applyAlignment="1">
      <alignment horizontal="right"/>
    </xf>
    <xf numFmtId="168" fontId="7" fillId="0" borderId="31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1" xfId="0" applyFont="1" applyBorder="1" applyAlignment="1" applyProtection="1">
      <alignment horizontal="centerContinuous"/>
      <protection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32" xfId="0" applyFont="1" applyBorder="1" applyAlignment="1">
      <alignment horizontal="center" vertical="center"/>
    </xf>
    <xf numFmtId="0" fontId="26" fillId="0" borderId="32" xfId="0" applyFont="1" applyBorder="1" applyAlignment="1" applyProtection="1">
      <alignment horizontal="center" vertical="center"/>
      <protection/>
    </xf>
    <xf numFmtId="0" fontId="26" fillId="0" borderId="32" xfId="0" applyFont="1" applyBorder="1" applyAlignment="1" applyProtection="1">
      <alignment horizontal="center" vertical="center" wrapText="1"/>
      <protection/>
    </xf>
    <xf numFmtId="0" fontId="26" fillId="0" borderId="33" xfId="0" applyFont="1" applyBorder="1" applyAlignment="1" applyProtection="1">
      <alignment horizontal="center" vertical="center" wrapText="1"/>
      <protection/>
    </xf>
    <xf numFmtId="0" fontId="26" fillId="0" borderId="34" xfId="0" applyFont="1" applyBorder="1" applyAlignment="1" applyProtection="1">
      <alignment horizontal="center" vertical="center" wrapText="1"/>
      <protection/>
    </xf>
    <xf numFmtId="0" fontId="26" fillId="0" borderId="32" xfId="0" applyFont="1" applyBorder="1" applyAlignment="1">
      <alignment horizontal="center" vertical="center" wrapText="1"/>
    </xf>
    <xf numFmtId="0" fontId="26" fillId="0" borderId="12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12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2" fillId="0" borderId="0" xfId="0" applyFont="1" applyAlignment="1">
      <alignment horizontal="centerContinuous"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3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3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12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34" xfId="0" applyFont="1" applyBorder="1" applyAlignment="1">
      <alignment horizontal="center"/>
    </xf>
    <xf numFmtId="7" fontId="8" fillId="0" borderId="35" xfId="0" applyNumberFormat="1" applyFont="1" applyBorder="1" applyAlignment="1">
      <alignment horizontal="center"/>
    </xf>
    <xf numFmtId="0" fontId="20" fillId="0" borderId="22" xfId="0" applyFont="1" applyBorder="1" applyAlignment="1">
      <alignment/>
    </xf>
    <xf numFmtId="0" fontId="20" fillId="0" borderId="23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16" fillId="0" borderId="12" xfId="0" applyFont="1" applyBorder="1" applyAlignment="1">
      <alignment horizontal="centerContinuous"/>
    </xf>
    <xf numFmtId="0" fontId="36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164" fontId="16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centerContinuous"/>
    </xf>
    <xf numFmtId="0" fontId="0" fillId="0" borderId="34" xfId="0" applyFont="1" applyFill="1" applyBorder="1" applyAlignment="1" applyProtection="1">
      <alignment horizontal="left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 quotePrefix="1">
      <alignment horizontal="left"/>
      <protection/>
    </xf>
    <xf numFmtId="0" fontId="0" fillId="0" borderId="33" xfId="0" applyFont="1" applyFill="1" applyBorder="1" applyAlignment="1" applyProtection="1">
      <alignment horizontal="center"/>
      <protection/>
    </xf>
    <xf numFmtId="164" fontId="0" fillId="0" borderId="32" xfId="0" applyNumberFormat="1" applyFont="1" applyFill="1" applyBorder="1" applyAlignment="1" applyProtection="1">
      <alignment horizontal="center"/>
      <protection/>
    </xf>
    <xf numFmtId="0" fontId="26" fillId="0" borderId="32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 quotePrefix="1">
      <alignment horizontal="center" vertical="center" wrapText="1"/>
      <protection/>
    </xf>
    <xf numFmtId="0" fontId="26" fillId="0" borderId="32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 applyProtection="1" quotePrefix="1">
      <alignment horizontal="center" vertical="center"/>
      <protection/>
    </xf>
    <xf numFmtId="0" fontId="26" fillId="0" borderId="32" xfId="0" applyFont="1" applyFill="1" applyBorder="1" applyAlignment="1" applyProtection="1">
      <alignment horizontal="center" vertical="center" wrapText="1"/>
      <protection/>
    </xf>
    <xf numFmtId="0" fontId="26" fillId="0" borderId="34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0" fillId="0" borderId="34" xfId="0" applyFont="1" applyBorder="1" applyAlignment="1" applyProtection="1">
      <alignment horizontal="left"/>
      <protection/>
    </xf>
    <xf numFmtId="171" fontId="0" fillId="0" borderId="37" xfId="0" applyNumberFormat="1" applyFont="1" applyBorder="1" applyAlignment="1" applyProtection="1">
      <alignment horizontal="center"/>
      <protection/>
    </xf>
    <xf numFmtId="0" fontId="0" fillId="0" borderId="34" xfId="0" applyFont="1" applyBorder="1" applyAlignment="1">
      <alignment/>
    </xf>
    <xf numFmtId="171" fontId="25" fillId="0" borderId="37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1" fontId="0" fillId="0" borderId="14" xfId="0" applyNumberFormat="1" applyFont="1" applyBorder="1" applyAlignment="1">
      <alignment horizontal="center"/>
    </xf>
    <xf numFmtId="0" fontId="26" fillId="0" borderId="35" xfId="0" applyFont="1" applyFill="1" applyBorder="1" applyAlignment="1" applyProtection="1">
      <alignment horizontal="center" vertical="center"/>
      <protection/>
    </xf>
    <xf numFmtId="168" fontId="10" fillId="0" borderId="13" xfId="0" applyNumberFormat="1" applyFont="1" applyFill="1" applyBorder="1" applyAlignment="1">
      <alignment horizontal="center"/>
    </xf>
    <xf numFmtId="0" fontId="26" fillId="0" borderId="35" xfId="0" applyFont="1" applyFill="1" applyBorder="1" applyAlignment="1" applyProtection="1">
      <alignment horizontal="center" vertical="center" wrapText="1"/>
      <protection/>
    </xf>
    <xf numFmtId="0" fontId="26" fillId="0" borderId="3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Continuous"/>
    </xf>
    <xf numFmtId="2" fontId="7" fillId="0" borderId="38" xfId="0" applyNumberFormat="1" applyFont="1" applyFill="1" applyBorder="1" applyAlignment="1" applyProtection="1" quotePrefix="1">
      <alignment horizontal="center"/>
      <protection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36" xfId="0" applyFont="1" applyBorder="1" applyAlignment="1" applyProtection="1">
      <alignment horizontal="center"/>
      <protection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 applyProtection="1" quotePrefix="1">
      <alignment horizontal="left"/>
      <protection/>
    </xf>
    <xf numFmtId="0" fontId="0" fillId="0" borderId="33" xfId="0" applyFont="1" applyBorder="1" applyAlignment="1" applyProtection="1">
      <alignment horizontal="center"/>
      <protection/>
    </xf>
    <xf numFmtId="164" fontId="0" fillId="0" borderId="35" xfId="0" applyNumberFormat="1" applyFont="1" applyBorder="1" applyAlignment="1" applyProtection="1">
      <alignment horizontal="center"/>
      <protection/>
    </xf>
    <xf numFmtId="0" fontId="26" fillId="0" borderId="32" xfId="0" applyFont="1" applyBorder="1" applyAlignment="1" applyProtection="1" quotePrefix="1">
      <alignment horizontal="center" vertical="center" wrapText="1"/>
      <protection/>
    </xf>
    <xf numFmtId="0" fontId="27" fillId="0" borderId="32" xfId="0" applyFont="1" applyFill="1" applyBorder="1" applyAlignment="1">
      <alignment horizontal="center" vertical="center" wrapText="1"/>
    </xf>
    <xf numFmtId="168" fontId="18" fillId="0" borderId="17" xfId="0" applyNumberFormat="1" applyFont="1" applyFill="1" applyBorder="1" applyAlignment="1">
      <alignment horizontal="center"/>
    </xf>
    <xf numFmtId="168" fontId="18" fillId="0" borderId="27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34" xfId="0" applyFont="1" applyFill="1" applyBorder="1" applyAlignment="1">
      <alignment horizontal="center"/>
    </xf>
    <xf numFmtId="0" fontId="15" fillId="0" borderId="11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39" fillId="0" borderId="36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 vertical="top"/>
      <protection/>
    </xf>
    <xf numFmtId="0" fontId="42" fillId="0" borderId="0" xfId="0" applyFont="1" applyBorder="1" applyAlignment="1">
      <alignment/>
    </xf>
    <xf numFmtId="0" fontId="42" fillId="0" borderId="11" xfId="0" applyFont="1" applyBorder="1" applyAlignment="1">
      <alignment/>
    </xf>
    <xf numFmtId="0" fontId="39" fillId="0" borderId="0" xfId="0" applyFont="1" applyBorder="1" applyAlignment="1" applyProtection="1">
      <alignment horizontal="center"/>
      <protection/>
    </xf>
    <xf numFmtId="2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 quotePrefix="1">
      <alignment horizontal="center"/>
      <protection/>
    </xf>
    <xf numFmtId="2" fontId="43" fillId="0" borderId="0" xfId="0" applyNumberFormat="1" applyFont="1" applyBorder="1" applyAlignment="1">
      <alignment horizontal="center"/>
    </xf>
    <xf numFmtId="168" fontId="44" fillId="0" borderId="0" xfId="0" applyNumberFormat="1" applyFont="1" applyBorder="1" applyAlignment="1" applyProtection="1" quotePrefix="1">
      <alignment horizontal="center"/>
      <protection/>
    </xf>
    <xf numFmtId="4" fontId="44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right"/>
    </xf>
    <xf numFmtId="2" fontId="42" fillId="0" borderId="12" xfId="0" applyNumberFormat="1" applyFont="1" applyBorder="1" applyAlignment="1">
      <alignment horizontal="center"/>
    </xf>
    <xf numFmtId="0" fontId="42" fillId="0" borderId="0" xfId="0" applyFont="1" applyAlignment="1">
      <alignment/>
    </xf>
    <xf numFmtId="7" fontId="11" fillId="0" borderId="32" xfId="0" applyNumberFormat="1" applyFont="1" applyFill="1" applyBorder="1" applyAlignment="1">
      <alignment horizontal="right"/>
    </xf>
    <xf numFmtId="0" fontId="39" fillId="0" borderId="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7" fontId="39" fillId="0" borderId="0" xfId="0" applyNumberFormat="1" applyFont="1" applyFill="1" applyBorder="1" applyAlignment="1">
      <alignment horizontal="center"/>
    </xf>
    <xf numFmtId="7" fontId="45" fillId="0" borderId="0" xfId="0" applyNumberFormat="1" applyFont="1" applyFill="1" applyBorder="1" applyAlignment="1">
      <alignment horizontal="right"/>
    </xf>
    <xf numFmtId="0" fontId="39" fillId="0" borderId="12" xfId="0" applyFont="1" applyFill="1" applyBorder="1" applyAlignment="1">
      <alignment/>
    </xf>
    <xf numFmtId="0" fontId="39" fillId="0" borderId="12" xfId="0" applyFont="1" applyBorder="1" applyAlignment="1">
      <alignment/>
    </xf>
    <xf numFmtId="0" fontId="47" fillId="33" borderId="32" xfId="0" applyFont="1" applyFill="1" applyBorder="1" applyAlignment="1" applyProtection="1">
      <alignment horizontal="center" vertical="center"/>
      <protection/>
    </xf>
    <xf numFmtId="168" fontId="48" fillId="33" borderId="13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>
      <alignment/>
    </xf>
    <xf numFmtId="171" fontId="48" fillId="33" borderId="13" xfId="0" applyNumberFormat="1" applyFont="1" applyFill="1" applyBorder="1" applyAlignment="1" applyProtection="1">
      <alignment horizontal="center"/>
      <protection/>
    </xf>
    <xf numFmtId="0" fontId="51" fillId="0" borderId="0" xfId="0" applyFont="1" applyAlignment="1">
      <alignment/>
    </xf>
    <xf numFmtId="4" fontId="46" fillId="0" borderId="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12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53" fillId="34" borderId="32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/>
    </xf>
    <xf numFmtId="0" fontId="53" fillId="35" borderId="32" xfId="0" applyFont="1" applyFill="1" applyBorder="1" applyAlignment="1">
      <alignment horizontal="center" vertical="center" wrapText="1"/>
    </xf>
    <xf numFmtId="0" fontId="54" fillId="35" borderId="26" xfId="0" applyFont="1" applyFill="1" applyBorder="1" applyAlignment="1">
      <alignment/>
    </xf>
    <xf numFmtId="0" fontId="27" fillId="36" borderId="32" xfId="0" applyFont="1" applyFill="1" applyBorder="1" applyAlignment="1" applyProtection="1">
      <alignment horizontal="centerContinuous" vertical="center" wrapText="1"/>
      <protection/>
    </xf>
    <xf numFmtId="0" fontId="25" fillId="36" borderId="33" xfId="0" applyFont="1" applyFill="1" applyBorder="1" applyAlignment="1">
      <alignment horizontal="centerContinuous"/>
    </xf>
    <xf numFmtId="0" fontId="27" fillId="36" borderId="35" xfId="0" applyFont="1" applyFill="1" applyBorder="1" applyAlignment="1">
      <alignment horizontal="centerContinuous" vertical="center"/>
    </xf>
    <xf numFmtId="0" fontId="56" fillId="36" borderId="43" xfId="0" applyFont="1" applyFill="1" applyBorder="1" applyAlignment="1">
      <alignment horizontal="center"/>
    </xf>
    <xf numFmtId="0" fontId="56" fillId="36" borderId="44" xfId="0" applyFont="1" applyFill="1" applyBorder="1" applyAlignment="1">
      <alignment/>
    </xf>
    <xf numFmtId="0" fontId="56" fillId="36" borderId="45" xfId="0" applyFont="1" applyFill="1" applyBorder="1" applyAlignment="1">
      <alignment/>
    </xf>
    <xf numFmtId="0" fontId="0" fillId="0" borderId="26" xfId="0" applyFont="1" applyBorder="1" applyAlignment="1">
      <alignment/>
    </xf>
    <xf numFmtId="0" fontId="27" fillId="37" borderId="32" xfId="0" applyFont="1" applyFill="1" applyBorder="1" applyAlignment="1" applyProtection="1">
      <alignment horizontal="centerContinuous" vertical="center" wrapText="1"/>
      <protection/>
    </xf>
    <xf numFmtId="0" fontId="25" fillId="37" borderId="33" xfId="0" applyFont="1" applyFill="1" applyBorder="1" applyAlignment="1">
      <alignment horizontal="centerContinuous"/>
    </xf>
    <xf numFmtId="0" fontId="27" fillId="37" borderId="35" xfId="0" applyFont="1" applyFill="1" applyBorder="1" applyAlignment="1">
      <alignment horizontal="centerContinuous" vertical="center"/>
    </xf>
    <xf numFmtId="0" fontId="56" fillId="37" borderId="43" xfId="0" applyFont="1" applyFill="1" applyBorder="1" applyAlignment="1">
      <alignment horizontal="center"/>
    </xf>
    <xf numFmtId="0" fontId="56" fillId="37" borderId="44" xfId="0" applyFont="1" applyFill="1" applyBorder="1" applyAlignment="1">
      <alignment/>
    </xf>
    <xf numFmtId="0" fontId="56" fillId="37" borderId="45" xfId="0" applyFont="1" applyFill="1" applyBorder="1" applyAlignment="1">
      <alignment/>
    </xf>
    <xf numFmtId="0" fontId="27" fillId="36" borderId="32" xfId="0" applyFont="1" applyFill="1" applyBorder="1" applyAlignment="1">
      <alignment horizontal="center" vertical="center" wrapText="1"/>
    </xf>
    <xf numFmtId="0" fontId="27" fillId="38" borderId="32" xfId="0" applyFont="1" applyFill="1" applyBorder="1" applyAlignment="1">
      <alignment horizontal="center" vertical="center" wrapText="1"/>
    </xf>
    <xf numFmtId="0" fontId="56" fillId="38" borderId="26" xfId="0" applyFont="1" applyFill="1" applyBorder="1" applyAlignment="1">
      <alignment/>
    </xf>
    <xf numFmtId="0" fontId="53" fillId="39" borderId="32" xfId="0" applyFont="1" applyFill="1" applyBorder="1" applyAlignment="1">
      <alignment horizontal="center" vertical="center" wrapText="1"/>
    </xf>
    <xf numFmtId="0" fontId="54" fillId="39" borderId="26" xfId="0" applyFont="1" applyFill="1" applyBorder="1" applyAlignment="1">
      <alignment/>
    </xf>
    <xf numFmtId="2" fontId="52" fillId="34" borderId="32" xfId="0" applyNumberFormat="1" applyFont="1" applyFill="1" applyBorder="1" applyAlignment="1">
      <alignment horizontal="center"/>
    </xf>
    <xf numFmtId="2" fontId="52" fillId="35" borderId="32" xfId="0" applyNumberFormat="1" applyFont="1" applyFill="1" applyBorder="1" applyAlignment="1">
      <alignment horizontal="center"/>
    </xf>
    <xf numFmtId="168" fontId="57" fillId="36" borderId="32" xfId="0" applyNumberFormat="1" applyFont="1" applyFill="1" applyBorder="1" applyAlignment="1" applyProtection="1" quotePrefix="1">
      <alignment horizontal="center"/>
      <protection/>
    </xf>
    <xf numFmtId="4" fontId="57" fillId="36" borderId="32" xfId="0" applyNumberFormat="1" applyFont="1" applyFill="1" applyBorder="1" applyAlignment="1">
      <alignment horizontal="center"/>
    </xf>
    <xf numFmtId="168" fontId="57" fillId="37" borderId="32" xfId="0" applyNumberFormat="1" applyFont="1" applyFill="1" applyBorder="1" applyAlignment="1" applyProtection="1" quotePrefix="1">
      <alignment horizontal="center"/>
      <protection/>
    </xf>
    <xf numFmtId="4" fontId="57" fillId="37" borderId="32" xfId="0" applyNumberFormat="1" applyFont="1" applyFill="1" applyBorder="1" applyAlignment="1">
      <alignment horizontal="center"/>
    </xf>
    <xf numFmtId="168" fontId="57" fillId="38" borderId="32" xfId="0" applyNumberFormat="1" applyFont="1" applyFill="1" applyBorder="1" applyAlignment="1" applyProtection="1" quotePrefix="1">
      <alignment horizontal="center"/>
      <protection/>
    </xf>
    <xf numFmtId="4" fontId="52" fillId="39" borderId="32" xfId="0" applyNumberFormat="1" applyFont="1" applyFill="1" applyBorder="1" applyAlignment="1">
      <alignment horizontal="center"/>
    </xf>
    <xf numFmtId="0" fontId="53" fillId="39" borderId="32" xfId="0" applyFont="1" applyFill="1" applyBorder="1" applyAlignment="1" applyProtection="1">
      <alignment horizontal="center" vertical="center"/>
      <protection/>
    </xf>
    <xf numFmtId="4" fontId="52" fillId="39" borderId="13" xfId="0" applyNumberFormat="1" applyFont="1" applyFill="1" applyBorder="1" applyAlignment="1" applyProtection="1">
      <alignment horizontal="center"/>
      <protection/>
    </xf>
    <xf numFmtId="0" fontId="27" fillId="40" borderId="32" xfId="0" applyFont="1" applyFill="1" applyBorder="1" applyAlignment="1">
      <alignment horizontal="center" vertical="center" wrapText="1"/>
    </xf>
    <xf numFmtId="0" fontId="53" fillId="41" borderId="34" xfId="0" applyFont="1" applyFill="1" applyBorder="1" applyAlignment="1" applyProtection="1">
      <alignment horizontal="centerContinuous" vertical="center" wrapText="1"/>
      <protection/>
    </xf>
    <xf numFmtId="168" fontId="52" fillId="41" borderId="46" xfId="0" applyNumberFormat="1" applyFont="1" applyFill="1" applyBorder="1" applyAlignment="1" applyProtection="1" quotePrefix="1">
      <alignment horizontal="center"/>
      <protection/>
    </xf>
    <xf numFmtId="168" fontId="52" fillId="41" borderId="18" xfId="0" applyNumberFormat="1" applyFont="1" applyFill="1" applyBorder="1" applyAlignment="1" applyProtection="1" quotePrefix="1">
      <alignment horizontal="center"/>
      <protection/>
    </xf>
    <xf numFmtId="0" fontId="53" fillId="34" borderId="34" xfId="0" applyFont="1" applyFill="1" applyBorder="1" applyAlignment="1" applyProtection="1">
      <alignment horizontal="centerContinuous" vertical="center" wrapText="1"/>
      <protection/>
    </xf>
    <xf numFmtId="0" fontId="53" fillId="34" borderId="35" xfId="0" applyFont="1" applyFill="1" applyBorder="1" applyAlignment="1">
      <alignment horizontal="centerContinuous" vertical="center"/>
    </xf>
    <xf numFmtId="168" fontId="52" fillId="34" borderId="46" xfId="0" applyNumberFormat="1" applyFont="1" applyFill="1" applyBorder="1" applyAlignment="1" applyProtection="1" quotePrefix="1">
      <alignment horizontal="center"/>
      <protection/>
    </xf>
    <xf numFmtId="168" fontId="52" fillId="34" borderId="18" xfId="0" applyNumberFormat="1" applyFont="1" applyFill="1" applyBorder="1" applyAlignment="1" applyProtection="1" quotePrefix="1">
      <alignment horizontal="center"/>
      <protection/>
    </xf>
    <xf numFmtId="168" fontId="50" fillId="36" borderId="13" xfId="0" applyNumberFormat="1" applyFont="1" applyFill="1" applyBorder="1" applyAlignment="1" applyProtection="1" quotePrefix="1">
      <alignment horizontal="center"/>
      <protection/>
    </xf>
    <xf numFmtId="168" fontId="57" fillId="37" borderId="13" xfId="0" applyNumberFormat="1" applyFont="1" applyFill="1" applyBorder="1" applyAlignment="1" applyProtection="1" quotePrefix="1">
      <alignment horizontal="center"/>
      <protection/>
    </xf>
    <xf numFmtId="0" fontId="58" fillId="0" borderId="19" xfId="0" applyFont="1" applyBorder="1" applyAlignment="1">
      <alignment/>
    </xf>
    <xf numFmtId="0" fontId="53" fillId="37" borderId="32" xfId="0" applyFont="1" applyFill="1" applyBorder="1" applyAlignment="1" applyProtection="1">
      <alignment horizontal="center" vertical="center"/>
      <protection/>
    </xf>
    <xf numFmtId="164" fontId="52" fillId="37" borderId="13" xfId="0" applyNumberFormat="1" applyFont="1" applyFill="1" applyBorder="1" applyAlignment="1" applyProtection="1">
      <alignment horizontal="center"/>
      <protection/>
    </xf>
    <xf numFmtId="168" fontId="7" fillId="0" borderId="45" xfId="0" applyNumberFormat="1" applyFont="1" applyFill="1" applyBorder="1" applyAlignment="1" applyProtection="1">
      <alignment horizontal="center"/>
      <protection/>
    </xf>
    <xf numFmtId="164" fontId="52" fillId="37" borderId="26" xfId="0" applyNumberFormat="1" applyFont="1" applyFill="1" applyBorder="1" applyAlignment="1" applyProtection="1">
      <alignment horizontal="center"/>
      <protection/>
    </xf>
    <xf numFmtId="168" fontId="10" fillId="0" borderId="26" xfId="0" applyNumberFormat="1" applyFont="1" applyFill="1" applyBorder="1" applyAlignment="1">
      <alignment horizontal="center"/>
    </xf>
    <xf numFmtId="2" fontId="57" fillId="36" borderId="26" xfId="0" applyNumberFormat="1" applyFont="1" applyFill="1" applyBorder="1" applyAlignment="1">
      <alignment horizontal="center"/>
    </xf>
    <xf numFmtId="2" fontId="57" fillId="36" borderId="13" xfId="0" applyNumberFormat="1" applyFont="1" applyFill="1" applyBorder="1" applyAlignment="1">
      <alignment horizontal="center"/>
    </xf>
    <xf numFmtId="168" fontId="52" fillId="34" borderId="43" xfId="0" applyNumberFormat="1" applyFont="1" applyFill="1" applyBorder="1" applyAlignment="1" applyProtection="1" quotePrefix="1">
      <alignment horizontal="center"/>
      <protection/>
    </xf>
    <xf numFmtId="168" fontId="52" fillId="34" borderId="47" xfId="0" applyNumberFormat="1" applyFont="1" applyFill="1" applyBorder="1" applyAlignment="1" applyProtection="1" quotePrefix="1">
      <alignment horizontal="center"/>
      <protection/>
    </xf>
    <xf numFmtId="168" fontId="7" fillId="0" borderId="26" xfId="0" applyNumberFormat="1" applyFont="1" applyFill="1" applyBorder="1" applyAlignment="1" applyProtection="1">
      <alignment horizontal="center"/>
      <protection/>
    </xf>
    <xf numFmtId="0" fontId="53" fillId="39" borderId="32" xfId="0" applyFont="1" applyFill="1" applyBorder="1" applyAlignment="1" applyProtection="1">
      <alignment horizontal="centerContinuous" vertical="center" wrapText="1"/>
      <protection/>
    </xf>
    <xf numFmtId="168" fontId="52" fillId="39" borderId="26" xfId="0" applyNumberFormat="1" applyFont="1" applyFill="1" applyBorder="1" applyAlignment="1" applyProtection="1" quotePrefix="1">
      <alignment horizontal="center"/>
      <protection/>
    </xf>
    <xf numFmtId="168" fontId="52" fillId="39" borderId="13" xfId="0" applyNumberFormat="1" applyFont="1" applyFill="1" applyBorder="1" applyAlignment="1" applyProtection="1" quotePrefix="1">
      <alignment horizontal="center"/>
      <protection/>
    </xf>
    <xf numFmtId="2" fontId="57" fillId="36" borderId="32" xfId="0" applyNumberFormat="1" applyFont="1" applyFill="1" applyBorder="1" applyAlignment="1">
      <alignment horizontal="center"/>
    </xf>
    <xf numFmtId="2" fontId="52" fillId="39" borderId="32" xfId="0" applyNumberFormat="1" applyFont="1" applyFill="1" applyBorder="1" applyAlignment="1">
      <alignment horizontal="center"/>
    </xf>
    <xf numFmtId="0" fontId="59" fillId="33" borderId="40" xfId="0" applyFont="1" applyFill="1" applyBorder="1" applyAlignment="1">
      <alignment horizontal="center"/>
    </xf>
    <xf numFmtId="168" fontId="59" fillId="33" borderId="17" xfId="0" applyNumberFormat="1" applyFont="1" applyFill="1" applyBorder="1" applyAlignment="1" applyProtection="1">
      <alignment horizontal="center"/>
      <protection/>
    </xf>
    <xf numFmtId="168" fontId="59" fillId="33" borderId="13" xfId="0" applyNumberFormat="1" applyFont="1" applyFill="1" applyBorder="1" applyAlignment="1" applyProtection="1">
      <alignment horizontal="center"/>
      <protection/>
    </xf>
    <xf numFmtId="168" fontId="59" fillId="33" borderId="14" xfId="0" applyNumberFormat="1" applyFont="1" applyFill="1" applyBorder="1" applyAlignment="1" applyProtection="1">
      <alignment horizontal="center"/>
      <protection/>
    </xf>
    <xf numFmtId="164" fontId="55" fillId="39" borderId="17" xfId="0" applyNumberFormat="1" applyFont="1" applyFill="1" applyBorder="1" applyAlignment="1" applyProtection="1">
      <alignment horizontal="center"/>
      <protection/>
    </xf>
    <xf numFmtId="2" fontId="57" fillId="40" borderId="17" xfId="0" applyNumberFormat="1" applyFont="1" applyFill="1" applyBorder="1" applyAlignment="1">
      <alignment horizontal="center"/>
    </xf>
    <xf numFmtId="4" fontId="57" fillId="40" borderId="32" xfId="0" applyNumberFormat="1" applyFont="1" applyFill="1" applyBorder="1" applyAlignment="1">
      <alignment horizontal="center"/>
    </xf>
    <xf numFmtId="0" fontId="55" fillId="39" borderId="26" xfId="0" applyFont="1" applyFill="1" applyBorder="1" applyAlignment="1">
      <alignment horizontal="center"/>
    </xf>
    <xf numFmtId="0" fontId="57" fillId="40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168" fontId="57" fillId="37" borderId="43" xfId="0" applyNumberFormat="1" applyFont="1" applyFill="1" applyBorder="1" applyAlignment="1" applyProtection="1" quotePrefix="1">
      <alignment horizontal="center"/>
      <protection/>
    </xf>
    <xf numFmtId="168" fontId="57" fillId="37" borderId="29" xfId="0" applyNumberFormat="1" applyFont="1" applyFill="1" applyBorder="1" applyAlignment="1" applyProtection="1" quotePrefix="1">
      <alignment horizontal="center"/>
      <protection/>
    </xf>
    <xf numFmtId="4" fontId="57" fillId="37" borderId="32" xfId="0" applyNumberFormat="1" applyFont="1" applyFill="1" applyBorder="1" applyAlignment="1">
      <alignment horizontal="center"/>
    </xf>
    <xf numFmtId="4" fontId="57" fillId="37" borderId="37" xfId="0" applyNumberFormat="1" applyFont="1" applyFill="1" applyBorder="1" applyAlignment="1">
      <alignment horizontal="center"/>
    </xf>
    <xf numFmtId="0" fontId="27" fillId="37" borderId="34" xfId="0" applyFont="1" applyFill="1" applyBorder="1" applyAlignment="1" applyProtection="1">
      <alignment horizontal="centerContinuous" vertical="center" wrapText="1"/>
      <protection/>
    </xf>
    <xf numFmtId="168" fontId="57" fillId="37" borderId="47" xfId="0" applyNumberFormat="1" applyFont="1" applyFill="1" applyBorder="1" applyAlignment="1" applyProtection="1" quotePrefix="1">
      <alignment horizontal="center"/>
      <protection/>
    </xf>
    <xf numFmtId="168" fontId="57" fillId="37" borderId="48" xfId="0" applyNumberFormat="1" applyFont="1" applyFill="1" applyBorder="1" applyAlignment="1" applyProtection="1" quotePrefix="1">
      <alignment horizontal="center"/>
      <protection/>
    </xf>
    <xf numFmtId="168" fontId="7" fillId="0" borderId="26" xfId="0" applyNumberFormat="1" applyFont="1" applyBorder="1" applyAlignment="1" applyProtection="1">
      <alignment horizontal="center"/>
      <protection/>
    </xf>
    <xf numFmtId="0" fontId="60" fillId="33" borderId="26" xfId="0" applyFont="1" applyFill="1" applyBorder="1" applyAlignment="1">
      <alignment/>
    </xf>
    <xf numFmtId="0" fontId="60" fillId="33" borderId="13" xfId="0" applyFont="1" applyFill="1" applyBorder="1" applyAlignment="1">
      <alignment/>
    </xf>
    <xf numFmtId="168" fontId="59" fillId="33" borderId="13" xfId="0" applyNumberFormat="1" applyFont="1" applyFill="1" applyBorder="1" applyAlignment="1" applyProtection="1">
      <alignment horizontal="center"/>
      <protection/>
    </xf>
    <xf numFmtId="168" fontId="59" fillId="33" borderId="14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68" fontId="57" fillId="36" borderId="26" xfId="0" applyNumberFormat="1" applyFont="1" applyFill="1" applyBorder="1" applyAlignment="1" applyProtection="1" quotePrefix="1">
      <alignment horizontal="center"/>
      <protection/>
    </xf>
    <xf numFmtId="168" fontId="57" fillId="36" borderId="17" xfId="0" applyNumberFormat="1" applyFont="1" applyFill="1" applyBorder="1" applyAlignment="1" applyProtection="1" quotePrefix="1">
      <alignment horizontal="center"/>
      <protection/>
    </xf>
    <xf numFmtId="4" fontId="57" fillId="36" borderId="37" xfId="0" applyNumberFormat="1" applyFont="1" applyFill="1" applyBorder="1" applyAlignment="1">
      <alignment horizontal="center"/>
    </xf>
    <xf numFmtId="173" fontId="0" fillId="0" borderId="35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0" fontId="58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7" fontId="0" fillId="0" borderId="26" xfId="0" applyNumberFormat="1" applyBorder="1" applyAlignment="1">
      <alignment/>
    </xf>
    <xf numFmtId="7" fontId="10" fillId="0" borderId="26" xfId="0" applyNumberFormat="1" applyFont="1" applyFill="1" applyBorder="1" applyAlignment="1">
      <alignment horizontal="center"/>
    </xf>
    <xf numFmtId="0" fontId="61" fillId="0" borderId="0" xfId="0" applyFont="1" applyAlignment="1">
      <alignment horizontal="right" vertical="top"/>
    </xf>
    <xf numFmtId="0" fontId="19" fillId="0" borderId="0" xfId="0" applyFont="1" applyBorder="1" applyAlignment="1">
      <alignment/>
    </xf>
    <xf numFmtId="0" fontId="16" fillId="0" borderId="11" xfId="0" applyFont="1" applyBorder="1" applyAlignment="1">
      <alignment horizontal="centerContinuous"/>
    </xf>
    <xf numFmtId="0" fontId="37" fillId="0" borderId="0" xfId="0" applyFont="1" applyFill="1" applyBorder="1" applyAlignment="1">
      <alignment horizontal="centerContinuous"/>
    </xf>
    <xf numFmtId="0" fontId="37" fillId="0" borderId="0" xfId="0" applyFont="1" applyFill="1" applyAlignment="1">
      <alignment horizontal="centerContinuous"/>
    </xf>
    <xf numFmtId="0" fontId="37" fillId="0" borderId="12" xfId="0" applyFont="1" applyFill="1" applyBorder="1" applyAlignment="1">
      <alignment horizontal="centerContinuous"/>
    </xf>
    <xf numFmtId="0" fontId="15" fillId="0" borderId="12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49" xfId="0" applyFont="1" applyBorder="1" applyAlignment="1" applyProtection="1">
      <alignment horizontal="left"/>
      <protection/>
    </xf>
    <xf numFmtId="171" fontId="0" fillId="0" borderId="50" xfId="0" applyNumberFormat="1" applyFont="1" applyBorder="1" applyAlignment="1" applyProtection="1">
      <alignment horizontal="centerContinuous"/>
      <protection/>
    </xf>
    <xf numFmtId="0" fontId="10" fillId="0" borderId="51" xfId="0" applyFont="1" applyBorder="1" applyAlignment="1">
      <alignment horizontal="centerContinuous"/>
    </xf>
    <xf numFmtId="0" fontId="10" fillId="0" borderId="52" xfId="0" applyFont="1" applyFill="1" applyBorder="1" applyAlignment="1">
      <alignment/>
    </xf>
    <xf numFmtId="0" fontId="10" fillId="0" borderId="53" xfId="0" applyFont="1" applyBorder="1" applyAlignment="1" applyProtection="1">
      <alignment horizontal="right"/>
      <protection/>
    </xf>
    <xf numFmtId="173" fontId="10" fillId="0" borderId="54" xfId="0" applyNumberFormat="1" applyFont="1" applyBorder="1" applyAlignment="1">
      <alignment horizontal="center"/>
    </xf>
    <xf numFmtId="0" fontId="0" fillId="0" borderId="55" xfId="0" applyFont="1" applyBorder="1" applyAlignment="1">
      <alignment/>
    </xf>
    <xf numFmtId="171" fontId="25" fillId="0" borderId="56" xfId="0" applyNumberFormat="1" applyFont="1" applyBorder="1" applyAlignment="1">
      <alignment horizontal="centerContinuous"/>
    </xf>
    <xf numFmtId="0" fontId="10" fillId="0" borderId="57" xfId="0" applyFont="1" applyBorder="1" applyAlignment="1">
      <alignment horizontal="centerContinuous"/>
    </xf>
    <xf numFmtId="0" fontId="10" fillId="0" borderId="58" xfId="0" applyFont="1" applyFill="1" applyBorder="1" applyAlignment="1">
      <alignment/>
    </xf>
    <xf numFmtId="168" fontId="10" fillId="0" borderId="59" xfId="0" applyNumberFormat="1" applyFont="1" applyBorder="1" applyAlignment="1" applyProtection="1">
      <alignment horizontal="right"/>
      <protection/>
    </xf>
    <xf numFmtId="171" fontId="10" fillId="0" borderId="60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0" fillId="0" borderId="61" xfId="0" applyFont="1" applyBorder="1" applyAlignment="1">
      <alignment horizontal="left"/>
    </xf>
    <xf numFmtId="171" fontId="25" fillId="0" borderId="59" xfId="0" applyNumberFormat="1" applyFont="1" applyBorder="1" applyAlignment="1">
      <alignment horizontal="centerContinuous"/>
    </xf>
    <xf numFmtId="0" fontId="10" fillId="0" borderId="62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63" xfId="0" applyNumberFormat="1" applyFont="1" applyBorder="1" applyAlignment="1">
      <alignment horizontal="center"/>
    </xf>
    <xf numFmtId="0" fontId="8" fillId="0" borderId="34" xfId="0" applyFont="1" applyBorder="1" applyAlignment="1" applyProtection="1">
      <alignment horizontal="center"/>
      <protection/>
    </xf>
    <xf numFmtId="0" fontId="10" fillId="0" borderId="64" xfId="0" applyFont="1" applyBorder="1" applyAlignment="1" applyProtection="1">
      <alignment horizontal="center"/>
      <protection/>
    </xf>
    <xf numFmtId="0" fontId="10" fillId="0" borderId="56" xfId="0" applyFont="1" applyBorder="1" applyAlignment="1" applyProtection="1">
      <alignment horizontal="center"/>
      <protection/>
    </xf>
    <xf numFmtId="2" fontId="10" fillId="0" borderId="56" xfId="0" applyNumberFormat="1" applyFont="1" applyBorder="1" applyAlignment="1" applyProtection="1">
      <alignment horizontal="center"/>
      <protection/>
    </xf>
    <xf numFmtId="168" fontId="10" fillId="0" borderId="56" xfId="0" applyNumberFormat="1" applyFont="1" applyBorder="1" applyAlignment="1" applyProtection="1">
      <alignment horizontal="center"/>
      <protection/>
    </xf>
    <xf numFmtId="0" fontId="0" fillId="0" borderId="56" xfId="0" applyBorder="1" applyAlignment="1">
      <alignment horizontal="centerContinuous"/>
    </xf>
    <xf numFmtId="0" fontId="0" fillId="0" borderId="56" xfId="0" applyBorder="1" applyAlignment="1">
      <alignment/>
    </xf>
    <xf numFmtId="7" fontId="19" fillId="0" borderId="65" xfId="0" applyNumberFormat="1" applyFont="1" applyBorder="1" applyAlignment="1">
      <alignment horizontal="center"/>
    </xf>
    <xf numFmtId="0" fontId="10" fillId="0" borderId="66" xfId="0" applyFont="1" applyBorder="1" applyAlignment="1" applyProtection="1">
      <alignment horizontal="center"/>
      <protection/>
    </xf>
    <xf numFmtId="0" fontId="10" fillId="0" borderId="67" xfId="0" applyFont="1" applyBorder="1" applyAlignment="1" applyProtection="1">
      <alignment horizontal="center"/>
      <protection/>
    </xf>
    <xf numFmtId="2" fontId="10" fillId="0" borderId="67" xfId="0" applyNumberFormat="1" applyFont="1" applyBorder="1" applyAlignment="1" applyProtection="1">
      <alignment horizontal="center"/>
      <protection/>
    </xf>
    <xf numFmtId="168" fontId="10" fillId="0" borderId="67" xfId="0" applyNumberFormat="1" applyFont="1" applyBorder="1" applyAlignment="1" applyProtection="1">
      <alignment horizontal="center"/>
      <protection/>
    </xf>
    <xf numFmtId="7" fontId="10" fillId="0" borderId="67" xfId="0" applyNumberFormat="1" applyFont="1" applyBorder="1" applyAlignment="1" applyProtection="1">
      <alignment horizontal="center"/>
      <protection/>
    </xf>
    <xf numFmtId="7" fontId="10" fillId="0" borderId="67" xfId="0" applyNumberFormat="1" applyFont="1" applyBorder="1" applyAlignment="1" applyProtection="1">
      <alignment horizontal="centerContinuous"/>
      <protection/>
    </xf>
    <xf numFmtId="0" fontId="10" fillId="0" borderId="67" xfId="0" applyFont="1" applyBorder="1" applyAlignment="1" applyProtection="1">
      <alignment horizontal="centerContinuous"/>
      <protection/>
    </xf>
    <xf numFmtId="0" fontId="10" fillId="0" borderId="67" xfId="0" applyFont="1" applyBorder="1" applyAlignment="1" applyProtection="1">
      <alignment horizontal="right"/>
      <protection/>
    </xf>
    <xf numFmtId="7" fontId="10" fillId="0" borderId="68" xfId="0" applyNumberFormat="1" applyFont="1" applyBorder="1" applyAlignment="1" applyProtection="1">
      <alignment horizontal="center"/>
      <protection/>
    </xf>
    <xf numFmtId="0" fontId="10" fillId="0" borderId="69" xfId="0" applyFont="1" applyBorder="1" applyAlignment="1" applyProtection="1">
      <alignment horizontal="center"/>
      <protection/>
    </xf>
    <xf numFmtId="0" fontId="10" fillId="0" borderId="63" xfId="0" applyFont="1" applyBorder="1" applyAlignment="1" applyProtection="1">
      <alignment horizontal="center"/>
      <protection/>
    </xf>
    <xf numFmtId="2" fontId="10" fillId="0" borderId="63" xfId="0" applyNumberFormat="1" applyFont="1" applyBorder="1" applyAlignment="1" applyProtection="1">
      <alignment horizontal="center"/>
      <protection/>
    </xf>
    <xf numFmtId="168" fontId="10" fillId="0" borderId="63" xfId="0" applyNumberFormat="1" applyFont="1" applyBorder="1" applyAlignment="1" applyProtection="1">
      <alignment horizontal="center"/>
      <protection/>
    </xf>
    <xf numFmtId="7" fontId="10" fillId="0" borderId="63" xfId="0" applyNumberFormat="1" applyFont="1" applyBorder="1" applyAlignment="1" applyProtection="1">
      <alignment horizontal="center"/>
      <protection/>
    </xf>
    <xf numFmtId="7" fontId="10" fillId="0" borderId="63" xfId="0" applyNumberFormat="1" applyFont="1" applyBorder="1" applyAlignment="1" applyProtection="1">
      <alignment horizontal="centerContinuous"/>
      <protection/>
    </xf>
    <xf numFmtId="0" fontId="10" fillId="0" borderId="63" xfId="0" applyFont="1" applyBorder="1" applyAlignment="1" applyProtection="1">
      <alignment horizontal="centerContinuous"/>
      <protection/>
    </xf>
    <xf numFmtId="0" fontId="10" fillId="0" borderId="63" xfId="0" applyFont="1" applyBorder="1" applyAlignment="1" applyProtection="1">
      <alignment horizontal="right"/>
      <protection/>
    </xf>
    <xf numFmtId="7" fontId="10" fillId="0" borderId="70" xfId="0" applyNumberFormat="1" applyFont="1" applyBorder="1" applyAlignment="1" applyProtection="1">
      <alignment horizontal="center"/>
      <protection/>
    </xf>
    <xf numFmtId="7" fontId="10" fillId="0" borderId="65" xfId="0" applyNumberFormat="1" applyFont="1" applyBorder="1" applyAlignment="1" applyProtection="1">
      <alignment horizontal="center"/>
      <protection/>
    </xf>
    <xf numFmtId="0" fontId="0" fillId="0" borderId="64" xfId="0" applyBorder="1" applyAlignment="1">
      <alignment horizontal="centerContinuous"/>
    </xf>
    <xf numFmtId="0" fontId="10" fillId="0" borderId="56" xfId="0" applyFont="1" applyBorder="1" applyAlignment="1" applyProtection="1">
      <alignment horizontal="centerContinuous"/>
      <protection/>
    </xf>
    <xf numFmtId="0" fontId="0" fillId="0" borderId="56" xfId="0" applyBorder="1" applyAlignment="1">
      <alignment horizontal="center"/>
    </xf>
    <xf numFmtId="168" fontId="10" fillId="0" borderId="64" xfId="0" applyNumberFormat="1" applyFont="1" applyBorder="1" applyAlignment="1" applyProtection="1">
      <alignment horizontal="centerContinuous"/>
      <protection/>
    </xf>
    <xf numFmtId="2" fontId="22" fillId="0" borderId="71" xfId="0" applyNumberFormat="1" applyFont="1" applyBorder="1" applyAlignment="1">
      <alignment horizontal="centerContinuous"/>
    </xf>
    <xf numFmtId="7" fontId="10" fillId="0" borderId="66" xfId="0" applyNumberFormat="1" applyFont="1" applyBorder="1" applyAlignment="1">
      <alignment horizontal="centerContinuous"/>
    </xf>
    <xf numFmtId="168" fontId="10" fillId="0" borderId="67" xfId="0" applyNumberFormat="1" applyFont="1" applyBorder="1" applyAlignment="1" applyProtection="1" quotePrefix="1">
      <alignment horizontal="center"/>
      <protection/>
    </xf>
    <xf numFmtId="7" fontId="10" fillId="0" borderId="66" xfId="0" applyNumberFormat="1" applyFont="1" applyBorder="1" applyAlignment="1" applyProtection="1">
      <alignment horizontal="centerContinuous"/>
      <protection/>
    </xf>
    <xf numFmtId="2" fontId="22" fillId="0" borderId="72" xfId="0" applyNumberFormat="1" applyFont="1" applyBorder="1" applyAlignment="1">
      <alignment horizontal="centerContinuous"/>
    </xf>
    <xf numFmtId="0" fontId="10" fillId="0" borderId="73" xfId="0" applyFont="1" applyBorder="1" applyAlignment="1" applyProtection="1">
      <alignment horizontal="center"/>
      <protection/>
    </xf>
    <xf numFmtId="7" fontId="10" fillId="0" borderId="74" xfId="0" applyNumberFormat="1" applyFont="1" applyBorder="1" applyAlignment="1" applyProtection="1">
      <alignment horizontal="center"/>
      <protection/>
    </xf>
    <xf numFmtId="7" fontId="10" fillId="0" borderId="73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73" xfId="0" applyNumberFormat="1" applyFont="1" applyBorder="1" applyAlignment="1" applyProtection="1">
      <alignment horizontal="centerContinuous"/>
      <protection/>
    </xf>
    <xf numFmtId="2" fontId="22" fillId="0" borderId="75" xfId="0" applyNumberFormat="1" applyFont="1" applyBorder="1" applyAlignment="1">
      <alignment horizontal="centerContinuous"/>
    </xf>
    <xf numFmtId="7" fontId="10" fillId="0" borderId="69" xfId="0" applyNumberFormat="1" applyFont="1" applyBorder="1" applyAlignment="1">
      <alignment horizontal="centerContinuous"/>
    </xf>
    <xf numFmtId="168" fontId="10" fillId="0" borderId="63" xfId="0" applyNumberFormat="1" applyFont="1" applyBorder="1" applyAlignment="1" applyProtection="1" quotePrefix="1">
      <alignment horizontal="center"/>
      <protection/>
    </xf>
    <xf numFmtId="7" fontId="10" fillId="0" borderId="69" xfId="0" applyNumberFormat="1" applyFont="1" applyBorder="1" applyAlignment="1" applyProtection="1">
      <alignment horizontal="centerContinuous"/>
      <protection/>
    </xf>
    <xf numFmtId="2" fontId="22" fillId="0" borderId="76" xfId="0" applyNumberFormat="1" applyFont="1" applyBorder="1" applyAlignment="1">
      <alignment horizontal="centerContinuous"/>
    </xf>
    <xf numFmtId="7" fontId="10" fillId="0" borderId="64" xfId="0" applyNumberFormat="1" applyFont="1" applyBorder="1" applyAlignment="1" applyProtection="1">
      <alignment horizontal="centerContinuous"/>
      <protection/>
    </xf>
    <xf numFmtId="5" fontId="8" fillId="0" borderId="34" xfId="0" applyNumberFormat="1" applyFont="1" applyBorder="1" applyAlignment="1" applyProtection="1">
      <alignment horizontal="center"/>
      <protection/>
    </xf>
    <xf numFmtId="7" fontId="8" fillId="0" borderId="35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5" fillId="0" borderId="35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35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56" xfId="0" applyNumberFormat="1" applyFont="1" applyBorder="1" applyAlignment="1" applyProtection="1">
      <alignment horizontal="centerContinuous"/>
      <protection/>
    </xf>
    <xf numFmtId="2" fontId="10" fillId="0" borderId="71" xfId="0" applyNumberFormat="1" applyFont="1" applyBorder="1" applyAlignment="1" applyProtection="1">
      <alignment horizontal="centerContinuous"/>
      <protection/>
    </xf>
    <xf numFmtId="2" fontId="10" fillId="0" borderId="67" xfId="0" applyNumberFormat="1" applyFont="1" applyBorder="1" applyAlignment="1" applyProtection="1">
      <alignment horizontal="centerContinuous"/>
      <protection/>
    </xf>
    <xf numFmtId="2" fontId="10" fillId="0" borderId="72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75" xfId="0" applyNumberFormat="1" applyFont="1" applyBorder="1" applyAlignment="1" applyProtection="1">
      <alignment horizontal="centerContinuous"/>
      <protection/>
    </xf>
    <xf numFmtId="2" fontId="10" fillId="0" borderId="63" xfId="0" applyNumberFormat="1" applyFont="1" applyBorder="1" applyAlignment="1" applyProtection="1">
      <alignment horizontal="centerContinuous"/>
      <protection/>
    </xf>
    <xf numFmtId="2" fontId="10" fillId="0" borderId="76" xfId="0" applyNumberFormat="1" applyFont="1" applyBorder="1" applyAlignment="1" applyProtection="1">
      <alignment horizontal="centerContinuous"/>
      <protection/>
    </xf>
    <xf numFmtId="0" fontId="0" fillId="0" borderId="34" xfId="0" applyFont="1" applyBorder="1" applyAlignment="1" applyProtection="1">
      <alignment horizontal="center" vertical="center"/>
      <protection/>
    </xf>
    <xf numFmtId="173" fontId="0" fillId="0" borderId="34" xfId="0" applyNumberFormat="1" applyFont="1" applyBorder="1" applyAlignment="1">
      <alignment horizontal="centerContinuous" vertical="center"/>
    </xf>
    <xf numFmtId="0" fontId="1" fillId="0" borderId="35" xfId="0" applyFont="1" applyBorder="1" applyAlignment="1" applyProtection="1">
      <alignment horizontal="centerContinuous" vertical="center"/>
      <protection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0" fontId="7" fillId="0" borderId="77" xfId="0" applyFont="1" applyBorder="1" applyAlignment="1" applyProtection="1">
      <alignment/>
      <protection locked="0"/>
    </xf>
    <xf numFmtId="0" fontId="7" fillId="0" borderId="78" xfId="0" applyFont="1" applyBorder="1" applyAlignment="1" applyProtection="1">
      <alignment horizontal="center"/>
      <protection locked="0"/>
    </xf>
    <xf numFmtId="2" fontId="7" fillId="0" borderId="78" xfId="0" applyNumberFormat="1" applyFont="1" applyBorder="1" applyAlignment="1" applyProtection="1">
      <alignment horizontal="center"/>
      <protection locked="0"/>
    </xf>
    <xf numFmtId="168" fontId="7" fillId="0" borderId="14" xfId="0" applyNumberFormat="1" applyFont="1" applyBorder="1" applyAlignment="1" applyProtection="1">
      <alignment horizontal="center"/>
      <protection locked="0"/>
    </xf>
    <xf numFmtId="22" fontId="7" fillId="0" borderId="13" xfId="0" applyNumberFormat="1" applyFont="1" applyBorder="1" applyAlignment="1" applyProtection="1">
      <alignment horizontal="center"/>
      <protection locked="0"/>
    </xf>
    <xf numFmtId="168" fontId="7" fillId="0" borderId="13" xfId="0" applyNumberFormat="1" applyFont="1" applyBorder="1" applyAlignment="1" applyProtection="1">
      <alignment horizontal="center"/>
      <protection locked="0"/>
    </xf>
    <xf numFmtId="22" fontId="7" fillId="0" borderId="14" xfId="0" applyNumberFormat="1" applyFont="1" applyBorder="1" applyAlignment="1" applyProtection="1">
      <alignment horizontal="center"/>
      <protection locked="0"/>
    </xf>
    <xf numFmtId="168" fontId="52" fillId="34" borderId="14" xfId="0" applyNumberFormat="1" applyFont="1" applyFill="1" applyBorder="1" applyAlignment="1" applyProtection="1" quotePrefix="1">
      <alignment horizontal="center"/>
      <protection locked="0"/>
    </xf>
    <xf numFmtId="168" fontId="52" fillId="35" borderId="14" xfId="0" applyNumberFormat="1" applyFont="1" applyFill="1" applyBorder="1" applyAlignment="1" applyProtection="1" quotePrefix="1">
      <alignment horizontal="center"/>
      <protection locked="0"/>
    </xf>
    <xf numFmtId="168" fontId="57" fillId="36" borderId="79" xfId="0" applyNumberFormat="1" applyFont="1" applyFill="1" applyBorder="1" applyAlignment="1" applyProtection="1" quotePrefix="1">
      <alignment horizontal="center"/>
      <protection locked="0"/>
    </xf>
    <xf numFmtId="4" fontId="57" fillId="36" borderId="80" xfId="0" applyNumberFormat="1" applyFont="1" applyFill="1" applyBorder="1" applyAlignment="1" applyProtection="1">
      <alignment horizontal="center"/>
      <protection locked="0"/>
    </xf>
    <xf numFmtId="4" fontId="57" fillId="36" borderId="31" xfId="0" applyNumberFormat="1" applyFont="1" applyFill="1" applyBorder="1" applyAlignment="1" applyProtection="1">
      <alignment horizontal="center"/>
      <protection locked="0"/>
    </xf>
    <xf numFmtId="168" fontId="57" fillId="37" borderId="79" xfId="0" applyNumberFormat="1" applyFont="1" applyFill="1" applyBorder="1" applyAlignment="1" applyProtection="1" quotePrefix="1">
      <alignment horizontal="center"/>
      <protection locked="0"/>
    </xf>
    <xf numFmtId="4" fontId="57" fillId="37" borderId="80" xfId="0" applyNumberFormat="1" applyFont="1" applyFill="1" applyBorder="1" applyAlignment="1" applyProtection="1">
      <alignment horizontal="center"/>
      <protection locked="0"/>
    </xf>
    <xf numFmtId="4" fontId="57" fillId="37" borderId="31" xfId="0" applyNumberFormat="1" applyFont="1" applyFill="1" applyBorder="1" applyAlignment="1" applyProtection="1">
      <alignment horizontal="center"/>
      <protection locked="0"/>
    </xf>
    <xf numFmtId="4" fontId="57" fillId="38" borderId="14" xfId="0" applyNumberFormat="1" applyFont="1" applyFill="1" applyBorder="1" applyAlignment="1" applyProtection="1">
      <alignment horizontal="center"/>
      <protection locked="0"/>
    </xf>
    <xf numFmtId="4" fontId="52" fillId="39" borderId="14" xfId="0" applyNumberFormat="1" applyFont="1" applyFill="1" applyBorder="1" applyAlignment="1" applyProtection="1">
      <alignment horizontal="center"/>
      <protection locked="0"/>
    </xf>
    <xf numFmtId="4" fontId="7" fillId="0" borderId="14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54" fillId="34" borderId="13" xfId="0" applyFont="1" applyFill="1" applyBorder="1" applyAlignment="1" applyProtection="1">
      <alignment/>
      <protection locked="0"/>
    </xf>
    <xf numFmtId="0" fontId="54" fillId="35" borderId="13" xfId="0" applyFont="1" applyFill="1" applyBorder="1" applyAlignment="1" applyProtection="1">
      <alignment/>
      <protection locked="0"/>
    </xf>
    <xf numFmtId="0" fontId="56" fillId="36" borderId="46" xfId="0" applyFont="1" applyFill="1" applyBorder="1" applyAlignment="1" applyProtection="1">
      <alignment horizontal="center"/>
      <protection locked="0"/>
    </xf>
    <xf numFmtId="0" fontId="56" fillId="36" borderId="76" xfId="0" applyFont="1" applyFill="1" applyBorder="1" applyAlignment="1" applyProtection="1">
      <alignment/>
      <protection locked="0"/>
    </xf>
    <xf numFmtId="0" fontId="56" fillId="36" borderId="16" xfId="0" applyFont="1" applyFill="1" applyBorder="1" applyAlignment="1" applyProtection="1">
      <alignment/>
      <protection locked="0"/>
    </xf>
    <xf numFmtId="0" fontId="56" fillId="37" borderId="46" xfId="0" applyFont="1" applyFill="1" applyBorder="1" applyAlignment="1" applyProtection="1">
      <alignment horizontal="center"/>
      <protection locked="0"/>
    </xf>
    <xf numFmtId="0" fontId="56" fillId="37" borderId="76" xfId="0" applyFont="1" applyFill="1" applyBorder="1" applyAlignment="1" applyProtection="1">
      <alignment/>
      <protection locked="0"/>
    </xf>
    <xf numFmtId="0" fontId="56" fillId="37" borderId="16" xfId="0" applyFont="1" applyFill="1" applyBorder="1" applyAlignment="1" applyProtection="1">
      <alignment/>
      <protection locked="0"/>
    </xf>
    <xf numFmtId="0" fontId="56" fillId="38" borderId="13" xfId="0" applyFont="1" applyFill="1" applyBorder="1" applyAlignment="1" applyProtection="1">
      <alignment/>
      <protection locked="0"/>
    </xf>
    <xf numFmtId="0" fontId="54" fillId="39" borderId="13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 horizontal="right" vertical="top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11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12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12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0" fillId="0" borderId="36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11" xfId="0" applyFont="1" applyFill="1" applyBorder="1" applyAlignment="1" applyProtection="1">
      <alignment/>
      <protection/>
    </xf>
    <xf numFmtId="0" fontId="27" fillId="38" borderId="32" xfId="0" applyFont="1" applyFill="1" applyBorder="1" applyAlignment="1" applyProtection="1">
      <alignment horizontal="center" vertical="center" wrapText="1"/>
      <protection/>
    </xf>
    <xf numFmtId="0" fontId="27" fillId="40" borderId="32" xfId="0" applyFont="1" applyFill="1" applyBorder="1" applyAlignment="1" applyProtection="1">
      <alignment horizontal="center" vertical="center" wrapText="1"/>
      <protection/>
    </xf>
    <xf numFmtId="0" fontId="53" fillId="41" borderId="35" xfId="0" applyFont="1" applyFill="1" applyBorder="1" applyAlignment="1" applyProtection="1">
      <alignment horizontal="centerContinuous" vertical="center"/>
      <protection/>
    </xf>
    <xf numFmtId="0" fontId="53" fillId="34" borderId="35" xfId="0" applyFont="1" applyFill="1" applyBorder="1" applyAlignment="1" applyProtection="1">
      <alignment horizontal="centerContinuous" vertical="center"/>
      <protection/>
    </xf>
    <xf numFmtId="0" fontId="49" fillId="36" borderId="32" xfId="0" applyFont="1" applyFill="1" applyBorder="1" applyAlignment="1" applyProtection="1">
      <alignment horizontal="center" vertical="center" wrapText="1"/>
      <protection/>
    </xf>
    <xf numFmtId="0" fontId="27" fillId="37" borderId="32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/>
      <protection/>
    </xf>
    <xf numFmtId="0" fontId="48" fillId="33" borderId="26" xfId="0" applyFont="1" applyFill="1" applyBorder="1" applyAlignment="1" applyProtection="1">
      <alignment/>
      <protection/>
    </xf>
    <xf numFmtId="0" fontId="52" fillId="39" borderId="26" xfId="0" applyFont="1" applyFill="1" applyBorder="1" applyAlignment="1" applyProtection="1">
      <alignment/>
      <protection/>
    </xf>
    <xf numFmtId="0" fontId="57" fillId="38" borderId="26" xfId="0" applyFont="1" applyFill="1" applyBorder="1" applyAlignment="1" applyProtection="1">
      <alignment/>
      <protection/>
    </xf>
    <xf numFmtId="0" fontId="57" fillId="40" borderId="26" xfId="0" applyFont="1" applyFill="1" applyBorder="1" applyAlignment="1" applyProtection="1">
      <alignment/>
      <protection/>
    </xf>
    <xf numFmtId="0" fontId="52" fillId="41" borderId="43" xfId="0" applyFont="1" applyFill="1" applyBorder="1" applyAlignment="1" applyProtection="1">
      <alignment horizontal="center"/>
      <protection/>
    </xf>
    <xf numFmtId="0" fontId="52" fillId="41" borderId="45" xfId="0" applyFont="1" applyFill="1" applyBorder="1" applyAlignment="1" applyProtection="1">
      <alignment/>
      <protection/>
    </xf>
    <xf numFmtId="0" fontId="52" fillId="34" borderId="43" xfId="0" applyFont="1" applyFill="1" applyBorder="1" applyAlignment="1" applyProtection="1">
      <alignment horizontal="center"/>
      <protection/>
    </xf>
    <xf numFmtId="0" fontId="52" fillId="34" borderId="45" xfId="0" applyFont="1" applyFill="1" applyBorder="1" applyAlignment="1" applyProtection="1">
      <alignment/>
      <protection/>
    </xf>
    <xf numFmtId="0" fontId="50" fillId="36" borderId="26" xfId="0" applyFont="1" applyFill="1" applyBorder="1" applyAlignment="1" applyProtection="1">
      <alignment/>
      <protection/>
    </xf>
    <xf numFmtId="0" fontId="57" fillId="37" borderId="26" xfId="0" applyFont="1" applyFill="1" applyBorder="1" applyAlignment="1" applyProtection="1">
      <alignment/>
      <protection/>
    </xf>
    <xf numFmtId="7" fontId="10" fillId="0" borderId="26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48" fillId="33" borderId="1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52" fillId="39" borderId="13" xfId="0" applyFont="1" applyFill="1" applyBorder="1" applyAlignment="1" applyProtection="1">
      <alignment/>
      <protection/>
    </xf>
    <xf numFmtId="0" fontId="57" fillId="38" borderId="13" xfId="0" applyFont="1" applyFill="1" applyBorder="1" applyAlignment="1" applyProtection="1">
      <alignment/>
      <protection/>
    </xf>
    <xf numFmtId="0" fontId="57" fillId="40" borderId="13" xfId="0" applyFont="1" applyFill="1" applyBorder="1" applyAlignment="1" applyProtection="1">
      <alignment/>
      <protection/>
    </xf>
    <xf numFmtId="0" fontId="52" fillId="41" borderId="46" xfId="0" applyFont="1" applyFill="1" applyBorder="1" applyAlignment="1" applyProtection="1">
      <alignment horizontal="center"/>
      <protection/>
    </xf>
    <xf numFmtId="0" fontId="52" fillId="41" borderId="16" xfId="0" applyFont="1" applyFill="1" applyBorder="1" applyAlignment="1" applyProtection="1">
      <alignment/>
      <protection/>
    </xf>
    <xf numFmtId="0" fontId="52" fillId="34" borderId="46" xfId="0" applyFont="1" applyFill="1" applyBorder="1" applyAlignment="1" applyProtection="1">
      <alignment horizontal="center"/>
      <protection/>
    </xf>
    <xf numFmtId="0" fontId="52" fillId="34" borderId="16" xfId="0" applyFont="1" applyFill="1" applyBorder="1" applyAlignment="1" applyProtection="1">
      <alignment/>
      <protection/>
    </xf>
    <xf numFmtId="0" fontId="50" fillId="36" borderId="13" xfId="0" applyFont="1" applyFill="1" applyBorder="1" applyAlignment="1" applyProtection="1">
      <alignment/>
      <protection/>
    </xf>
    <xf numFmtId="0" fontId="57" fillId="37" borderId="13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168" fontId="10" fillId="0" borderId="16" xfId="0" applyNumberFormat="1" applyFont="1" applyFill="1" applyBorder="1" applyAlignment="1" applyProtection="1">
      <alignment horizontal="right"/>
      <protection/>
    </xf>
    <xf numFmtId="2" fontId="7" fillId="0" borderId="12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10" fillId="0" borderId="27" xfId="0" applyFont="1" applyFill="1" applyBorder="1" applyAlignment="1" applyProtection="1">
      <alignment/>
      <protection/>
    </xf>
    <xf numFmtId="0" fontId="39" fillId="0" borderId="36" xfId="0" applyFont="1" applyBorder="1" applyAlignment="1" applyProtection="1">
      <alignment horizontal="center"/>
      <protection/>
    </xf>
    <xf numFmtId="7" fontId="57" fillId="38" borderId="32" xfId="0" applyNumberFormat="1" applyFont="1" applyFill="1" applyBorder="1" applyAlignment="1" applyProtection="1">
      <alignment horizontal="center"/>
      <protection/>
    </xf>
    <xf numFmtId="7" fontId="57" fillId="40" borderId="32" xfId="0" applyNumberFormat="1" applyFont="1" applyFill="1" applyBorder="1" applyAlignment="1" applyProtection="1">
      <alignment horizontal="center"/>
      <protection/>
    </xf>
    <xf numFmtId="7" fontId="52" fillId="41" borderId="32" xfId="0" applyNumberFormat="1" applyFont="1" applyFill="1" applyBorder="1" applyAlignment="1" applyProtection="1">
      <alignment horizontal="center"/>
      <protection/>
    </xf>
    <xf numFmtId="7" fontId="52" fillId="34" borderId="32" xfId="0" applyNumberFormat="1" applyFont="1" applyFill="1" applyBorder="1" applyAlignment="1" applyProtection="1">
      <alignment horizontal="center"/>
      <protection/>
    </xf>
    <xf numFmtId="7" fontId="50" fillId="36" borderId="32" xfId="0" applyNumberFormat="1" applyFont="1" applyFill="1" applyBorder="1" applyAlignment="1" applyProtection="1">
      <alignment horizontal="center"/>
      <protection/>
    </xf>
    <xf numFmtId="7" fontId="57" fillId="37" borderId="32" xfId="0" applyNumberFormat="1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/>
      <protection/>
    </xf>
    <xf numFmtId="7" fontId="11" fillId="0" borderId="32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Alignment="1" applyProtection="1">
      <alignment/>
      <protection/>
    </xf>
    <xf numFmtId="0" fontId="39" fillId="0" borderId="11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7" fontId="39" fillId="0" borderId="0" xfId="0" applyNumberFormat="1" applyFont="1" applyFill="1" applyBorder="1" applyAlignment="1" applyProtection="1">
      <alignment horizontal="center"/>
      <protection/>
    </xf>
    <xf numFmtId="7" fontId="45" fillId="0" borderId="0" xfId="0" applyNumberFormat="1" applyFont="1" applyFill="1" applyBorder="1" applyAlignment="1" applyProtection="1">
      <alignment horizontal="right"/>
      <protection/>
    </xf>
    <xf numFmtId="0" fontId="39" fillId="0" borderId="12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 locked="0"/>
    </xf>
    <xf numFmtId="165" fontId="7" fillId="0" borderId="17" xfId="0" applyNumberFormat="1" applyFont="1" applyBorder="1" applyAlignment="1" applyProtection="1" quotePrefix="1">
      <alignment horizontal="center"/>
      <protection locked="0"/>
    </xf>
    <xf numFmtId="2" fontId="7" fillId="0" borderId="17" xfId="0" applyNumberFormat="1" applyFont="1" applyBorder="1" applyAlignment="1" applyProtection="1" quotePrefix="1">
      <alignment horizont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22" fontId="7" fillId="0" borderId="13" xfId="0" applyNumberFormat="1" applyFont="1" applyFill="1" applyBorder="1" applyAlignment="1" applyProtection="1">
      <alignment horizontal="center"/>
      <protection locked="0"/>
    </xf>
    <xf numFmtId="168" fontId="7" fillId="0" borderId="13" xfId="0" applyNumberFormat="1" applyFont="1" applyFill="1" applyBorder="1" applyAlignment="1" applyProtection="1">
      <alignment horizontal="center"/>
      <protection locked="0"/>
    </xf>
    <xf numFmtId="0" fontId="52" fillId="39" borderId="14" xfId="0" applyFont="1" applyFill="1" applyBorder="1" applyAlignment="1" applyProtection="1">
      <alignment/>
      <protection locked="0"/>
    </xf>
    <xf numFmtId="0" fontId="57" fillId="38" borderId="14" xfId="0" applyFont="1" applyFill="1" applyBorder="1" applyAlignment="1" applyProtection="1">
      <alignment/>
      <protection locked="0"/>
    </xf>
    <xf numFmtId="0" fontId="57" fillId="40" borderId="14" xfId="0" applyFont="1" applyFill="1" applyBorder="1" applyAlignment="1" applyProtection="1">
      <alignment/>
      <protection locked="0"/>
    </xf>
    <xf numFmtId="0" fontId="52" fillId="41" borderId="79" xfId="0" applyFont="1" applyFill="1" applyBorder="1" applyAlignment="1" applyProtection="1">
      <alignment/>
      <protection locked="0"/>
    </xf>
    <xf numFmtId="0" fontId="52" fillId="41" borderId="82" xfId="0" applyFont="1" applyFill="1" applyBorder="1" applyAlignment="1" applyProtection="1">
      <alignment/>
      <protection locked="0"/>
    </xf>
    <xf numFmtId="0" fontId="52" fillId="34" borderId="79" xfId="0" applyFont="1" applyFill="1" applyBorder="1" applyAlignment="1" applyProtection="1">
      <alignment/>
      <protection locked="0"/>
    </xf>
    <xf numFmtId="0" fontId="52" fillId="34" borderId="82" xfId="0" applyFont="1" applyFill="1" applyBorder="1" applyAlignment="1" applyProtection="1">
      <alignment/>
      <protection locked="0"/>
    </xf>
    <xf numFmtId="0" fontId="50" fillId="36" borderId="14" xfId="0" applyFont="1" applyFill="1" applyBorder="1" applyAlignment="1" applyProtection="1">
      <alignment/>
      <protection locked="0"/>
    </xf>
    <xf numFmtId="0" fontId="57" fillId="37" borderId="1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172" fontId="7" fillId="0" borderId="13" xfId="0" applyNumberFormat="1" applyFont="1" applyFill="1" applyBorder="1" applyAlignment="1" applyProtection="1">
      <alignment horizontal="center"/>
      <protection locked="0"/>
    </xf>
    <xf numFmtId="22" fontId="7" fillId="0" borderId="17" xfId="0" applyNumberFormat="1" applyFont="1" applyFill="1" applyBorder="1" applyAlignment="1" applyProtection="1">
      <alignment horizontal="center"/>
      <protection locked="0"/>
    </xf>
    <xf numFmtId="22" fontId="7" fillId="0" borderId="18" xfId="0" applyNumberFormat="1" applyFont="1" applyFill="1" applyBorder="1" applyAlignment="1" applyProtection="1">
      <alignment horizontal="center"/>
      <protection locked="0"/>
    </xf>
    <xf numFmtId="168" fontId="7" fillId="0" borderId="16" xfId="0" applyNumberFormat="1" applyFont="1" applyFill="1" applyBorder="1" applyAlignment="1" applyProtection="1">
      <alignment horizontal="center"/>
      <protection locked="0"/>
    </xf>
    <xf numFmtId="0" fontId="52" fillId="37" borderId="14" xfId="0" applyFont="1" applyFill="1" applyBorder="1" applyAlignment="1" applyProtection="1">
      <alignment/>
      <protection locked="0"/>
    </xf>
    <xf numFmtId="0" fontId="57" fillId="36" borderId="14" xfId="0" applyFont="1" applyFill="1" applyBorder="1" applyAlignment="1" applyProtection="1">
      <alignment/>
      <protection locked="0"/>
    </xf>
    <xf numFmtId="172" fontId="9" fillId="0" borderId="13" xfId="0" applyNumberFormat="1" applyFont="1" applyFill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13" fillId="0" borderId="77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22" fontId="7" fillId="0" borderId="46" xfId="0" applyNumberFormat="1" applyFont="1" applyBorder="1" applyAlignment="1" applyProtection="1">
      <alignment horizontal="center"/>
      <protection locked="0"/>
    </xf>
    <xf numFmtId="22" fontId="7" fillId="0" borderId="15" xfId="0" applyNumberFormat="1" applyFont="1" applyBorder="1" applyAlignment="1" applyProtection="1">
      <alignment horizontal="center"/>
      <protection locked="0"/>
    </xf>
    <xf numFmtId="168" fontId="7" fillId="0" borderId="31" xfId="0" applyNumberFormat="1" applyFont="1" applyBorder="1" applyAlignment="1" applyProtection="1">
      <alignment horizontal="center"/>
      <protection locked="0"/>
    </xf>
    <xf numFmtId="168" fontId="7" fillId="0" borderId="16" xfId="0" applyNumberFormat="1" applyFont="1" applyBorder="1" applyAlignment="1" applyProtection="1">
      <alignment horizontal="center"/>
      <protection locked="0"/>
    </xf>
    <xf numFmtId="164" fontId="55" fillId="39" borderId="14" xfId="0" applyNumberFormat="1" applyFont="1" applyFill="1" applyBorder="1" applyAlignment="1" applyProtection="1">
      <alignment horizontal="center"/>
      <protection locked="0"/>
    </xf>
    <xf numFmtId="2" fontId="57" fillId="40" borderId="14" xfId="0" applyNumberFormat="1" applyFont="1" applyFill="1" applyBorder="1" applyAlignment="1" applyProtection="1">
      <alignment horizontal="center"/>
      <protection locked="0"/>
    </xf>
    <xf numFmtId="168" fontId="57" fillId="37" borderId="82" xfId="0" applyNumberFormat="1" applyFont="1" applyFill="1" applyBorder="1" applyAlignment="1" applyProtection="1" quotePrefix="1">
      <alignment horizontal="center"/>
      <protection locked="0"/>
    </xf>
    <xf numFmtId="168" fontId="57" fillId="36" borderId="14" xfId="0" applyNumberFormat="1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6" fillId="0" borderId="0" xfId="0" applyNumberFormat="1" applyFont="1" applyBorder="1" applyAlignment="1">
      <alignment horizontal="left"/>
    </xf>
    <xf numFmtId="168" fontId="11" fillId="0" borderId="56" xfId="0" applyNumberFormat="1" applyFont="1" applyBorder="1" applyAlignment="1" applyProtection="1">
      <alignment horizontal="center"/>
      <protection/>
    </xf>
    <xf numFmtId="168" fontId="64" fillId="0" borderId="0" xfId="0" applyNumberFormat="1" applyFont="1" applyBorder="1" applyAlignment="1" applyProtection="1" quotePrefix="1">
      <alignment horizontal="left"/>
      <protection/>
    </xf>
    <xf numFmtId="168" fontId="64" fillId="0" borderId="67" xfId="0" applyNumberFormat="1" applyFont="1" applyBorder="1" applyAlignment="1" applyProtection="1" quotePrefix="1">
      <alignment horizontal="left"/>
      <protection/>
    </xf>
    <xf numFmtId="168" fontId="64" fillId="0" borderId="63" xfId="0" applyNumberFormat="1" applyFont="1" applyBorder="1" applyAlignment="1" applyProtection="1" quotePrefix="1">
      <alignment horizontal="left"/>
      <protection/>
    </xf>
    <xf numFmtId="168" fontId="11" fillId="0" borderId="56" xfId="0" applyNumberFormat="1" applyFont="1" applyBorder="1" applyAlignment="1" applyProtection="1">
      <alignment horizontal="left"/>
      <protection/>
    </xf>
    <xf numFmtId="177" fontId="11" fillId="0" borderId="56" xfId="0" applyNumberFormat="1" applyFont="1" applyBorder="1" applyAlignment="1" applyProtection="1">
      <alignment horizontal="right"/>
      <protection/>
    </xf>
    <xf numFmtId="177" fontId="11" fillId="0" borderId="65" xfId="0" applyNumberFormat="1" applyFont="1" applyBorder="1" applyAlignment="1" applyProtection="1">
      <alignment horizontal="right"/>
      <protection/>
    </xf>
    <xf numFmtId="0" fontId="71" fillId="0" borderId="67" xfId="0" applyFont="1" applyBorder="1" applyAlignment="1" applyProtection="1">
      <alignment horizontal="centerContinuous"/>
      <protection/>
    </xf>
    <xf numFmtId="168" fontId="71" fillId="0" borderId="67" xfId="0" applyNumberFormat="1" applyFont="1" applyBorder="1" applyAlignment="1" applyProtection="1">
      <alignment horizontal="center"/>
      <protection/>
    </xf>
    <xf numFmtId="0" fontId="71" fillId="0" borderId="0" xfId="0" applyFont="1" applyBorder="1" applyAlignment="1" applyProtection="1">
      <alignment horizontal="centerContinuous"/>
      <protection/>
    </xf>
    <xf numFmtId="168" fontId="71" fillId="0" borderId="0" xfId="0" applyNumberFormat="1" applyFont="1" applyBorder="1" applyAlignment="1" applyProtection="1">
      <alignment horizontal="center"/>
      <protection/>
    </xf>
    <xf numFmtId="7" fontId="71" fillId="0" borderId="66" xfId="0" applyNumberFormat="1" applyFont="1" applyBorder="1" applyAlignment="1">
      <alignment horizontal="left"/>
    </xf>
    <xf numFmtId="7" fontId="71" fillId="0" borderId="73" xfId="0" applyNumberFormat="1" applyFont="1" applyBorder="1" applyAlignment="1">
      <alignment horizontal="left"/>
    </xf>
    <xf numFmtId="168" fontId="10" fillId="0" borderId="71" xfId="0" applyNumberFormat="1" applyFont="1" applyBorder="1" applyAlignment="1" applyProtection="1">
      <alignment horizontal="center"/>
      <protection/>
    </xf>
    <xf numFmtId="168" fontId="10" fillId="0" borderId="66" xfId="0" applyNumberFormat="1" applyFont="1" applyBorder="1" applyAlignment="1" applyProtection="1">
      <alignment horizontal="center"/>
      <protection/>
    </xf>
    <xf numFmtId="7" fontId="10" fillId="0" borderId="72" xfId="0" applyNumberFormat="1" applyFont="1" applyBorder="1" applyAlignment="1" applyProtection="1">
      <alignment horizontal="center"/>
      <protection/>
    </xf>
    <xf numFmtId="168" fontId="10" fillId="0" borderId="69" xfId="0" applyNumberFormat="1" applyFont="1" applyBorder="1" applyAlignment="1" applyProtection="1">
      <alignment horizontal="center"/>
      <protection/>
    </xf>
    <xf numFmtId="7" fontId="10" fillId="0" borderId="75" xfId="0" applyNumberFormat="1" applyFont="1" applyBorder="1" applyAlignment="1" applyProtection="1">
      <alignment horizontal="center"/>
      <protection/>
    </xf>
    <xf numFmtId="177" fontId="11" fillId="0" borderId="56" xfId="0" applyNumberFormat="1" applyFont="1" applyBorder="1" applyAlignment="1" applyProtection="1">
      <alignment horizontal="left"/>
      <protection/>
    </xf>
    <xf numFmtId="171" fontId="2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7" fillId="0" borderId="17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Continuous"/>
    </xf>
    <xf numFmtId="0" fontId="7" fillId="0" borderId="83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8" fontId="11" fillId="0" borderId="32" xfId="51" applyNumberFormat="1" applyFont="1" applyBorder="1" applyAlignment="1">
      <alignment horizontal="right"/>
    </xf>
    <xf numFmtId="168" fontId="7" fillId="0" borderId="13" xfId="0" applyNumberFormat="1" applyFont="1" applyBorder="1" applyAlignment="1" applyProtection="1" quotePrefix="1">
      <alignment horizontal="center"/>
      <protection/>
    </xf>
    <xf numFmtId="2" fontId="52" fillId="34" borderId="13" xfId="0" applyNumberFormat="1" applyFont="1" applyFill="1" applyBorder="1" applyAlignment="1" applyProtection="1">
      <alignment horizontal="center"/>
      <protection/>
    </xf>
    <xf numFmtId="2" fontId="52" fillId="35" borderId="13" xfId="0" applyNumberFormat="1" applyFont="1" applyFill="1" applyBorder="1" applyAlignment="1" applyProtection="1">
      <alignment horizontal="center"/>
      <protection/>
    </xf>
    <xf numFmtId="168" fontId="57" fillId="36" borderId="46" xfId="0" applyNumberFormat="1" applyFont="1" applyFill="1" applyBorder="1" applyAlignment="1" applyProtection="1" quotePrefix="1">
      <alignment horizontal="center"/>
      <protection/>
    </xf>
    <xf numFmtId="168" fontId="57" fillId="36" borderId="76" xfId="0" applyNumberFormat="1" applyFont="1" applyFill="1" applyBorder="1" applyAlignment="1" applyProtection="1" quotePrefix="1">
      <alignment horizontal="center"/>
      <protection/>
    </xf>
    <xf numFmtId="4" fontId="57" fillId="36" borderId="16" xfId="0" applyNumberFormat="1" applyFont="1" applyFill="1" applyBorder="1" applyAlignment="1" applyProtection="1">
      <alignment horizontal="center"/>
      <protection/>
    </xf>
    <xf numFmtId="168" fontId="57" fillId="37" borderId="46" xfId="0" applyNumberFormat="1" applyFont="1" applyFill="1" applyBorder="1" applyAlignment="1" applyProtection="1" quotePrefix="1">
      <alignment horizontal="center"/>
      <protection/>
    </xf>
    <xf numFmtId="168" fontId="57" fillId="37" borderId="76" xfId="0" applyNumberFormat="1" applyFont="1" applyFill="1" applyBorder="1" applyAlignment="1" applyProtection="1" quotePrefix="1">
      <alignment horizontal="center"/>
      <protection/>
    </xf>
    <xf numFmtId="4" fontId="57" fillId="37" borderId="16" xfId="0" applyNumberFormat="1" applyFont="1" applyFill="1" applyBorder="1" applyAlignment="1" applyProtection="1">
      <alignment horizontal="center"/>
      <protection/>
    </xf>
    <xf numFmtId="4" fontId="57" fillId="38" borderId="13" xfId="0" applyNumberFormat="1" applyFont="1" applyFill="1" applyBorder="1" applyAlignment="1" applyProtection="1">
      <alignment horizontal="center"/>
      <protection/>
    </xf>
    <xf numFmtId="4" fontId="52" fillId="39" borderId="13" xfId="0" applyNumberFormat="1" applyFont="1" applyFill="1" applyBorder="1" applyAlignment="1" applyProtection="1">
      <alignment horizontal="center"/>
      <protection/>
    </xf>
    <xf numFmtId="4" fontId="7" fillId="0" borderId="13" xfId="0" applyNumberFormat="1" applyFont="1" applyBorder="1" applyAlignment="1" applyProtection="1">
      <alignment horizontal="center"/>
      <protection/>
    </xf>
    <xf numFmtId="168" fontId="7" fillId="0" borderId="13" xfId="0" applyNumberFormat="1" applyFont="1" applyFill="1" applyBorder="1" applyAlignment="1" applyProtection="1" quotePrefix="1">
      <alignment horizontal="center"/>
      <protection/>
    </xf>
    <xf numFmtId="2" fontId="57" fillId="38" borderId="13" xfId="0" applyNumberFormat="1" applyFont="1" applyFill="1" applyBorder="1" applyAlignment="1" applyProtection="1">
      <alignment horizontal="center"/>
      <protection/>
    </xf>
    <xf numFmtId="2" fontId="57" fillId="40" borderId="13" xfId="0" applyNumberFormat="1" applyFont="1" applyFill="1" applyBorder="1" applyAlignment="1" applyProtection="1">
      <alignment horizontal="center"/>
      <protection/>
    </xf>
    <xf numFmtId="2" fontId="57" fillId="36" borderId="13" xfId="0" applyNumberFormat="1" applyFont="1" applyFill="1" applyBorder="1" applyAlignment="1" applyProtection="1">
      <alignment horizontal="center"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164" fontId="55" fillId="39" borderId="13" xfId="0" applyNumberFormat="1" applyFont="1" applyFill="1" applyBorder="1" applyAlignment="1" applyProtection="1">
      <alignment horizontal="center"/>
      <protection/>
    </xf>
    <xf numFmtId="2" fontId="57" fillId="40" borderId="13" xfId="0" applyNumberFormat="1" applyFont="1" applyFill="1" applyBorder="1" applyAlignment="1" applyProtection="1">
      <alignment horizontal="center"/>
      <protection/>
    </xf>
    <xf numFmtId="168" fontId="57" fillId="37" borderId="18" xfId="0" applyNumberFormat="1" applyFont="1" applyFill="1" applyBorder="1" applyAlignment="1" applyProtection="1" quotePrefix="1">
      <alignment horizontal="center"/>
      <protection/>
    </xf>
    <xf numFmtId="168" fontId="57" fillId="36" borderId="13" xfId="0" applyNumberFormat="1" applyFont="1" applyFill="1" applyBorder="1" applyAlignment="1" applyProtection="1" quotePrefix="1">
      <alignment horizontal="center"/>
      <protection/>
    </xf>
    <xf numFmtId="0" fontId="55" fillId="0" borderId="0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84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 applyProtection="1">
      <alignment/>
      <protection/>
    </xf>
    <xf numFmtId="0" fontId="55" fillId="0" borderId="11" xfId="0" applyFont="1" applyFill="1" applyBorder="1" applyAlignment="1" applyProtection="1">
      <alignment/>
      <protection/>
    </xf>
    <xf numFmtId="0" fontId="55" fillId="0" borderId="84" xfId="0" applyFont="1" applyFill="1" applyBorder="1" applyAlignment="1" applyProtection="1">
      <alignment/>
      <protection/>
    </xf>
    <xf numFmtId="0" fontId="55" fillId="0" borderId="12" xfId="0" applyFont="1" applyFill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177" fontId="11" fillId="0" borderId="67" xfId="0" applyNumberFormat="1" applyFont="1" applyBorder="1" applyAlignment="1" applyProtection="1">
      <alignment horizontal="right"/>
      <protection/>
    </xf>
    <xf numFmtId="7" fontId="0" fillId="0" borderId="0" xfId="0" applyNumberFormat="1" applyBorder="1" applyAlignment="1">
      <alignment horizontal="center"/>
    </xf>
    <xf numFmtId="7" fontId="71" fillId="0" borderId="69" xfId="0" applyNumberFormat="1" applyFont="1" applyBorder="1" applyAlignment="1">
      <alignment horizontal="left"/>
    </xf>
    <xf numFmtId="0" fontId="71" fillId="0" borderId="63" xfId="0" applyFont="1" applyBorder="1" applyAlignment="1" applyProtection="1">
      <alignment horizontal="centerContinuous"/>
      <protection/>
    </xf>
    <xf numFmtId="168" fontId="71" fillId="0" borderId="63" xfId="0" applyNumberFormat="1" applyFont="1" applyBorder="1" applyAlignment="1" applyProtection="1">
      <alignment horizontal="center"/>
      <protection/>
    </xf>
    <xf numFmtId="0" fontId="71" fillId="0" borderId="0" xfId="0" applyFont="1" applyBorder="1" applyAlignment="1">
      <alignment horizontal="left"/>
    </xf>
    <xf numFmtId="0" fontId="71" fillId="0" borderId="0" xfId="0" applyFont="1" applyBorder="1" applyAlignment="1" applyProtection="1">
      <alignment horizontal="left"/>
      <protection/>
    </xf>
    <xf numFmtId="0" fontId="74" fillId="0" borderId="0" xfId="0" applyFont="1" applyAlignment="1">
      <alignment/>
    </xf>
    <xf numFmtId="0" fontId="74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5" fillId="0" borderId="0" xfId="0" applyFont="1" applyBorder="1" applyAlignment="1">
      <alignment horizontal="centerContinuous"/>
    </xf>
    <xf numFmtId="0" fontId="76" fillId="0" borderId="0" xfId="0" applyFont="1" applyBorder="1" applyAlignment="1" applyProtection="1">
      <alignment horizontal="left"/>
      <protection/>
    </xf>
    <xf numFmtId="0" fontId="77" fillId="0" borderId="0" xfId="0" applyFont="1" applyBorder="1" applyAlignment="1" applyProtection="1">
      <alignment horizontal="centerContinuous"/>
      <protection/>
    </xf>
    <xf numFmtId="0" fontId="77" fillId="0" borderId="0" xfId="0" applyFont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8" fillId="0" borderId="20" xfId="0" applyFont="1" applyBorder="1" applyAlignment="1">
      <alignment/>
    </xf>
    <xf numFmtId="0" fontId="0" fillId="0" borderId="21" xfId="0" applyBorder="1" applyAlignment="1">
      <alignment/>
    </xf>
    <xf numFmtId="0" fontId="78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84" xfId="0" applyBorder="1" applyAlignment="1">
      <alignment/>
    </xf>
    <xf numFmtId="0" fontId="78" fillId="0" borderId="0" xfId="0" applyFont="1" applyBorder="1" applyAlignment="1" applyProtection="1">
      <alignment horizontal="center"/>
      <protection/>
    </xf>
    <xf numFmtId="0" fontId="78" fillId="0" borderId="0" xfId="0" applyFont="1" applyBorder="1" applyAlignment="1">
      <alignment/>
    </xf>
    <xf numFmtId="0" fontId="0" fillId="0" borderId="11" xfId="0" applyBorder="1" applyAlignment="1">
      <alignment horizontal="centerContinuous" vertical="center"/>
    </xf>
    <xf numFmtId="0" fontId="0" fillId="42" borderId="34" xfId="0" applyFont="1" applyFill="1" applyBorder="1" applyAlignment="1">
      <alignment horizontal="centerContinuous" vertical="center"/>
    </xf>
    <xf numFmtId="0" fontId="79" fillId="42" borderId="85" xfId="0" applyFont="1" applyFill="1" applyBorder="1" applyAlignment="1" applyProtection="1">
      <alignment horizontal="centerContinuous" vertical="center"/>
      <protection/>
    </xf>
    <xf numFmtId="0" fontId="79" fillId="42" borderId="85" xfId="0" applyFont="1" applyFill="1" applyBorder="1" applyAlignment="1" applyProtection="1">
      <alignment horizontal="centerContinuous" vertical="center" wrapText="1"/>
      <protection/>
    </xf>
    <xf numFmtId="168" fontId="79" fillId="42" borderId="32" xfId="0" applyNumberFormat="1" applyFont="1" applyFill="1" applyBorder="1" applyAlignment="1" applyProtection="1">
      <alignment horizontal="centerContinuous" vertical="center" wrapText="1"/>
      <protection/>
    </xf>
    <xf numFmtId="17" fontId="79" fillId="42" borderId="3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42" borderId="15" xfId="0" applyFont="1" applyFill="1" applyBorder="1" applyAlignment="1">
      <alignment/>
    </xf>
    <xf numFmtId="0" fontId="78" fillId="42" borderId="86" xfId="0" applyFont="1" applyFill="1" applyBorder="1" applyAlignment="1">
      <alignment/>
    </xf>
    <xf numFmtId="0" fontId="78" fillId="42" borderId="40" xfId="0" applyFont="1" applyFill="1" applyBorder="1" applyAlignment="1">
      <alignment/>
    </xf>
    <xf numFmtId="0" fontId="0" fillId="0" borderId="83" xfId="0" applyBorder="1" applyAlignment="1">
      <alignment/>
    </xf>
    <xf numFmtId="0" fontId="7" fillId="42" borderId="42" xfId="0" applyFont="1" applyFill="1" applyBorder="1" applyAlignment="1">
      <alignment horizontal="center"/>
    </xf>
    <xf numFmtId="0" fontId="7" fillId="42" borderId="87" xfId="0" applyFont="1" applyFill="1" applyBorder="1" applyAlignment="1" applyProtection="1">
      <alignment horizontal="center"/>
      <protection/>
    </xf>
    <xf numFmtId="2" fontId="7" fillId="42" borderId="88" xfId="0" applyNumberFormat="1" applyFont="1" applyFill="1" applyBorder="1" applyAlignment="1" applyProtection="1">
      <alignment horizontal="center"/>
      <protection/>
    </xf>
    <xf numFmtId="1" fontId="7" fillId="43" borderId="88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0" fontId="10" fillId="44" borderId="28" xfId="0" applyFont="1" applyFill="1" applyBorder="1" applyAlignment="1">
      <alignment horizontal="center"/>
    </xf>
    <xf numFmtId="0" fontId="10" fillId="44" borderId="17" xfId="0" applyFont="1" applyFill="1" applyBorder="1" applyAlignment="1">
      <alignment horizontal="center"/>
    </xf>
    <xf numFmtId="0" fontId="10" fillId="42" borderId="28" xfId="0" applyFont="1" applyFill="1" applyBorder="1" applyAlignment="1">
      <alignment horizontal="center"/>
    </xf>
    <xf numFmtId="0" fontId="10" fillId="42" borderId="17" xfId="0" applyFont="1" applyFill="1" applyBorder="1" applyAlignment="1">
      <alignment horizontal="center"/>
    </xf>
    <xf numFmtId="0" fontId="10" fillId="42" borderId="89" xfId="0" applyFont="1" applyFill="1" applyBorder="1" applyAlignment="1">
      <alignment horizontal="center"/>
    </xf>
    <xf numFmtId="0" fontId="10" fillId="42" borderId="78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right"/>
      <protection/>
    </xf>
    <xf numFmtId="168" fontId="5" fillId="0" borderId="14" xfId="0" applyNumberFormat="1" applyFont="1" applyFill="1" applyBorder="1" applyAlignment="1" applyProtection="1">
      <alignment horizontal="center"/>
      <protection/>
    </xf>
    <xf numFmtId="1" fontId="0" fillId="42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7" fillId="42" borderId="32" xfId="0" applyNumberFormat="1" applyFont="1" applyFill="1" applyBorder="1" applyAlignment="1" applyProtection="1">
      <alignment horizontal="center"/>
      <protection/>
    </xf>
    <xf numFmtId="17" fontId="5" fillId="0" borderId="0" xfId="0" applyNumberFormat="1" applyFont="1" applyFill="1" applyBorder="1" applyAlignment="1">
      <alignment horizontal="right"/>
    </xf>
    <xf numFmtId="2" fontId="11" fillId="42" borderId="32" xfId="0" applyNumberFormat="1" applyFont="1" applyFill="1" applyBorder="1" applyAlignment="1">
      <alignment horizontal="center"/>
    </xf>
    <xf numFmtId="0" fontId="7" fillId="42" borderId="9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/>
    </xf>
    <xf numFmtId="0" fontId="8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2" fontId="81" fillId="0" borderId="33" xfId="0" applyNumberFormat="1" applyFont="1" applyBorder="1" applyAlignment="1">
      <alignment horizontal="center"/>
    </xf>
    <xf numFmtId="0" fontId="80" fillId="0" borderId="22" xfId="0" applyFont="1" applyBorder="1" applyAlignment="1">
      <alignment/>
    </xf>
    <xf numFmtId="0" fontId="5" fillId="0" borderId="23" xfId="0" applyFont="1" applyBorder="1" applyAlignment="1" applyProtection="1">
      <alignment horizontal="left"/>
      <protection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35" xfId="0" applyFont="1" applyBorder="1" applyAlignment="1" applyProtection="1">
      <alignment horizontal="centerContinuous"/>
      <protection/>
    </xf>
    <xf numFmtId="168" fontId="10" fillId="0" borderId="64" xfId="0" applyNumberFormat="1" applyFont="1" applyBorder="1" applyAlignment="1" applyProtection="1">
      <alignment horizontal="center"/>
      <protection/>
    </xf>
    <xf numFmtId="7" fontId="10" fillId="0" borderId="71" xfId="0" applyNumberFormat="1" applyFont="1" applyBorder="1" applyAlignment="1" applyProtection="1">
      <alignment horizontal="center"/>
      <protection/>
    </xf>
    <xf numFmtId="173" fontId="0" fillId="0" borderId="34" xfId="0" applyNumberFormat="1" applyFont="1" applyBorder="1" applyAlignment="1">
      <alignment horizontal="center" vertical="center"/>
    </xf>
    <xf numFmtId="173" fontId="0" fillId="0" borderId="35" xfId="0" applyNumberFormat="1" applyFont="1" applyBorder="1" applyAlignment="1">
      <alignment horizontal="center" vertical="center"/>
    </xf>
    <xf numFmtId="171" fontId="0" fillId="0" borderId="91" xfId="0" applyNumberFormat="1" applyFont="1" applyBorder="1" applyAlignment="1" applyProtection="1">
      <alignment horizontal="center"/>
      <protection/>
    </xf>
    <xf numFmtId="171" fontId="0" fillId="0" borderId="51" xfId="0" applyNumberFormat="1" applyFont="1" applyBorder="1" applyAlignment="1" applyProtection="1">
      <alignment horizontal="center"/>
      <protection/>
    </xf>
    <xf numFmtId="171" fontId="25" fillId="0" borderId="64" xfId="0" applyNumberFormat="1" applyFont="1" applyBorder="1" applyAlignment="1">
      <alignment horizontal="center"/>
    </xf>
    <xf numFmtId="171" fontId="25" fillId="0" borderId="57" xfId="0" applyNumberFormat="1" applyFont="1" applyBorder="1" applyAlignment="1">
      <alignment horizontal="center"/>
    </xf>
    <xf numFmtId="171" fontId="25" fillId="0" borderId="92" xfId="0" applyNumberFormat="1" applyFont="1" applyBorder="1" applyAlignment="1">
      <alignment horizontal="center"/>
    </xf>
    <xf numFmtId="171" fontId="25" fillId="0" borderId="62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2790825"/>
          <a:ext cx="2771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</xdr:colOff>
      <xdr:row>0</xdr:row>
      <xdr:rowOff>47625</xdr:rowOff>
    </xdr:from>
    <xdr:to>
      <xdr:col>1</xdr:col>
      <xdr:colOff>723900</xdr:colOff>
      <xdr:row>2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47625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</xdr:colOff>
      <xdr:row>0</xdr:row>
      <xdr:rowOff>47625</xdr:rowOff>
    </xdr:from>
    <xdr:to>
      <xdr:col>1</xdr:col>
      <xdr:colOff>733425</xdr:colOff>
      <xdr:row>2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47625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SPA\TBASET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EA17" t="str">
            <v>XXXX</v>
          </cell>
          <cell r="EB17" t="str">
            <v>XXXX</v>
          </cell>
          <cell r="EC17" t="str">
            <v>XXXX</v>
          </cell>
          <cell r="ED17" t="str">
            <v>XXXX</v>
          </cell>
          <cell r="EE17" t="str">
            <v>XXXX</v>
          </cell>
          <cell r="EF17" t="str">
            <v>XXXX</v>
          </cell>
          <cell r="EG17" t="str">
            <v>XXXX</v>
          </cell>
          <cell r="EH17" t="str">
            <v>XXXX</v>
          </cell>
          <cell r="EI17" t="str">
            <v>XXXX</v>
          </cell>
          <cell r="EJ17" t="str">
            <v>XXXX</v>
          </cell>
          <cell r="EK17" t="str">
            <v>XXXX</v>
          </cell>
          <cell r="EL17" t="str">
            <v>XXXX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  <sheetName val="FM"/>
    </sheetNames>
    <sheetDataSet>
      <sheetData sheetId="0">
        <row r="15">
          <cell r="HU15">
            <v>41395</v>
          </cell>
          <cell r="HV15">
            <v>41426</v>
          </cell>
          <cell r="HW15">
            <v>41456</v>
          </cell>
          <cell r="HX15">
            <v>41487</v>
          </cell>
          <cell r="HY15">
            <v>41518</v>
          </cell>
          <cell r="HZ15">
            <v>41548</v>
          </cell>
          <cell r="IA15">
            <v>41579</v>
          </cell>
          <cell r="IB15">
            <v>41609</v>
          </cell>
          <cell r="IC15">
            <v>41640</v>
          </cell>
          <cell r="ID15">
            <v>41671</v>
          </cell>
          <cell r="IE15">
            <v>41699</v>
          </cell>
          <cell r="IF15">
            <v>41730</v>
          </cell>
          <cell r="IG15">
            <v>41760</v>
          </cell>
        </row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HU17" t="str">
            <v>XXXX</v>
          </cell>
          <cell r="HV17" t="str">
            <v>XXXX</v>
          </cell>
          <cell r="HW17" t="str">
            <v>XXXX</v>
          </cell>
          <cell r="HX17" t="str">
            <v>XXXX</v>
          </cell>
          <cell r="HY17" t="str">
            <v>XXXX</v>
          </cell>
          <cell r="HZ17" t="str">
            <v>XXXX</v>
          </cell>
          <cell r="IA17" t="str">
            <v>XXXX</v>
          </cell>
          <cell r="IB17" t="str">
            <v>XXXX</v>
          </cell>
          <cell r="IC17" t="str">
            <v>XXXX</v>
          </cell>
          <cell r="ID17" t="str">
            <v>XXXX</v>
          </cell>
          <cell r="IE17" t="str">
            <v>XXXX</v>
          </cell>
          <cell r="IF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HW18">
            <v>1</v>
          </cell>
          <cell r="IB18">
            <v>1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  <cell r="IF19">
            <v>1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</v>
          </cell>
          <cell r="HX20">
            <v>1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</v>
          </cell>
          <cell r="IF21">
            <v>1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  <cell r="HX24">
            <v>1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  <cell r="HW25">
            <v>1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  <cell r="HU31" t="str">
            <v>XXXX</v>
          </cell>
          <cell r="HV31" t="str">
            <v>XXXX</v>
          </cell>
          <cell r="HW31" t="str">
            <v>XXXX</v>
          </cell>
          <cell r="HX31" t="str">
            <v>XXXX</v>
          </cell>
          <cell r="HY31" t="str">
            <v>XXXX</v>
          </cell>
          <cell r="HZ31" t="str">
            <v>XXXX</v>
          </cell>
          <cell r="IA31" t="str">
            <v>XXXX</v>
          </cell>
          <cell r="IB31" t="str">
            <v>XXXX</v>
          </cell>
          <cell r="IC31" t="str">
            <v>XXXX</v>
          </cell>
          <cell r="ID31" t="str">
            <v>XXXX</v>
          </cell>
          <cell r="IE31" t="str">
            <v>XXXX</v>
          </cell>
          <cell r="IF31" t="str">
            <v>XXXX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  <cell r="IF32">
            <v>1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HU34" t="str">
            <v>XXXX</v>
          </cell>
          <cell r="HV34" t="str">
            <v>XXXX</v>
          </cell>
          <cell r="HW34" t="str">
            <v>XXXX</v>
          </cell>
          <cell r="HX34" t="str">
            <v>XXXX</v>
          </cell>
          <cell r="HY34" t="str">
            <v>XXXX</v>
          </cell>
          <cell r="HZ34" t="str">
            <v>XXXX</v>
          </cell>
          <cell r="IA34" t="str">
            <v>XXXX</v>
          </cell>
          <cell r="IB34" t="str">
            <v>XXXX</v>
          </cell>
          <cell r="IC34" t="str">
            <v>XXXX</v>
          </cell>
          <cell r="ID34" t="str">
            <v>XXXX</v>
          </cell>
          <cell r="IE34" t="str">
            <v>XXXX</v>
          </cell>
          <cell r="IF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  <cell r="HU35" t="str">
            <v>XXXX</v>
          </cell>
          <cell r="HV35" t="str">
            <v>XXXX</v>
          </cell>
          <cell r="HW35" t="str">
            <v>XXXX</v>
          </cell>
          <cell r="HX35" t="str">
            <v>XXXX</v>
          </cell>
          <cell r="HY35" t="str">
            <v>XXXX</v>
          </cell>
          <cell r="HZ35" t="str">
            <v>XXXX</v>
          </cell>
          <cell r="IA35" t="str">
            <v>XXXX</v>
          </cell>
          <cell r="IB35" t="str">
            <v>XXXX</v>
          </cell>
          <cell r="IC35" t="str">
            <v>XXXX</v>
          </cell>
          <cell r="ID35" t="str">
            <v>XXXX</v>
          </cell>
          <cell r="IE35" t="str">
            <v>XXXX</v>
          </cell>
          <cell r="IF35" t="str">
            <v>XXXX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4.9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  <cell r="IB41">
            <v>1</v>
          </cell>
          <cell r="IF41">
            <v>2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</row>
        <row r="45">
          <cell r="C45">
            <v>40</v>
          </cell>
          <cell r="D45" t="str">
            <v>RAWSON-RAWSONG1 </v>
          </cell>
          <cell r="E45">
            <v>132</v>
          </cell>
          <cell r="F45">
            <v>7.2</v>
          </cell>
        </row>
        <row r="47">
          <cell r="C47">
            <v>19</v>
          </cell>
          <cell r="D47" t="str">
            <v>PUNTA COLORADA - SIERRA GRANDE</v>
          </cell>
          <cell r="E47">
            <v>132</v>
          </cell>
          <cell r="F47">
            <v>31</v>
          </cell>
          <cell r="IB47">
            <v>1</v>
          </cell>
          <cell r="ID47">
            <v>1</v>
          </cell>
        </row>
        <row r="48">
          <cell r="C48">
            <v>20</v>
          </cell>
          <cell r="D48" t="str">
            <v>CARMEN DE PATAGONES - VIEDMA</v>
          </cell>
          <cell r="E48">
            <v>132</v>
          </cell>
          <cell r="F48">
            <v>7</v>
          </cell>
          <cell r="HU48" t="str">
            <v>XXXX</v>
          </cell>
          <cell r="HV48" t="str">
            <v>XXXX</v>
          </cell>
          <cell r="HW48" t="str">
            <v>XXXX</v>
          </cell>
          <cell r="HX48" t="str">
            <v>XXXX</v>
          </cell>
          <cell r="HY48" t="str">
            <v>XXXX</v>
          </cell>
          <cell r="HZ48" t="str">
            <v>XXXX</v>
          </cell>
          <cell r="IA48" t="str">
            <v>XXXX</v>
          </cell>
          <cell r="IB48" t="str">
            <v>XXXX</v>
          </cell>
          <cell r="IC48" t="str">
            <v>XXXX</v>
          </cell>
          <cell r="ID48" t="str">
            <v>XXXX</v>
          </cell>
          <cell r="IE48" t="str">
            <v>XXXX</v>
          </cell>
          <cell r="IF48" t="str">
            <v>XXXX</v>
          </cell>
        </row>
        <row r="49">
          <cell r="D49" t="str">
            <v>CARMEN DE PATAGONES - VIEDMA</v>
          </cell>
          <cell r="E49">
            <v>132</v>
          </cell>
          <cell r="F49">
            <v>4.4</v>
          </cell>
          <cell r="IB49">
            <v>1</v>
          </cell>
        </row>
        <row r="50">
          <cell r="C50">
            <v>21</v>
          </cell>
          <cell r="D50" t="str">
            <v>SAN ANTONIO OESTE - SIERRA GRANDE</v>
          </cell>
          <cell r="E50">
            <v>132</v>
          </cell>
          <cell r="F50">
            <v>110.3</v>
          </cell>
          <cell r="IA50">
            <v>1</v>
          </cell>
          <cell r="IF50">
            <v>1</v>
          </cell>
        </row>
        <row r="51">
          <cell r="C51">
            <v>22</v>
          </cell>
          <cell r="D51" t="str">
            <v>SAN ANTONIO OESTE -VIEDMA-SAN ANTONIO ESTE</v>
          </cell>
          <cell r="E51">
            <v>132</v>
          </cell>
          <cell r="F51">
            <v>185.6</v>
          </cell>
          <cell r="IB51">
            <v>1</v>
          </cell>
          <cell r="ID51">
            <v>2</v>
          </cell>
          <cell r="IE51">
            <v>4</v>
          </cell>
          <cell r="IF51">
            <v>3</v>
          </cell>
        </row>
        <row r="52">
          <cell r="C52">
            <v>32</v>
          </cell>
          <cell r="D52" t="str">
            <v>SAN ANTONIO ESTE - VIEDMA</v>
          </cell>
          <cell r="E52">
            <v>132</v>
          </cell>
          <cell r="F52">
            <v>162.6</v>
          </cell>
          <cell r="HU52" t="str">
            <v>XXXX</v>
          </cell>
          <cell r="HV52" t="str">
            <v>XXXX</v>
          </cell>
          <cell r="HW52" t="str">
            <v>XXXX</v>
          </cell>
          <cell r="HX52" t="str">
            <v>XXXX</v>
          </cell>
          <cell r="HY52" t="str">
            <v>XXXX</v>
          </cell>
          <cell r="HZ52" t="str">
            <v>XXXX</v>
          </cell>
          <cell r="IA52" t="str">
            <v>XXXX</v>
          </cell>
          <cell r="IB52" t="str">
            <v>XXXX</v>
          </cell>
          <cell r="IC52" t="str">
            <v>XXXX</v>
          </cell>
          <cell r="ID52" t="str">
            <v>XXXX</v>
          </cell>
          <cell r="IE52" t="str">
            <v>XXXX</v>
          </cell>
          <cell r="IF52" t="str">
            <v>XXXX</v>
          </cell>
        </row>
        <row r="54">
          <cell r="C54">
            <v>23</v>
          </cell>
          <cell r="D54" t="str">
            <v>PICO TRUNCADO I - PUERTO DESEADO</v>
          </cell>
          <cell r="E54">
            <v>132</v>
          </cell>
          <cell r="F54">
            <v>209</v>
          </cell>
          <cell r="HU54" t="str">
            <v>XXXX</v>
          </cell>
          <cell r="HV54" t="str">
            <v>XXXX</v>
          </cell>
          <cell r="HW54" t="str">
            <v>XXXX</v>
          </cell>
          <cell r="HX54" t="str">
            <v>XXXX</v>
          </cell>
          <cell r="HY54" t="str">
            <v>XXXX</v>
          </cell>
          <cell r="HZ54" t="str">
            <v>XXXX</v>
          </cell>
          <cell r="IA54" t="str">
            <v>XXXX</v>
          </cell>
          <cell r="IB54" t="str">
            <v>XXXX</v>
          </cell>
          <cell r="IC54" t="str">
            <v>XXXX</v>
          </cell>
          <cell r="ID54" t="str">
            <v>XXXX</v>
          </cell>
          <cell r="IE54" t="str">
            <v>XXXX</v>
          </cell>
          <cell r="IF54" t="str">
            <v>XXXX</v>
          </cell>
        </row>
        <row r="55">
          <cell r="C55">
            <v>35</v>
          </cell>
          <cell r="D55" t="str">
            <v>PICO TRUNCADO I - PTQ C.RIVADAVIA</v>
          </cell>
          <cell r="E55">
            <v>132</v>
          </cell>
          <cell r="F55">
            <v>1.5</v>
          </cell>
        </row>
        <row r="56">
          <cell r="C56">
            <v>36</v>
          </cell>
          <cell r="D56" t="str">
            <v>PTQ C.RIVADAVIA - P.DESEADO</v>
          </cell>
          <cell r="E56">
            <v>132</v>
          </cell>
          <cell r="F56">
            <v>207.5</v>
          </cell>
        </row>
        <row r="58">
          <cell r="C58">
            <v>24</v>
          </cell>
          <cell r="D58" t="str">
            <v>E.T. PATAGONIA - PAMPA DEL CASTILLO</v>
          </cell>
          <cell r="E58">
            <v>132</v>
          </cell>
          <cell r="F58">
            <v>42.6</v>
          </cell>
          <cell r="HU58" t="str">
            <v>XXXX</v>
          </cell>
          <cell r="HV58" t="str">
            <v>XXXX</v>
          </cell>
          <cell r="HW58" t="str">
            <v>XXXX</v>
          </cell>
          <cell r="HX58" t="str">
            <v>XXXX</v>
          </cell>
          <cell r="HY58" t="str">
            <v>XXXX</v>
          </cell>
          <cell r="HZ58" t="str">
            <v>XXXX</v>
          </cell>
          <cell r="IA58" t="str">
            <v>XXXX</v>
          </cell>
          <cell r="IB58" t="str">
            <v>XXXX</v>
          </cell>
          <cell r="IC58" t="str">
            <v>XXXX</v>
          </cell>
          <cell r="ID58" t="str">
            <v>XXXX</v>
          </cell>
          <cell r="IE58" t="str">
            <v>XXXX</v>
          </cell>
          <cell r="IF58" t="str">
            <v>XXXX</v>
          </cell>
        </row>
        <row r="59">
          <cell r="C59">
            <v>25</v>
          </cell>
          <cell r="D59" t="str">
            <v>PAMPA DEL CASTILLO - VALLE HERMOSO</v>
          </cell>
          <cell r="E59">
            <v>132</v>
          </cell>
          <cell r="F59">
            <v>33.6</v>
          </cell>
          <cell r="HW59">
            <v>1</v>
          </cell>
        </row>
        <row r="60">
          <cell r="C60">
            <v>26</v>
          </cell>
          <cell r="D60" t="str">
            <v>VALLE HERMOSO - CERRO NEGRO</v>
          </cell>
          <cell r="E60">
            <v>132</v>
          </cell>
          <cell r="F60">
            <v>41</v>
          </cell>
        </row>
        <row r="61">
          <cell r="C61">
            <v>33</v>
          </cell>
          <cell r="D61" t="str">
            <v>E.T. PATAGONIA - DIADEMA</v>
          </cell>
          <cell r="E61">
            <v>132</v>
          </cell>
          <cell r="F61">
            <v>15</v>
          </cell>
        </row>
        <row r="62">
          <cell r="C62">
            <v>34</v>
          </cell>
          <cell r="D62" t="str">
            <v>DIADEMA - PAMAPA DEL CASTILLO</v>
          </cell>
          <cell r="E62">
            <v>132</v>
          </cell>
          <cell r="F62">
            <v>27.6</v>
          </cell>
          <cell r="HW62">
            <v>1</v>
          </cell>
        </row>
        <row r="63">
          <cell r="C63">
            <v>29</v>
          </cell>
          <cell r="D63" t="str">
            <v>ESQUEL-EL COHIUE</v>
          </cell>
          <cell r="E63">
            <v>132</v>
          </cell>
          <cell r="F63">
            <v>127.98</v>
          </cell>
          <cell r="HV63">
            <v>1</v>
          </cell>
          <cell r="HX63">
            <v>1</v>
          </cell>
          <cell r="IF63">
            <v>1</v>
          </cell>
        </row>
        <row r="65">
          <cell r="C65">
            <v>41</v>
          </cell>
          <cell r="D65" t="str">
            <v>ESPERANZA PAT - RIO TURBIO 220 1</v>
          </cell>
          <cell r="E65">
            <v>220</v>
          </cell>
          <cell r="F65">
            <v>149</v>
          </cell>
          <cell r="HU65" t="str">
            <v>XXXX</v>
          </cell>
          <cell r="HV65" t="str">
            <v>XXXX</v>
          </cell>
          <cell r="HW65" t="str">
            <v>XXXX</v>
          </cell>
          <cell r="HX65" t="str">
            <v>XXXX</v>
          </cell>
        </row>
        <row r="66">
          <cell r="C66">
            <v>42</v>
          </cell>
          <cell r="D66" t="str">
            <v>ESPERANZA PAT - RIO GALLEGOS 220 1</v>
          </cell>
          <cell r="E66">
            <v>220</v>
          </cell>
          <cell r="F66">
            <v>128</v>
          </cell>
          <cell r="HU66" t="str">
            <v>XXXX</v>
          </cell>
          <cell r="HV66" t="str">
            <v>XXXX</v>
          </cell>
          <cell r="HW66" t="str">
            <v>XXXX</v>
          </cell>
          <cell r="HX66" t="str">
            <v>XXXX</v>
          </cell>
          <cell r="IE66">
            <v>1</v>
          </cell>
        </row>
        <row r="73">
          <cell r="HU73">
            <v>0.9</v>
          </cell>
          <cell r="HV73">
            <v>0.83</v>
          </cell>
          <cell r="HW73">
            <v>0.8</v>
          </cell>
          <cell r="HX73">
            <v>0.9</v>
          </cell>
          <cell r="HY73">
            <v>0.9</v>
          </cell>
          <cell r="HZ73">
            <v>0.82</v>
          </cell>
          <cell r="IA73">
            <v>0.73</v>
          </cell>
          <cell r="IB73">
            <v>0.7</v>
          </cell>
          <cell r="IC73">
            <v>0.79</v>
          </cell>
          <cell r="ID73">
            <v>0.67</v>
          </cell>
          <cell r="IE73">
            <v>0.7</v>
          </cell>
          <cell r="IF73">
            <v>0.82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11" customWidth="1"/>
    <col min="2" max="2" width="7.7109375" style="11" customWidth="1"/>
    <col min="3" max="3" width="9.8515625" style="11" customWidth="1"/>
    <col min="4" max="4" width="10.7109375" style="11" customWidth="1"/>
    <col min="5" max="5" width="10.57421875" style="11" customWidth="1"/>
    <col min="6" max="6" width="15.7109375" style="11" customWidth="1"/>
    <col min="7" max="7" width="24.28125" style="11" customWidth="1"/>
    <col min="8" max="8" width="12.421875" style="11" customWidth="1"/>
    <col min="9" max="9" width="15.7109375" style="11" customWidth="1"/>
    <col min="10" max="10" width="15.00390625" style="11" customWidth="1"/>
    <col min="11" max="11" width="15.7109375" style="11" customWidth="1"/>
    <col min="12" max="13" width="11.421875" style="11" customWidth="1"/>
    <col min="14" max="14" width="14.140625" style="11" customWidth="1"/>
    <col min="15" max="15" width="11.421875" style="11" customWidth="1"/>
    <col min="16" max="16" width="14.7109375" style="11" customWidth="1"/>
    <col min="17" max="17" width="11.421875" style="11" customWidth="1"/>
    <col min="18" max="18" width="12.00390625" style="11" customWidth="1"/>
    <col min="19" max="16384" width="11.421875" style="11" customWidth="1"/>
  </cols>
  <sheetData>
    <row r="1" spans="2:11" s="115" customFormat="1" ht="26.25">
      <c r="B1" s="116"/>
      <c r="K1" s="381"/>
    </row>
    <row r="2" spans="2:10" s="115" customFormat="1" ht="26.25">
      <c r="B2" s="116" t="s">
        <v>195</v>
      </c>
      <c r="C2" s="133"/>
      <c r="D2" s="117"/>
      <c r="E2" s="117"/>
      <c r="F2" s="117"/>
      <c r="G2" s="117"/>
      <c r="H2" s="117"/>
      <c r="I2" s="117"/>
      <c r="J2" s="117"/>
    </row>
    <row r="3" spans="3:19" ht="12.75">
      <c r="C3"/>
      <c r="D3" s="36"/>
      <c r="E3" s="36"/>
      <c r="F3" s="36"/>
      <c r="G3" s="36"/>
      <c r="H3" s="36"/>
      <c r="I3" s="36"/>
      <c r="J3" s="36"/>
      <c r="P3" s="9"/>
      <c r="Q3" s="9"/>
      <c r="R3" s="9"/>
      <c r="S3" s="9"/>
    </row>
    <row r="4" spans="1:19" s="118" customFormat="1" ht="11.25">
      <c r="A4" s="134" t="s">
        <v>16</v>
      </c>
      <c r="B4" s="135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19" s="118" customFormat="1" ht="11.25">
      <c r="A5" s="134" t="s">
        <v>17</v>
      </c>
      <c r="B5" s="135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</row>
    <row r="6" spans="2:19" s="115" customFormat="1" ht="26.25">
      <c r="B6" s="137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</row>
    <row r="7" spans="2:19" s="120" customFormat="1" ht="21">
      <c r="B7" s="176" t="s">
        <v>0</v>
      </c>
      <c r="C7" s="139"/>
      <c r="D7" s="140"/>
      <c r="E7" s="140"/>
      <c r="F7" s="141"/>
      <c r="G7" s="141"/>
      <c r="H7" s="141"/>
      <c r="I7" s="141"/>
      <c r="J7" s="141"/>
      <c r="K7" s="42"/>
      <c r="L7" s="42"/>
      <c r="M7" s="42"/>
      <c r="N7" s="42"/>
      <c r="O7" s="42"/>
      <c r="P7" s="42"/>
      <c r="Q7" s="42"/>
      <c r="R7" s="42"/>
      <c r="S7" s="42"/>
    </row>
    <row r="8" spans="9:19" ht="12.75"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 s="120" customFormat="1" ht="21">
      <c r="B9" s="176" t="s">
        <v>1</v>
      </c>
      <c r="C9" s="139"/>
      <c r="D9" s="140"/>
      <c r="E9" s="140"/>
      <c r="F9" s="140"/>
      <c r="G9" s="140"/>
      <c r="H9" s="140"/>
      <c r="I9" s="141"/>
      <c r="J9" s="141"/>
      <c r="K9" s="42"/>
      <c r="L9" s="42"/>
      <c r="M9" s="42"/>
      <c r="N9" s="42"/>
      <c r="O9" s="42"/>
      <c r="P9" s="42"/>
      <c r="Q9" s="42"/>
      <c r="R9" s="42"/>
      <c r="S9" s="42"/>
    </row>
    <row r="10" spans="4:19" ht="12.75">
      <c r="D10" s="142"/>
      <c r="E10" s="14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s="120" customFormat="1" ht="20.25">
      <c r="B11" s="176" t="s">
        <v>183</v>
      </c>
      <c r="C11" s="81"/>
      <c r="D11" s="37"/>
      <c r="E11" s="37"/>
      <c r="F11" s="140"/>
      <c r="G11" s="140"/>
      <c r="H11" s="140"/>
      <c r="I11" s="141"/>
      <c r="J11" s="141"/>
      <c r="K11" s="42"/>
      <c r="L11" s="42"/>
      <c r="M11" s="42"/>
      <c r="N11" s="42"/>
      <c r="O11" s="42"/>
      <c r="P11" s="42"/>
      <c r="Q11" s="42"/>
      <c r="R11" s="42"/>
      <c r="S11" s="42"/>
    </row>
    <row r="12" spans="4:19" s="143" customFormat="1" ht="16.5" thickBot="1">
      <c r="D12" s="8"/>
      <c r="E12" s="8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</row>
    <row r="13" spans="2:19" s="143" customFormat="1" ht="16.5" thickTop="1">
      <c r="B13" s="333">
        <v>1</v>
      </c>
      <c r="C13" s="377"/>
      <c r="D13" s="145"/>
      <c r="E13" s="145"/>
      <c r="F13" s="145"/>
      <c r="G13" s="145"/>
      <c r="H13" s="145"/>
      <c r="I13" s="145"/>
      <c r="J13" s="146"/>
      <c r="K13" s="144"/>
      <c r="L13" s="144"/>
      <c r="M13" s="144"/>
      <c r="N13" s="144"/>
      <c r="O13" s="144"/>
      <c r="P13" s="144"/>
      <c r="Q13" s="144"/>
      <c r="R13" s="144"/>
      <c r="S13" s="144"/>
    </row>
    <row r="14" spans="2:19" s="127" customFormat="1" ht="19.5">
      <c r="B14" s="237" t="s">
        <v>143</v>
      </c>
      <c r="C14" s="147"/>
      <c r="D14" s="148"/>
      <c r="E14" s="149"/>
      <c r="F14" s="149"/>
      <c r="G14" s="149"/>
      <c r="H14" s="149"/>
      <c r="I14" s="123"/>
      <c r="J14" s="126"/>
      <c r="K14" s="44"/>
      <c r="L14" s="44"/>
      <c r="M14" s="44"/>
      <c r="N14" s="44"/>
      <c r="O14" s="44"/>
      <c r="P14" s="44"/>
      <c r="Q14" s="44"/>
      <c r="R14" s="44"/>
      <c r="S14" s="44"/>
    </row>
    <row r="15" spans="2:19" s="127" customFormat="1" ht="9" customHeight="1">
      <c r="B15" s="150"/>
      <c r="C15" s="151"/>
      <c r="D15" s="151"/>
      <c r="E15" s="44"/>
      <c r="F15" s="152"/>
      <c r="G15" s="152"/>
      <c r="H15" s="152"/>
      <c r="I15" s="44"/>
      <c r="J15" s="153"/>
      <c r="K15" s="44"/>
      <c r="L15" s="44"/>
      <c r="M15" s="44"/>
      <c r="N15" s="44"/>
      <c r="O15" s="44"/>
      <c r="P15" s="44"/>
      <c r="Q15" s="44"/>
      <c r="R15" s="44"/>
      <c r="S15" s="44"/>
    </row>
    <row r="16" spans="2:18" s="127" customFormat="1" ht="9" customHeight="1">
      <c r="B16" s="237">
        <f>IF(B13=2,"Sanciones duplicadas por tasa de falla &gt; 4 Sal. x año/100km.","")</f>
      </c>
      <c r="C16" s="240"/>
      <c r="D16" s="240"/>
      <c r="E16" s="123"/>
      <c r="F16" s="149"/>
      <c r="G16" s="149"/>
      <c r="H16" s="123"/>
      <c r="I16" s="81"/>
      <c r="J16" s="126"/>
      <c r="K16" s="44"/>
      <c r="L16" s="44"/>
      <c r="M16" s="44"/>
      <c r="N16" s="44"/>
      <c r="O16" s="44"/>
      <c r="P16" s="44"/>
      <c r="Q16" s="44"/>
      <c r="R16" s="44"/>
    </row>
    <row r="17" spans="2:18" s="127" customFormat="1" ht="9" customHeight="1">
      <c r="B17" s="150"/>
      <c r="C17" s="151"/>
      <c r="D17" s="151"/>
      <c r="E17" s="44"/>
      <c r="F17" s="152"/>
      <c r="G17" s="152"/>
      <c r="H17" s="44"/>
      <c r="I17"/>
      <c r="J17" s="153"/>
      <c r="K17" s="44"/>
      <c r="L17" s="44"/>
      <c r="M17" s="44"/>
      <c r="N17" s="44"/>
      <c r="O17" s="44"/>
      <c r="P17" s="44"/>
      <c r="Q17" s="44"/>
      <c r="R17" s="44"/>
    </row>
    <row r="18" spans="2:19" s="127" customFormat="1" ht="19.5">
      <c r="B18" s="150"/>
      <c r="C18" s="154" t="s">
        <v>18</v>
      </c>
      <c r="D18" s="155" t="s">
        <v>19</v>
      </c>
      <c r="E18" s="44"/>
      <c r="F18" s="152"/>
      <c r="G18" s="152"/>
      <c r="H18" s="152"/>
      <c r="I18" s="43"/>
      <c r="J18" s="153"/>
      <c r="K18" s="44"/>
      <c r="L18" s="44"/>
      <c r="M18" s="44"/>
      <c r="N18" s="44"/>
      <c r="O18" s="44"/>
      <c r="P18" s="44"/>
      <c r="Q18" s="44"/>
      <c r="R18" s="44"/>
      <c r="S18" s="44"/>
    </row>
    <row r="19" spans="2:19" s="127" customFormat="1" ht="19.5">
      <c r="B19" s="150"/>
      <c r="C19"/>
      <c r="D19" s="154" t="s">
        <v>20</v>
      </c>
      <c r="E19" s="155" t="s">
        <v>21</v>
      </c>
      <c r="F19" s="152"/>
      <c r="G19" s="152"/>
      <c r="H19" s="152"/>
      <c r="I19" s="43">
        <f>'LI-05 (1)'!AA43</f>
        <v>23793.62</v>
      </c>
      <c r="J19" s="153"/>
      <c r="K19" s="44"/>
      <c r="L19" s="44"/>
      <c r="M19" s="44"/>
      <c r="N19" s="44"/>
      <c r="O19" s="44"/>
      <c r="P19" s="44"/>
      <c r="Q19" s="44"/>
      <c r="R19" s="44"/>
      <c r="S19" s="44"/>
    </row>
    <row r="20" spans="2:19" s="127" customFormat="1" ht="19.5">
      <c r="B20" s="150"/>
      <c r="C20" s="154"/>
      <c r="D20" s="154" t="s">
        <v>22</v>
      </c>
      <c r="E20" s="155" t="s">
        <v>156</v>
      </c>
      <c r="F20" s="152"/>
      <c r="G20" s="152"/>
      <c r="H20" s="152"/>
      <c r="I20" s="43">
        <f>'LI-TRANSPORTEL PATAG. (1)'!AA43</f>
        <v>2676.68</v>
      </c>
      <c r="J20" s="153"/>
      <c r="K20" s="44"/>
      <c r="L20" s="44"/>
      <c r="M20" s="44"/>
      <c r="N20" s="44"/>
      <c r="O20" s="44"/>
      <c r="P20" s="44"/>
      <c r="Q20" s="44"/>
      <c r="R20" s="44"/>
      <c r="S20" s="44"/>
    </row>
    <row r="21" spans="2:19" ht="13.5">
      <c r="B21" s="41"/>
      <c r="C21" s="156"/>
      <c r="D21" s="157"/>
      <c r="E21" s="9"/>
      <c r="F21" s="158"/>
      <c r="G21" s="158"/>
      <c r="H21" s="158"/>
      <c r="I21" s="159"/>
      <c r="J21" s="12"/>
      <c r="K21" s="9"/>
      <c r="L21" s="9"/>
      <c r="M21" s="9"/>
      <c r="N21" s="9"/>
      <c r="O21" s="9"/>
      <c r="P21" s="9"/>
      <c r="Q21" s="9"/>
      <c r="R21" s="9"/>
      <c r="S21" s="9"/>
    </row>
    <row r="22" spans="2:19" s="127" customFormat="1" ht="19.5">
      <c r="B22" s="150"/>
      <c r="C22" s="154" t="s">
        <v>24</v>
      </c>
      <c r="D22" s="155" t="s">
        <v>25</v>
      </c>
      <c r="E22" s="44"/>
      <c r="F22" s="152"/>
      <c r="G22" s="152"/>
      <c r="H22" s="152"/>
      <c r="I22" s="43"/>
      <c r="J22" s="153"/>
      <c r="K22" s="44"/>
      <c r="L22" s="44"/>
      <c r="M22" s="44"/>
      <c r="N22" s="44"/>
      <c r="O22" s="44"/>
      <c r="P22" s="44"/>
      <c r="Q22" s="44"/>
      <c r="R22" s="44"/>
      <c r="S22" s="44"/>
    </row>
    <row r="23" spans="2:19" ht="8.25" customHeight="1">
      <c r="B23" s="41"/>
      <c r="C23" s="156"/>
      <c r="D23" s="156"/>
      <c r="E23" s="9"/>
      <c r="F23" s="158"/>
      <c r="G23" s="158"/>
      <c r="H23" s="158"/>
      <c r="I23" s="160"/>
      <c r="J23" s="12"/>
      <c r="K23" s="9"/>
      <c r="L23" s="9"/>
      <c r="M23" s="9"/>
      <c r="N23" s="9"/>
      <c r="O23" s="9"/>
      <c r="P23" s="9"/>
      <c r="Q23" s="9"/>
      <c r="R23" s="9"/>
      <c r="S23" s="9"/>
    </row>
    <row r="24" spans="2:19" s="127" customFormat="1" ht="19.5">
      <c r="B24" s="150"/>
      <c r="C24" s="154"/>
      <c r="D24" s="154" t="s">
        <v>26</v>
      </c>
      <c r="E24" s="10" t="s">
        <v>27</v>
      </c>
      <c r="F24" s="152"/>
      <c r="G24" s="152"/>
      <c r="H24" s="152"/>
      <c r="I24" s="43"/>
      <c r="J24" s="153"/>
      <c r="K24" s="44"/>
      <c r="L24" s="44"/>
      <c r="M24" s="44"/>
      <c r="N24" s="44"/>
      <c r="O24" s="44"/>
      <c r="P24" s="44"/>
      <c r="Q24" s="44"/>
      <c r="R24" s="44"/>
      <c r="S24" s="44"/>
    </row>
    <row r="25" spans="2:19" s="127" customFormat="1" ht="19.5">
      <c r="B25" s="150"/>
      <c r="C25" s="154"/>
      <c r="D25" s="154"/>
      <c r="E25" s="154" t="s">
        <v>28</v>
      </c>
      <c r="F25" s="155" t="s">
        <v>21</v>
      </c>
      <c r="G25" s="152"/>
      <c r="H25" s="152"/>
      <c r="I25" s="43">
        <f>'TR-05 (1)'!AC45</f>
        <v>35.98</v>
      </c>
      <c r="J25" s="153"/>
      <c r="K25" s="44"/>
      <c r="L25" s="44"/>
      <c r="M25" s="44"/>
      <c r="N25" s="44"/>
      <c r="O25" s="44"/>
      <c r="P25" s="44"/>
      <c r="Q25" s="44"/>
      <c r="R25" s="44"/>
      <c r="S25" s="44"/>
    </row>
    <row r="26" spans="2:19" s="127" customFormat="1" ht="19.5">
      <c r="B26" s="150"/>
      <c r="C26" s="154"/>
      <c r="D26" s="154"/>
      <c r="E26" s="154" t="s">
        <v>29</v>
      </c>
      <c r="F26" s="155" t="s">
        <v>156</v>
      </c>
      <c r="G26" s="152"/>
      <c r="H26" s="152"/>
      <c r="I26" s="43">
        <f>'TR-TRANSPORTEL PATAG. (1)'!AC45</f>
        <v>268.16</v>
      </c>
      <c r="J26" s="153"/>
      <c r="K26" s="44"/>
      <c r="L26" s="44"/>
      <c r="M26" s="44"/>
      <c r="N26" s="44"/>
      <c r="O26" s="44"/>
      <c r="P26" s="44"/>
      <c r="Q26" s="44"/>
      <c r="R26" s="44"/>
      <c r="S26" s="44"/>
    </row>
    <row r="27" spans="2:19" ht="13.5">
      <c r="B27" s="41"/>
      <c r="C27" s="156"/>
      <c r="D27" s="156"/>
      <c r="E27" s="9"/>
      <c r="F27" s="158"/>
      <c r="G27" s="158"/>
      <c r="H27" s="158"/>
      <c r="I27" s="160"/>
      <c r="J27" s="12"/>
      <c r="K27" s="9"/>
      <c r="L27" s="9"/>
      <c r="M27" s="9"/>
      <c r="N27" s="9"/>
      <c r="O27" s="9"/>
      <c r="P27" s="9"/>
      <c r="Q27" s="9"/>
      <c r="R27" s="9"/>
      <c r="S27" s="9"/>
    </row>
    <row r="28" spans="2:19" s="127" customFormat="1" ht="19.5">
      <c r="B28" s="150"/>
      <c r="C28" s="154"/>
      <c r="D28" s="154" t="s">
        <v>30</v>
      </c>
      <c r="E28" s="10" t="s">
        <v>31</v>
      </c>
      <c r="F28" s="152"/>
      <c r="G28" s="152"/>
      <c r="H28" s="152"/>
      <c r="I28" s="43"/>
      <c r="J28" s="153"/>
      <c r="K28" s="44"/>
      <c r="L28" s="44"/>
      <c r="M28" s="44"/>
      <c r="N28" s="44"/>
      <c r="O28" s="44"/>
      <c r="P28" s="44"/>
      <c r="Q28" s="44"/>
      <c r="R28" s="44"/>
      <c r="S28" s="44"/>
    </row>
    <row r="29" spans="2:19" s="127" customFormat="1" ht="19.5">
      <c r="B29" s="150"/>
      <c r="C29" s="154"/>
      <c r="D29" s="154"/>
      <c r="E29" s="154" t="s">
        <v>32</v>
      </c>
      <c r="F29" s="155" t="s">
        <v>21</v>
      </c>
      <c r="G29" s="152"/>
      <c r="H29" s="152"/>
      <c r="I29" s="43">
        <f>'SA-05 (2)'!V45</f>
        <v>19.85</v>
      </c>
      <c r="J29" s="153"/>
      <c r="K29" s="44"/>
      <c r="L29" s="44"/>
      <c r="M29" s="44"/>
      <c r="N29" s="44"/>
      <c r="O29" s="44"/>
      <c r="P29" s="44"/>
      <c r="Q29" s="44"/>
      <c r="R29" s="44"/>
      <c r="S29" s="44"/>
    </row>
    <row r="30" spans="2:19" s="127" customFormat="1" ht="19.5">
      <c r="B30" s="150"/>
      <c r="C30" s="154"/>
      <c r="D30" s="154"/>
      <c r="E30" s="154" t="s">
        <v>33</v>
      </c>
      <c r="F30" s="155" t="s">
        <v>23</v>
      </c>
      <c r="G30" s="152"/>
      <c r="H30" s="152"/>
      <c r="I30" s="43">
        <f>'SA-EDERSA-05 (1)'!V45</f>
        <v>114.38101500000002</v>
      </c>
      <c r="J30" s="153"/>
      <c r="K30" s="44"/>
      <c r="L30" s="44"/>
      <c r="M30" s="44"/>
      <c r="N30" s="44"/>
      <c r="O30" s="44"/>
      <c r="P30" s="44"/>
      <c r="Q30" s="44"/>
      <c r="R30" s="44"/>
      <c r="S30" s="44"/>
    </row>
    <row r="31" spans="2:19" ht="13.5">
      <c r="B31" s="41"/>
      <c r="C31" s="156"/>
      <c r="D31" s="157"/>
      <c r="E31" s="9"/>
      <c r="F31" s="158"/>
      <c r="G31" s="158"/>
      <c r="H31" s="158"/>
      <c r="I31" s="159"/>
      <c r="J31" s="12"/>
      <c r="K31" s="9"/>
      <c r="L31" s="9"/>
      <c r="M31" s="9"/>
      <c r="N31" s="9"/>
      <c r="O31" s="9"/>
      <c r="P31" s="9"/>
      <c r="Q31" s="9"/>
      <c r="R31" s="9"/>
      <c r="S31" s="9"/>
    </row>
    <row r="32" spans="2:19" s="127" customFormat="1" ht="19.5">
      <c r="B32" s="150"/>
      <c r="C32" s="154" t="s">
        <v>34</v>
      </c>
      <c r="D32" s="155" t="s">
        <v>35</v>
      </c>
      <c r="E32" s="44"/>
      <c r="F32" s="152"/>
      <c r="G32" s="152"/>
      <c r="H32" s="152"/>
      <c r="I32" s="43">
        <f>'RE-05 (1)'!V43</f>
        <v>5.06</v>
      </c>
      <c r="J32" s="153"/>
      <c r="K32" s="44"/>
      <c r="L32" s="44"/>
      <c r="M32" s="44"/>
      <c r="N32" s="44"/>
      <c r="O32" s="44"/>
      <c r="P32" s="44"/>
      <c r="Q32" s="44"/>
      <c r="R32" s="44"/>
      <c r="S32" s="44"/>
    </row>
    <row r="33" spans="2:19" s="127" customFormat="1" ht="19.5">
      <c r="B33" s="150"/>
      <c r="C33" s="154"/>
      <c r="D33" s="155"/>
      <c r="E33" s="44"/>
      <c r="F33" s="152"/>
      <c r="G33" s="152"/>
      <c r="H33" s="152"/>
      <c r="I33" s="43"/>
      <c r="J33" s="153"/>
      <c r="K33" s="44"/>
      <c r="L33" s="44"/>
      <c r="M33" s="44"/>
      <c r="N33" s="44"/>
      <c r="O33" s="44"/>
      <c r="P33" s="44"/>
      <c r="Q33" s="44"/>
      <c r="R33" s="44"/>
      <c r="S33" s="44"/>
    </row>
    <row r="34" spans="2:19" s="127" customFormat="1" ht="19.5">
      <c r="B34" s="150"/>
      <c r="C34" s="154" t="s">
        <v>36</v>
      </c>
      <c r="D34" s="10" t="s">
        <v>37</v>
      </c>
      <c r="E34" s="152"/>
      <c r="F34"/>
      <c r="G34" s="152"/>
      <c r="H34" s="152"/>
      <c r="I34" s="43"/>
      <c r="J34" s="153"/>
      <c r="K34" s="44"/>
      <c r="L34" s="44"/>
      <c r="M34" s="44"/>
      <c r="N34" s="44"/>
      <c r="O34" s="44"/>
      <c r="P34" s="44"/>
      <c r="Q34" s="44"/>
      <c r="R34" s="44"/>
      <c r="S34" s="44"/>
    </row>
    <row r="35" spans="2:19" s="127" customFormat="1" ht="19.5">
      <c r="B35" s="150"/>
      <c r="C35" s="154"/>
      <c r="D35" s="154" t="s">
        <v>38</v>
      </c>
      <c r="E35" s="155" t="s">
        <v>23</v>
      </c>
      <c r="F35"/>
      <c r="G35" s="152"/>
      <c r="H35" s="152"/>
      <c r="I35" s="43">
        <f>'SUP-EDERSA'!I57</f>
        <v>28.59525375000001</v>
      </c>
      <c r="J35" s="153"/>
      <c r="K35" s="44"/>
      <c r="L35" s="44"/>
      <c r="M35" s="44"/>
      <c r="N35" s="44"/>
      <c r="O35" s="44"/>
      <c r="P35" s="44"/>
      <c r="Q35" s="44"/>
      <c r="R35" s="44"/>
      <c r="S35" s="44"/>
    </row>
    <row r="36" spans="2:19" s="127" customFormat="1" ht="19.5">
      <c r="B36" s="150"/>
      <c r="C36" s="154"/>
      <c r="D36" s="154" t="s">
        <v>39</v>
      </c>
      <c r="E36" s="155" t="s">
        <v>156</v>
      </c>
      <c r="F36"/>
      <c r="G36" s="152"/>
      <c r="H36" s="152"/>
      <c r="I36" s="43">
        <f>'SUP-TRANSPORTEL PATAG. S.A.'!I53</f>
        <v>1249.4479999999996</v>
      </c>
      <c r="J36" s="153"/>
      <c r="K36" s="44"/>
      <c r="L36" s="44"/>
      <c r="M36" s="44"/>
      <c r="N36" s="44"/>
      <c r="O36" s="44"/>
      <c r="P36" s="44"/>
      <c r="Q36" s="44"/>
      <c r="R36" s="44"/>
      <c r="S36" s="44"/>
    </row>
    <row r="37" spans="2:19" s="127" customFormat="1" ht="20.25" thickBot="1">
      <c r="B37" s="150"/>
      <c r="C37" s="151"/>
      <c r="D37" s="151"/>
      <c r="E37" s="44"/>
      <c r="F37" s="152"/>
      <c r="G37" s="152"/>
      <c r="H37" s="152"/>
      <c r="I37" s="44"/>
      <c r="J37" s="153"/>
      <c r="K37" s="44"/>
      <c r="L37" s="44"/>
      <c r="M37" s="44"/>
      <c r="N37" s="44"/>
      <c r="O37" s="44"/>
      <c r="P37" s="44"/>
      <c r="Q37" s="44"/>
      <c r="R37" s="44"/>
      <c r="S37" s="44"/>
    </row>
    <row r="38" spans="2:19" s="127" customFormat="1" ht="20.25" thickBot="1" thickTop="1">
      <c r="B38" s="150"/>
      <c r="C38" s="154"/>
      <c r="D38" s="154"/>
      <c r="F38" s="161" t="s">
        <v>40</v>
      </c>
      <c r="G38" s="162">
        <f>SUM(I18:I36)</f>
        <v>28191.77426875</v>
      </c>
      <c r="H38" s="239"/>
      <c r="J38" s="153"/>
      <c r="K38" s="44"/>
      <c r="L38" s="44"/>
      <c r="M38" s="44"/>
      <c r="N38" s="44"/>
      <c r="O38" s="44"/>
      <c r="P38" s="44"/>
      <c r="Q38" s="44"/>
      <c r="R38" s="44"/>
      <c r="S38" s="44"/>
    </row>
    <row r="39" spans="2:19" s="127" customFormat="1" ht="8.25" customHeight="1" thickTop="1">
      <c r="B39" s="150"/>
      <c r="C39" s="154"/>
      <c r="D39" s="154"/>
      <c r="F39" s="650"/>
      <c r="G39" s="239"/>
      <c r="H39" s="239"/>
      <c r="J39" s="153"/>
      <c r="K39" s="44"/>
      <c r="L39" s="44"/>
      <c r="M39" s="44"/>
      <c r="N39" s="44"/>
      <c r="O39" s="44"/>
      <c r="P39" s="44"/>
      <c r="Q39" s="44"/>
      <c r="R39" s="44"/>
      <c r="S39" s="44"/>
    </row>
    <row r="40" spans="2:19" s="127" customFormat="1" ht="18.75">
      <c r="B40" s="150"/>
      <c r="C40" s="651" t="s">
        <v>194</v>
      </c>
      <c r="D40" s="154"/>
      <c r="F40" s="650"/>
      <c r="G40" s="239"/>
      <c r="H40" s="239"/>
      <c r="J40" s="153"/>
      <c r="K40" s="44"/>
      <c r="L40" s="44"/>
      <c r="M40" s="44"/>
      <c r="N40" s="44"/>
      <c r="O40" s="44"/>
      <c r="P40" s="44"/>
      <c r="Q40" s="44"/>
      <c r="R40" s="44"/>
      <c r="S40" s="44"/>
    </row>
    <row r="41" spans="2:19" s="143" customFormat="1" ht="6.75" customHeight="1" thickBot="1">
      <c r="B41" s="163"/>
      <c r="C41" s="164"/>
      <c r="D41" s="164"/>
      <c r="E41" s="165"/>
      <c r="F41" s="165"/>
      <c r="G41" s="165"/>
      <c r="H41" s="165"/>
      <c r="I41" s="165"/>
      <c r="J41" s="166"/>
      <c r="K41" s="144"/>
      <c r="L41" s="144"/>
      <c r="M41" s="79"/>
      <c r="N41" s="167"/>
      <c r="O41" s="167"/>
      <c r="P41" s="168"/>
      <c r="Q41" s="169"/>
      <c r="R41" s="144"/>
      <c r="S41" s="144"/>
    </row>
    <row r="42" spans="4:19" ht="13.5" thickTop="1">
      <c r="D42" s="9"/>
      <c r="F42" s="9"/>
      <c r="G42" s="9"/>
      <c r="H42" s="9"/>
      <c r="I42" s="9"/>
      <c r="J42" s="9"/>
      <c r="K42" s="9"/>
      <c r="L42" s="9"/>
      <c r="M42" s="28"/>
      <c r="N42" s="170"/>
      <c r="O42" s="170"/>
      <c r="P42" s="9"/>
      <c r="Q42" s="33"/>
      <c r="R42" s="9"/>
      <c r="S42" s="9"/>
    </row>
    <row r="43" spans="4:19" ht="12.75">
      <c r="D43" s="9"/>
      <c r="F43" s="9"/>
      <c r="G43" s="9"/>
      <c r="H43" s="9"/>
      <c r="I43" s="9"/>
      <c r="J43" s="9"/>
      <c r="K43" s="9"/>
      <c r="L43" s="9"/>
      <c r="M43" s="9"/>
      <c r="N43" s="171"/>
      <c r="O43" s="171"/>
      <c r="P43" s="172"/>
      <c r="Q43" s="33"/>
      <c r="R43" s="9"/>
      <c r="S43" s="9"/>
    </row>
    <row r="44" spans="4:19" ht="12.75">
      <c r="D44" s="9"/>
      <c r="E44" s="9"/>
      <c r="F44" s="9"/>
      <c r="G44" s="9"/>
      <c r="H44" s="9"/>
      <c r="I44" s="9"/>
      <c r="J44" s="9"/>
      <c r="K44" s="9"/>
      <c r="L44" s="9"/>
      <c r="M44" s="9"/>
      <c r="N44" s="171"/>
      <c r="O44" s="171"/>
      <c r="P44" s="172"/>
      <c r="Q44" s="33"/>
      <c r="R44" s="9"/>
      <c r="S44" s="9"/>
    </row>
    <row r="45" spans="4:19" ht="12.75">
      <c r="D45" s="9"/>
      <c r="E45" s="9"/>
      <c r="L45" s="9"/>
      <c r="M45" s="9"/>
      <c r="N45" s="9"/>
      <c r="O45" s="9"/>
      <c r="P45" s="9"/>
      <c r="Q45" s="9"/>
      <c r="R45" s="9"/>
      <c r="S45" s="9"/>
    </row>
    <row r="46" spans="4:19" ht="12.75">
      <c r="D46" s="9"/>
      <c r="E46" s="9"/>
      <c r="P46" s="9"/>
      <c r="Q46" s="9"/>
      <c r="R46" s="9"/>
      <c r="S46" s="9"/>
    </row>
    <row r="47" spans="4:19" ht="12.75">
      <c r="D47" s="9"/>
      <c r="E47" s="9"/>
      <c r="P47" s="9"/>
      <c r="Q47" s="9"/>
      <c r="R47" s="9"/>
      <c r="S47" s="9"/>
    </row>
    <row r="48" spans="4:19" ht="12.75">
      <c r="D48" s="9"/>
      <c r="E48" s="9"/>
      <c r="P48" s="9"/>
      <c r="Q48" s="9"/>
      <c r="R48" s="9"/>
      <c r="S48" s="9"/>
    </row>
    <row r="49" spans="4:19" ht="12.75">
      <c r="D49" s="9"/>
      <c r="E49" s="9"/>
      <c r="P49" s="9"/>
      <c r="Q49" s="9"/>
      <c r="R49" s="9"/>
      <c r="S49" s="9"/>
    </row>
    <row r="50" spans="4:19" ht="12.75">
      <c r="D50" s="9"/>
      <c r="E50" s="9"/>
      <c r="P50" s="9"/>
      <c r="Q50" s="9"/>
      <c r="R50" s="9"/>
      <c r="S50" s="9"/>
    </row>
    <row r="51" spans="16:19" ht="12.75">
      <c r="P51" s="9"/>
      <c r="Q51" s="9"/>
      <c r="R51" s="9"/>
      <c r="S51" s="9"/>
    </row>
    <row r="52" spans="16:19" ht="12.75">
      <c r="P52" s="9"/>
      <c r="Q52" s="9"/>
      <c r="R52" s="9"/>
      <c r="S52" s="9"/>
    </row>
  </sheetData>
  <sheetProtection/>
  <printOptions horizontalCentered="1"/>
  <pageMargins left="0.3937007874015748" right="0.1968503937007874" top="0.49" bottom="0.45" header="0.3" footer="0.25"/>
  <pageSetup fitToHeight="1" fitToWidth="1" orientation="landscape" paperSize="9" scale="78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zoomScale="75" zoomScaleNormal="75" zoomScalePageLayoutView="0" workbookViewId="0" topLeftCell="A19">
      <selection activeCell="I42" sqref="I42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1.00390625" style="0" customWidth="1"/>
    <col min="6" max="6" width="13.28125" style="0" customWidth="1"/>
    <col min="7" max="7" width="6.7109375" style="0" customWidth="1"/>
    <col min="8" max="9" width="20.7109375" style="0" customWidth="1"/>
    <col min="10" max="10" width="13.8515625" style="0" customWidth="1"/>
    <col min="11" max="11" width="11.28125" style="0" customWidth="1"/>
    <col min="12" max="12" width="33.28125" style="0" customWidth="1"/>
    <col min="13" max="13" width="9.57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15" customFormat="1" ht="39.75" customHeight="1">
      <c r="P1" s="381"/>
    </row>
    <row r="2" spans="1:16" s="115" customFormat="1" ht="26.25">
      <c r="A2" s="178"/>
      <c r="B2" s="674" t="str">
        <f>'TOT-0514'!B2</f>
        <v>ANEXO V al Memorándum  D.T.E.E.  N°       34    / 2014.-</v>
      </c>
      <c r="C2" s="674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3" s="118" customFormat="1" ht="12.75">
      <c r="A3" s="680" t="s">
        <v>142</v>
      </c>
      <c r="B3" s="11"/>
      <c r="C3" s="11"/>
    </row>
    <row r="4" spans="1:3" s="118" customFormat="1" ht="11.25">
      <c r="A4" s="680" t="s">
        <v>141</v>
      </c>
      <c r="B4" s="218"/>
      <c r="C4" s="218"/>
    </row>
    <row r="5" s="11" customFormat="1" ht="13.5" thickBot="1"/>
    <row r="6" spans="1:16" s="11" customFormat="1" ht="13.5" thickTop="1">
      <c r="A6" s="9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</row>
    <row r="7" spans="1:16" s="120" customFormat="1" ht="20.25">
      <c r="A7" s="42"/>
      <c r="B7" s="119"/>
      <c r="C7" s="42"/>
      <c r="D7" s="21" t="s">
        <v>41</v>
      </c>
      <c r="G7" s="42"/>
      <c r="H7" s="42"/>
      <c r="I7" s="42"/>
      <c r="J7" s="42"/>
      <c r="K7" s="42"/>
      <c r="L7" s="42"/>
      <c r="M7" s="42"/>
      <c r="N7" s="42"/>
      <c r="O7" s="42"/>
      <c r="P7" s="121"/>
    </row>
    <row r="8" spans="1:16" ht="15">
      <c r="A8" s="1"/>
      <c r="B8" s="272"/>
      <c r="C8" s="69"/>
      <c r="D8" s="382"/>
      <c r="E8" s="69"/>
      <c r="F8" s="67"/>
      <c r="G8" s="69"/>
      <c r="H8" s="69"/>
      <c r="I8" s="69"/>
      <c r="J8" s="69"/>
      <c r="K8" s="69"/>
      <c r="L8" s="69"/>
      <c r="M8" s="69"/>
      <c r="N8" s="69"/>
      <c r="O8" s="69"/>
      <c r="P8" s="276"/>
    </row>
    <row r="9" spans="1:19" s="120" customFormat="1" ht="20.25">
      <c r="A9" s="42"/>
      <c r="B9" s="383"/>
      <c r="C9"/>
      <c r="D9" s="22" t="s">
        <v>157</v>
      </c>
      <c r="E9" s="384"/>
      <c r="F9" s="384"/>
      <c r="G9" s="384"/>
      <c r="H9" s="385"/>
      <c r="I9" s="384"/>
      <c r="J9" s="384"/>
      <c r="K9" s="384"/>
      <c r="L9" s="384"/>
      <c r="M9" s="384"/>
      <c r="N9" s="384"/>
      <c r="O9" s="384"/>
      <c r="P9" s="386"/>
      <c r="Q9" s="234"/>
      <c r="R9" s="180"/>
      <c r="S9" s="180"/>
    </row>
    <row r="10" spans="1:19" s="11" customFormat="1" ht="12.75">
      <c r="A10" s="9"/>
      <c r="B10" s="41"/>
      <c r="C10" s="9"/>
      <c r="D10" s="63"/>
      <c r="E10" s="28"/>
      <c r="F10" s="28"/>
      <c r="G10" s="28"/>
      <c r="H10" s="177"/>
      <c r="I10" s="28"/>
      <c r="J10" s="28"/>
      <c r="K10" s="28"/>
      <c r="L10" s="28"/>
      <c r="M10" s="28"/>
      <c r="N10" s="28"/>
      <c r="O10" s="28"/>
      <c r="P10" s="35"/>
      <c r="Q10" s="28"/>
      <c r="R10" s="28"/>
      <c r="S10" s="179"/>
    </row>
    <row r="11" spans="1:19" s="127" customFormat="1" ht="19.5">
      <c r="A11" s="44"/>
      <c r="B11" s="237" t="str">
        <f>+'TOT-0514'!B14</f>
        <v>Desde el 01 al 31 de mayo de 2014</v>
      </c>
      <c r="C11" s="149"/>
      <c r="D11" s="190"/>
      <c r="E11" s="190"/>
      <c r="F11" s="190"/>
      <c r="G11" s="190"/>
      <c r="H11" s="190"/>
      <c r="I11" s="149"/>
      <c r="J11" s="190"/>
      <c r="K11" s="190"/>
      <c r="L11" s="190"/>
      <c r="M11" s="190"/>
      <c r="N11" s="190"/>
      <c r="O11" s="190"/>
      <c r="P11" s="387"/>
      <c r="Q11" s="388"/>
      <c r="R11" s="388"/>
      <c r="S11" s="388"/>
    </row>
    <row r="12" spans="1:19" ht="15">
      <c r="A12" s="1"/>
      <c r="B12" s="272"/>
      <c r="C12" s="69"/>
      <c r="D12" s="65"/>
      <c r="E12" s="65"/>
      <c r="F12" s="65"/>
      <c r="G12" s="65"/>
      <c r="H12" s="389"/>
      <c r="I12" s="69"/>
      <c r="J12" s="65"/>
      <c r="K12" s="65"/>
      <c r="L12" s="65"/>
      <c r="M12" s="65"/>
      <c r="N12" s="65"/>
      <c r="O12" s="65"/>
      <c r="P12" s="66"/>
      <c r="Q12" s="6"/>
      <c r="R12" s="6"/>
      <c r="S12" s="390"/>
    </row>
    <row r="13" spans="1:19" ht="18" customHeight="1">
      <c r="A13" s="1"/>
      <c r="B13" s="272"/>
      <c r="C13" s="69"/>
      <c r="D13" s="65"/>
      <c r="E13" s="65"/>
      <c r="F13" s="65"/>
      <c r="G13" s="65"/>
      <c r="H13" s="76"/>
      <c r="I13" s="76"/>
      <c r="J13" s="65"/>
      <c r="K13" s="65"/>
      <c r="P13" s="66"/>
      <c r="Q13" s="6"/>
      <c r="R13" s="6"/>
      <c r="S13" s="390"/>
    </row>
    <row r="14" spans="1:19" ht="18" customHeight="1">
      <c r="A14" s="1"/>
      <c r="B14" s="272"/>
      <c r="C14" s="69"/>
      <c r="D14" s="64"/>
      <c r="E14" s="391"/>
      <c r="F14" s="65"/>
      <c r="G14" s="65"/>
      <c r="H14" s="76"/>
      <c r="I14" s="76"/>
      <c r="J14" s="65"/>
      <c r="K14" s="65"/>
      <c r="P14" s="66"/>
      <c r="Q14" s="6"/>
      <c r="R14" s="6"/>
      <c r="S14" s="390"/>
    </row>
    <row r="15" spans="1:16" ht="16.5" thickBot="1">
      <c r="A15" s="1"/>
      <c r="B15" s="272"/>
      <c r="C15" s="392" t="s">
        <v>95</v>
      </c>
      <c r="D15" s="67"/>
      <c r="E15" s="273"/>
      <c r="F15" s="274"/>
      <c r="G15" s="69"/>
      <c r="H15" s="69"/>
      <c r="I15" s="69"/>
      <c r="J15" s="68"/>
      <c r="K15" s="68"/>
      <c r="L15" s="275"/>
      <c r="M15" s="69"/>
      <c r="N15" s="69"/>
      <c r="O15" s="69"/>
      <c r="P15" s="276"/>
    </row>
    <row r="16" spans="1:16" ht="16.5" thickBot="1">
      <c r="A16" s="1"/>
      <c r="B16" s="272"/>
      <c r="C16" s="277"/>
      <c r="D16" s="67"/>
      <c r="E16" s="273"/>
      <c r="F16" s="274"/>
      <c r="G16" s="69"/>
      <c r="H16" s="69"/>
      <c r="L16" s="393" t="s">
        <v>85</v>
      </c>
      <c r="M16" s="394" t="s">
        <v>167</v>
      </c>
      <c r="N16" s="395"/>
      <c r="O16" s="69"/>
      <c r="P16" s="276"/>
    </row>
    <row r="17" spans="1:16" ht="15.75">
      <c r="A17" s="1"/>
      <c r="B17" s="272"/>
      <c r="C17" s="277"/>
      <c r="D17" s="68" t="s">
        <v>96</v>
      </c>
      <c r="E17" s="278">
        <f>MID(B11,16,2)*24</f>
        <v>744</v>
      </c>
      <c r="F17" s="69" t="s">
        <v>97</v>
      </c>
      <c r="G17" s="65"/>
      <c r="H17" s="396"/>
      <c r="I17" s="397" t="s">
        <v>162</v>
      </c>
      <c r="J17" s="398">
        <v>177.5022</v>
      </c>
      <c r="K17" s="376"/>
      <c r="L17" s="399" t="s">
        <v>86</v>
      </c>
      <c r="M17" s="400">
        <v>9.681000000000001</v>
      </c>
      <c r="N17" s="401"/>
      <c r="O17" s="69"/>
      <c r="P17" s="276"/>
    </row>
    <row r="18" spans="1:16" ht="16.5" thickBot="1">
      <c r="A18" s="1"/>
      <c r="B18" s="272"/>
      <c r="C18" s="277"/>
      <c r="D18" s="68" t="s">
        <v>99</v>
      </c>
      <c r="E18" s="280">
        <v>0.04</v>
      </c>
      <c r="F18" s="65"/>
      <c r="G18" s="65"/>
      <c r="H18" s="402"/>
      <c r="I18" s="403" t="s">
        <v>100</v>
      </c>
      <c r="J18" s="404">
        <v>0.975</v>
      </c>
      <c r="K18" s="405"/>
      <c r="L18" s="406" t="s">
        <v>87</v>
      </c>
      <c r="M18" s="407" t="s">
        <v>167</v>
      </c>
      <c r="N18" s="408"/>
      <c r="O18" s="69"/>
      <c r="P18" s="276"/>
    </row>
    <row r="19" spans="1:16" ht="15.75">
      <c r="A19" s="1"/>
      <c r="B19" s="272"/>
      <c r="C19" s="277"/>
      <c r="D19" s="68"/>
      <c r="E19" s="280"/>
      <c r="F19" s="65"/>
      <c r="G19" s="65"/>
      <c r="H19" s="65"/>
      <c r="I19" s="65"/>
      <c r="L19" s="275"/>
      <c r="M19" s="69"/>
      <c r="N19" s="69"/>
      <c r="O19" s="69"/>
      <c r="P19" s="276"/>
    </row>
    <row r="20" spans="1:16" ht="15">
      <c r="A20" s="1"/>
      <c r="B20" s="272"/>
      <c r="C20" s="64" t="s">
        <v>101</v>
      </c>
      <c r="D20" s="71"/>
      <c r="E20" s="273"/>
      <c r="F20" s="274"/>
      <c r="G20" s="69"/>
      <c r="H20" s="69"/>
      <c r="I20" s="69"/>
      <c r="J20" s="68"/>
      <c r="K20" s="68"/>
      <c r="L20" s="275"/>
      <c r="M20" s="69"/>
      <c r="N20" s="69"/>
      <c r="O20" s="69"/>
      <c r="P20" s="276"/>
    </row>
    <row r="21" spans="1:16" ht="15">
      <c r="A21" s="1"/>
      <c r="B21" s="272"/>
      <c r="C21" s="69"/>
      <c r="D21" s="69"/>
      <c r="E21" s="69"/>
      <c r="F21" s="69"/>
      <c r="G21" s="69"/>
      <c r="H21" s="281"/>
      <c r="I21" s="69"/>
      <c r="J21" s="69"/>
      <c r="K21" s="69"/>
      <c r="L21" s="69"/>
      <c r="M21" s="69"/>
      <c r="N21" s="69"/>
      <c r="O21" s="69"/>
      <c r="P21" s="276"/>
    </row>
    <row r="22" spans="1:16" ht="15">
      <c r="A22" s="1"/>
      <c r="B22" s="272"/>
      <c r="C22" s="69"/>
      <c r="D22" s="68" t="s">
        <v>102</v>
      </c>
      <c r="E22" s="69"/>
      <c r="F22" s="281" t="s">
        <v>19</v>
      </c>
      <c r="G22" s="69"/>
      <c r="H22" s="67"/>
      <c r="I22" s="409">
        <f>'TOT-0514'!I20</f>
        <v>2676.68</v>
      </c>
      <c r="J22" s="69"/>
      <c r="K22" s="69"/>
      <c r="L22" s="410"/>
      <c r="M22" s="69"/>
      <c r="N22" s="69"/>
      <c r="O22" s="69"/>
      <c r="P22" s="276"/>
    </row>
    <row r="23" spans="1:16" ht="15">
      <c r="A23" s="1"/>
      <c r="B23" s="272"/>
      <c r="C23" s="69"/>
      <c r="D23" s="69"/>
      <c r="E23" s="69"/>
      <c r="F23" s="281" t="s">
        <v>103</v>
      </c>
      <c r="G23" s="69"/>
      <c r="H23" s="67"/>
      <c r="I23" s="409">
        <v>446.94</v>
      </c>
      <c r="J23" s="69"/>
      <c r="K23" s="69"/>
      <c r="L23" s="410"/>
      <c r="M23" s="69"/>
      <c r="N23" s="69"/>
      <c r="O23" s="69"/>
      <c r="P23" s="276"/>
    </row>
    <row r="24" spans="1:16" ht="15">
      <c r="A24" s="1"/>
      <c r="B24" s="272"/>
      <c r="C24" s="69"/>
      <c r="D24" s="69"/>
      <c r="E24" s="69"/>
      <c r="F24" s="281" t="s">
        <v>3</v>
      </c>
      <c r="G24" s="69"/>
      <c r="H24" s="67"/>
      <c r="I24" s="411">
        <v>0</v>
      </c>
      <c r="J24" s="69"/>
      <c r="K24" s="69"/>
      <c r="L24" s="410"/>
      <c r="M24" s="69"/>
      <c r="N24" s="69"/>
      <c r="O24" s="69"/>
      <c r="P24" s="276"/>
    </row>
    <row r="25" spans="1:16" ht="15.75" thickBot="1">
      <c r="A25" s="1"/>
      <c r="B25" s="272"/>
      <c r="C25" s="69"/>
      <c r="D25" s="69"/>
      <c r="E25" s="69"/>
      <c r="F25" s="69"/>
      <c r="G25" s="69"/>
      <c r="H25" s="281"/>
      <c r="I25" s="69"/>
      <c r="J25" s="69"/>
      <c r="K25" s="69"/>
      <c r="L25" s="69"/>
      <c r="M25" s="69"/>
      <c r="N25" s="69"/>
      <c r="O25" s="69"/>
      <c r="P25" s="276"/>
    </row>
    <row r="26" spans="2:16" ht="20.25" thickBot="1" thickTop="1">
      <c r="B26" s="272"/>
      <c r="C26" s="75"/>
      <c r="H26" s="412" t="s">
        <v>105</v>
      </c>
      <c r="I26" s="162">
        <f>SUM(I22:I25)</f>
        <v>3123.62</v>
      </c>
      <c r="L26" s="72"/>
      <c r="M26" s="72"/>
      <c r="N26" s="73"/>
      <c r="O26" s="74"/>
      <c r="P26" s="282"/>
    </row>
    <row r="27" spans="2:16" ht="15.75" thickTop="1">
      <c r="B27" s="272"/>
      <c r="C27" s="75"/>
      <c r="D27" s="71"/>
      <c r="E27" s="71"/>
      <c r="F27" s="77"/>
      <c r="G27" s="72"/>
      <c r="H27" s="72"/>
      <c r="I27" s="72"/>
      <c r="J27" s="72"/>
      <c r="K27" s="72"/>
      <c r="L27" s="72"/>
      <c r="M27" s="72"/>
      <c r="N27" s="73"/>
      <c r="O27" s="74"/>
      <c r="P27" s="282"/>
    </row>
    <row r="28" spans="2:16" ht="15">
      <c r="B28" s="272"/>
      <c r="C28" s="64" t="s">
        <v>106</v>
      </c>
      <c r="D28" s="71"/>
      <c r="E28" s="71"/>
      <c r="F28" s="77"/>
      <c r="G28" s="72"/>
      <c r="H28" s="72"/>
      <c r="I28" s="72"/>
      <c r="J28" s="72"/>
      <c r="K28" s="72"/>
      <c r="L28" s="72"/>
      <c r="M28" s="72"/>
      <c r="N28" s="73"/>
      <c r="O28" s="74"/>
      <c r="P28" s="282"/>
    </row>
    <row r="29" spans="2:16" ht="15">
      <c r="B29" s="272"/>
      <c r="C29" s="75"/>
      <c r="D29" s="71"/>
      <c r="E29" s="71"/>
      <c r="F29" s="77"/>
      <c r="G29" s="72"/>
      <c r="H29" s="72"/>
      <c r="I29" s="72"/>
      <c r="J29" s="72"/>
      <c r="K29" s="72"/>
      <c r="L29" s="72"/>
      <c r="M29" s="72"/>
      <c r="N29" s="73"/>
      <c r="O29" s="74"/>
      <c r="P29" s="282"/>
    </row>
    <row r="30" spans="2:16" ht="15.75">
      <c r="B30" s="272"/>
      <c r="C30" s="75"/>
      <c r="D30" s="413" t="s">
        <v>107</v>
      </c>
      <c r="E30" s="414" t="s">
        <v>15</v>
      </c>
      <c r="F30" s="415" t="s">
        <v>108</v>
      </c>
      <c r="G30" s="416"/>
      <c r="H30" s="713" t="s">
        <v>134</v>
      </c>
      <c r="I30" s="656" t="s">
        <v>133</v>
      </c>
      <c r="J30" s="417"/>
      <c r="K30" s="418"/>
      <c r="L30" s="419" t="s">
        <v>2</v>
      </c>
      <c r="N30" s="73"/>
      <c r="O30" s="74"/>
      <c r="P30" s="282"/>
    </row>
    <row r="31" spans="2:16" ht="15">
      <c r="B31" s="272"/>
      <c r="C31" s="75"/>
      <c r="D31" s="420" t="s">
        <v>158</v>
      </c>
      <c r="E31" s="421">
        <v>220</v>
      </c>
      <c r="F31" s="422">
        <v>149</v>
      </c>
      <c r="G31" s="423"/>
      <c r="H31" s="424">
        <f>F31*$J$17*$E$17/100</f>
        <v>196771.838832</v>
      </c>
      <c r="I31" s="425">
        <v>0</v>
      </c>
      <c r="J31" s="426" t="s">
        <v>159</v>
      </c>
      <c r="K31" s="427"/>
      <c r="L31" s="428">
        <f>SUM(H31:K31)</f>
        <v>196771.838832</v>
      </c>
      <c r="M31" s="72"/>
      <c r="N31" s="73"/>
      <c r="O31" s="74"/>
      <c r="P31" s="282"/>
    </row>
    <row r="32" spans="2:16" ht="15">
      <c r="B32" s="272"/>
      <c r="C32" s="75"/>
      <c r="D32" s="429" t="s">
        <v>160</v>
      </c>
      <c r="E32" s="430">
        <v>220</v>
      </c>
      <c r="F32" s="431">
        <v>128</v>
      </c>
      <c r="G32" s="432"/>
      <c r="H32" s="433">
        <f>F32*$J$17*$E$17/100</f>
        <v>169038.89510399997</v>
      </c>
      <c r="I32" s="433">
        <v>10229</v>
      </c>
      <c r="J32" s="435" t="s">
        <v>159</v>
      </c>
      <c r="K32" s="436"/>
      <c r="L32" s="437">
        <f>SUM(H32:K32)</f>
        <v>179267.89510399997</v>
      </c>
      <c r="M32" s="72"/>
      <c r="N32" s="73"/>
      <c r="O32" s="74"/>
      <c r="P32" s="282"/>
    </row>
    <row r="33" spans="2:16" ht="15">
      <c r="B33" s="272"/>
      <c r="C33" s="75"/>
      <c r="D33" s="71"/>
      <c r="E33" s="71"/>
      <c r="F33" s="283"/>
      <c r="G33" s="72"/>
      <c r="I33" s="78"/>
      <c r="J33" s="279"/>
      <c r="K33" s="279"/>
      <c r="L33" s="438">
        <f>SUM(L31:L32)</f>
        <v>376039.733936</v>
      </c>
      <c r="M33" s="72"/>
      <c r="N33" s="73"/>
      <c r="O33" s="74"/>
      <c r="P33" s="282"/>
    </row>
    <row r="34" spans="2:16" ht="15">
      <c r="B34" s="272"/>
      <c r="C34" s="75"/>
      <c r="D34" s="71"/>
      <c r="E34" s="71"/>
      <c r="F34" s="283"/>
      <c r="G34" s="72"/>
      <c r="I34" s="78"/>
      <c r="J34" s="279"/>
      <c r="K34" s="279"/>
      <c r="L34" s="284"/>
      <c r="M34" s="72"/>
      <c r="N34" s="73"/>
      <c r="O34" s="74"/>
      <c r="P34" s="282"/>
    </row>
    <row r="35" spans="2:16" ht="15.75">
      <c r="B35" s="272"/>
      <c r="C35" s="75"/>
      <c r="D35" s="413" t="s">
        <v>109</v>
      </c>
      <c r="E35" s="414" t="s">
        <v>110</v>
      </c>
      <c r="F35" s="415" t="s">
        <v>111</v>
      </c>
      <c r="G35" s="670" t="s">
        <v>134</v>
      </c>
      <c r="H35" s="665"/>
      <c r="J35" s="439" t="s">
        <v>112</v>
      </c>
      <c r="K35" s="440"/>
      <c r="L35" s="441" t="s">
        <v>51</v>
      </c>
      <c r="M35" s="414" t="s">
        <v>15</v>
      </c>
      <c r="N35" s="442" t="s">
        <v>113</v>
      </c>
      <c r="O35" s="443"/>
      <c r="P35" s="282"/>
    </row>
    <row r="36" spans="2:16" ht="15">
      <c r="B36" s="272"/>
      <c r="C36" s="75"/>
      <c r="D36" s="420" t="s">
        <v>161</v>
      </c>
      <c r="E36" s="421" t="s">
        <v>8</v>
      </c>
      <c r="F36" s="422">
        <v>100</v>
      </c>
      <c r="G36" s="666"/>
      <c r="H36" s="667">
        <f>+F36*$J$18*$E$17</f>
        <v>72540</v>
      </c>
      <c r="J36" s="663" t="s">
        <v>161</v>
      </c>
      <c r="K36" s="659"/>
      <c r="L36" s="660" t="s">
        <v>163</v>
      </c>
      <c r="M36" s="445">
        <v>33</v>
      </c>
      <c r="N36" s="446">
        <f>M17*$E$17</f>
        <v>7202.664000000001</v>
      </c>
      <c r="O36" s="447"/>
      <c r="P36" s="282"/>
    </row>
    <row r="37" spans="2:16" ht="15">
      <c r="B37" s="272"/>
      <c r="C37" s="75"/>
      <c r="D37" s="429"/>
      <c r="E37" s="430"/>
      <c r="F37" s="431"/>
      <c r="G37" s="668"/>
      <c r="H37" s="669">
        <f>+F37*$J$18*$E$17</f>
        <v>0</v>
      </c>
      <c r="J37" s="664" t="s">
        <v>161</v>
      </c>
      <c r="K37" s="661"/>
      <c r="L37" s="662" t="s">
        <v>164</v>
      </c>
      <c r="M37" s="73">
        <v>33</v>
      </c>
      <c r="N37" s="452">
        <f>M17*$E$17</f>
        <v>7202.664000000001</v>
      </c>
      <c r="O37" s="453"/>
      <c r="P37" s="282"/>
    </row>
    <row r="38" spans="2:16" ht="15">
      <c r="B38" s="272"/>
      <c r="C38" s="75"/>
      <c r="D38" s="71"/>
      <c r="E38" s="71"/>
      <c r="F38" s="283"/>
      <c r="G38" s="784"/>
      <c r="H38" s="785">
        <f>SUM(H36:H37)</f>
        <v>72540</v>
      </c>
      <c r="J38" s="664" t="s">
        <v>161</v>
      </c>
      <c r="K38" s="661"/>
      <c r="L38" s="662" t="s">
        <v>165</v>
      </c>
      <c r="M38" s="73">
        <v>33</v>
      </c>
      <c r="N38" s="452">
        <f>M17*$E$17</f>
        <v>7202.664000000001</v>
      </c>
      <c r="O38" s="453"/>
      <c r="P38" s="282"/>
    </row>
    <row r="39" spans="2:16" ht="15">
      <c r="B39" s="272"/>
      <c r="C39" s="75"/>
      <c r="D39" s="71"/>
      <c r="E39" s="71"/>
      <c r="F39" s="283"/>
      <c r="G39" s="72"/>
      <c r="H39" s="714"/>
      <c r="J39" s="715" t="s">
        <v>161</v>
      </c>
      <c r="K39" s="716"/>
      <c r="L39" s="717" t="s">
        <v>166</v>
      </c>
      <c r="M39" s="455">
        <v>33</v>
      </c>
      <c r="N39" s="452">
        <f>M17*$E$17</f>
        <v>7202.664000000001</v>
      </c>
      <c r="O39" s="457"/>
      <c r="P39" s="282"/>
    </row>
    <row r="40" spans="2:16" ht="15">
      <c r="B40" s="272"/>
      <c r="C40" s="75"/>
      <c r="D40" s="71"/>
      <c r="E40" s="71"/>
      <c r="F40" s="283"/>
      <c r="G40" s="72"/>
      <c r="I40" s="78"/>
      <c r="J40" s="279"/>
      <c r="K40" s="279"/>
      <c r="L40" s="284"/>
      <c r="M40" s="72"/>
      <c r="N40" s="458">
        <f>SUM(N36:N38)</f>
        <v>21607.992000000002</v>
      </c>
      <c r="O40" s="443"/>
      <c r="P40" s="282"/>
    </row>
    <row r="41" spans="2:16" ht="12.75" customHeight="1" thickBot="1">
      <c r="B41" s="272"/>
      <c r="C41" s="75"/>
      <c r="D41" s="71"/>
      <c r="E41" s="71"/>
      <c r="F41" s="77"/>
      <c r="G41" s="72"/>
      <c r="H41" s="78"/>
      <c r="I41" s="71"/>
      <c r="J41" s="71"/>
      <c r="K41" s="71"/>
      <c r="L41" s="72"/>
      <c r="M41" s="72"/>
      <c r="N41" s="73"/>
      <c r="O41" s="74"/>
      <c r="P41" s="282"/>
    </row>
    <row r="42" spans="2:16" ht="20.25" thickBot="1" thickTop="1">
      <c r="B42" s="272"/>
      <c r="C42" s="75"/>
      <c r="D42" s="71"/>
      <c r="E42" s="71"/>
      <c r="F42" s="77"/>
      <c r="G42" s="72"/>
      <c r="H42" s="459" t="s">
        <v>114</v>
      </c>
      <c r="I42" s="460">
        <f>+L33+H38*0.585/J18+N40*5.809/M17</f>
        <v>432529.421936</v>
      </c>
      <c r="J42" s="71"/>
      <c r="K42" s="459" t="s">
        <v>179</v>
      </c>
      <c r="L42" s="460">
        <f>+L33+N40+H38</f>
        <v>470187.725936</v>
      </c>
      <c r="M42" s="72"/>
      <c r="N42" s="73"/>
      <c r="O42" s="74"/>
      <c r="P42" s="282"/>
    </row>
    <row r="43" spans="2:16" ht="15.75" thickTop="1">
      <c r="B43" s="272"/>
      <c r="C43" s="75"/>
      <c r="D43" s="71"/>
      <c r="E43" s="71"/>
      <c r="F43" s="77"/>
      <c r="G43" s="72"/>
      <c r="H43" s="78"/>
      <c r="I43" s="71"/>
      <c r="J43" s="71"/>
      <c r="K43" s="71"/>
      <c r="L43" s="72"/>
      <c r="M43" s="72"/>
      <c r="N43" s="73"/>
      <c r="O43" s="74"/>
      <c r="P43" s="282"/>
    </row>
    <row r="44" spans="2:16" ht="15.75">
      <c r="B44" s="272"/>
      <c r="C44" s="461" t="s">
        <v>115</v>
      </c>
      <c r="D44" s="71"/>
      <c r="E44" s="71"/>
      <c r="F44" s="77"/>
      <c r="G44" s="72"/>
      <c r="H44" s="78"/>
      <c r="I44" s="71"/>
      <c r="J44" s="71"/>
      <c r="K44" s="71"/>
      <c r="L44" s="72"/>
      <c r="M44" s="72"/>
      <c r="N44" s="73"/>
      <c r="O44" s="74"/>
      <c r="P44" s="282"/>
    </row>
    <row r="45" spans="2:16" ht="15.75" thickBot="1">
      <c r="B45" s="272"/>
      <c r="C45" s="75"/>
      <c r="D45" s="71"/>
      <c r="E45" s="71"/>
      <c r="F45" s="77"/>
      <c r="G45" s="72"/>
      <c r="H45" s="78"/>
      <c r="I45" s="71"/>
      <c r="J45" s="71"/>
      <c r="K45" s="71"/>
      <c r="L45" s="72"/>
      <c r="M45" s="72"/>
      <c r="N45" s="73"/>
      <c r="O45" s="74"/>
      <c r="P45" s="282"/>
    </row>
    <row r="46" spans="2:16" ht="20.25" thickBot="1" thickTop="1">
      <c r="B46" s="272"/>
      <c r="C46" s="75"/>
      <c r="D46" s="235" t="s">
        <v>116</v>
      </c>
      <c r="F46" s="285"/>
      <c r="G46" s="69"/>
      <c r="H46" s="161" t="s">
        <v>117</v>
      </c>
      <c r="I46" s="462">
        <f>E18*L42</f>
        <v>18807.50903744</v>
      </c>
      <c r="J46" s="65"/>
      <c r="K46" s="65"/>
      <c r="O46" s="65"/>
      <c r="P46" s="282"/>
    </row>
    <row r="47" spans="2:16" ht="21.75" thickTop="1">
      <c r="B47" s="272"/>
      <c r="C47" s="75"/>
      <c r="F47" s="286"/>
      <c r="G47" s="42"/>
      <c r="I47" s="65"/>
      <c r="J47" s="65"/>
      <c r="K47" s="65"/>
      <c r="O47" s="65"/>
      <c r="P47" s="282"/>
    </row>
    <row r="48" spans="2:16" ht="15">
      <c r="B48" s="272"/>
      <c r="C48" s="64" t="s">
        <v>118</v>
      </c>
      <c r="E48" s="65"/>
      <c r="F48" s="65"/>
      <c r="G48" s="65"/>
      <c r="H48" s="65"/>
      <c r="I48" s="72"/>
      <c r="J48" s="72"/>
      <c r="K48" s="72"/>
      <c r="L48" s="72"/>
      <c r="M48" s="72"/>
      <c r="N48" s="73"/>
      <c r="O48" s="74"/>
      <c r="P48" s="282"/>
    </row>
    <row r="49" spans="2:16" ht="15">
      <c r="B49" s="272"/>
      <c r="C49" s="75"/>
      <c r="D49" s="70" t="s">
        <v>119</v>
      </c>
      <c r="E49" s="287">
        <f>10*I26*I46/L42</f>
        <v>1249.4479999999996</v>
      </c>
      <c r="F49" s="463"/>
      <c r="H49" s="65"/>
      <c r="I49" s="72"/>
      <c r="J49" s="72"/>
      <c r="K49" s="72"/>
      <c r="L49" s="72"/>
      <c r="M49" s="72"/>
      <c r="N49" s="73"/>
      <c r="O49" s="74"/>
      <c r="P49" s="282"/>
    </row>
    <row r="50" spans="2:16" ht="15">
      <c r="B50" s="272"/>
      <c r="C50" s="75"/>
      <c r="D50" s="65"/>
      <c r="E50" s="65"/>
      <c r="J50" s="72"/>
      <c r="K50" s="72"/>
      <c r="L50" s="72"/>
      <c r="M50" s="72"/>
      <c r="N50" s="73"/>
      <c r="O50" s="74"/>
      <c r="P50" s="282"/>
    </row>
    <row r="51" spans="2:16" ht="15">
      <c r="B51" s="272"/>
      <c r="C51" s="75"/>
      <c r="D51" s="65" t="s">
        <v>178</v>
      </c>
      <c r="E51" s="65"/>
      <c r="F51" s="65"/>
      <c r="G51" s="65"/>
      <c r="H51" s="65"/>
      <c r="M51" s="72"/>
      <c r="N51" s="73"/>
      <c r="O51" s="74"/>
      <c r="P51" s="282"/>
    </row>
    <row r="52" spans="2:16" ht="15.75" thickBot="1">
      <c r="B52" s="272"/>
      <c r="C52" s="75"/>
      <c r="D52" s="65"/>
      <c r="E52" s="65"/>
      <c r="F52" s="65"/>
      <c r="G52" s="65"/>
      <c r="H52" s="65"/>
      <c r="M52" s="72"/>
      <c r="N52" s="73"/>
      <c r="O52" s="74"/>
      <c r="P52" s="282"/>
    </row>
    <row r="53" spans="2:16" ht="20.25" thickBot="1" thickTop="1">
      <c r="B53" s="272"/>
      <c r="C53" s="75"/>
      <c r="D53" s="71"/>
      <c r="E53" s="71"/>
      <c r="F53" s="77"/>
      <c r="G53" s="72"/>
      <c r="H53" s="236" t="s">
        <v>120</v>
      </c>
      <c r="I53" s="464">
        <f>IF($E$49&gt;3*I46,3*I46,$E$49)</f>
        <v>1249.4479999999996</v>
      </c>
      <c r="J53" s="72"/>
      <c r="K53" s="76" t="s">
        <v>180</v>
      </c>
      <c r="L53" s="72"/>
      <c r="M53" s="72"/>
      <c r="N53" s="73"/>
      <c r="O53" s="74"/>
      <c r="P53" s="282"/>
    </row>
    <row r="54" spans="2:16" ht="16.5" thickBot="1" thickTop="1">
      <c r="B54" s="288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90"/>
    </row>
    <row r="55" spans="2:16" ht="13.5" thickTop="1">
      <c r="B55" s="1"/>
      <c r="P55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4" ht="12" customHeight="1"/>
    <row r="100" ht="12.75">
      <c r="B100" s="1"/>
    </row>
    <row r="106" ht="12.75">
      <c r="A106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5" r:id="rId4"/>
  <headerFooter alignWithMargins="0">
    <oddFooter>&amp;L&amp;"Times New Roman,Normal"&amp;8&amp;Z&amp;F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zoomScale="75" zoomScaleNormal="75" zoomScalePageLayoutView="0" workbookViewId="0" topLeftCell="C42">
      <selection activeCell="R72" sqref="R72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5.7109375" style="0" customWidth="1"/>
    <col min="4" max="4" width="50.28125" style="0" customWidth="1"/>
    <col min="5" max="5" width="7.7109375" style="0" customWidth="1"/>
    <col min="6" max="6" width="12.7109375" style="0" customWidth="1"/>
    <col min="7" max="19" width="10.7109375" style="0" customWidth="1"/>
    <col min="20" max="20" width="15.7109375" style="0" customWidth="1"/>
  </cols>
  <sheetData>
    <row r="1" ht="38.25" customHeight="1">
      <c r="T1" s="381"/>
    </row>
    <row r="2" spans="2:20" s="720" customFormat="1" ht="30.75">
      <c r="B2" s="116" t="str">
        <f>'TOT-0514'!B2</f>
        <v>ANEXO V al Memorándum  D.T.E.E.  N°       34    / 2014.-</v>
      </c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</row>
    <row r="3" spans="1:2" ht="17.25" customHeight="1">
      <c r="A3" s="722" t="s">
        <v>16</v>
      </c>
      <c r="B3" s="723"/>
    </row>
    <row r="4" spans="1:4" ht="12.75" customHeight="1">
      <c r="A4" s="722" t="s">
        <v>17</v>
      </c>
      <c r="B4" s="723"/>
      <c r="D4" s="724"/>
    </row>
    <row r="5" spans="1:4" ht="21.75" customHeight="1">
      <c r="A5" s="725"/>
      <c r="D5" s="724"/>
    </row>
    <row r="6" spans="1:20" ht="26.25">
      <c r="A6" s="725"/>
      <c r="B6" s="726" t="s">
        <v>184</v>
      </c>
      <c r="C6" s="81"/>
      <c r="D6" s="724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4" ht="18.75" customHeight="1">
      <c r="A7" s="725"/>
      <c r="D7" s="724"/>
    </row>
    <row r="8" spans="1:20" ht="26.25">
      <c r="A8" s="725"/>
      <c r="B8" s="727" t="s">
        <v>1</v>
      </c>
      <c r="C8" s="81"/>
      <c r="D8" s="724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4" ht="18.75" customHeight="1">
      <c r="A9" s="725"/>
      <c r="D9" s="724"/>
    </row>
    <row r="10" spans="1:20" ht="26.25">
      <c r="A10" s="725"/>
      <c r="B10" s="727" t="s">
        <v>185</v>
      </c>
      <c r="C10" s="81"/>
      <c r="D10" s="724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</row>
    <row r="11" ht="18.75" customHeight="1" thickBot="1"/>
    <row r="12" spans="2:20" ht="18.75" customHeight="1" thickTop="1">
      <c r="B12" s="728"/>
      <c r="C12" s="729"/>
      <c r="D12" s="730"/>
      <c r="E12" s="730"/>
      <c r="F12" s="730"/>
      <c r="G12" s="729"/>
      <c r="H12" s="729"/>
      <c r="I12" s="729"/>
      <c r="J12" s="729"/>
      <c r="K12" s="729"/>
      <c r="L12" s="729"/>
      <c r="M12" s="729"/>
      <c r="N12" s="729"/>
      <c r="O12" s="729"/>
      <c r="P12" s="729"/>
      <c r="Q12" s="729"/>
      <c r="R12" s="729"/>
      <c r="S12" s="729"/>
      <c r="T12" s="731"/>
    </row>
    <row r="13" spans="2:20" ht="19.5">
      <c r="B13" s="237" t="s">
        <v>193</v>
      </c>
      <c r="C13" s="81"/>
      <c r="D13" s="732"/>
      <c r="E13" s="732"/>
      <c r="F13" s="732"/>
      <c r="G13" s="733"/>
      <c r="H13" s="733"/>
      <c r="I13" s="733"/>
      <c r="J13" s="733"/>
      <c r="K13" s="733"/>
      <c r="L13" s="733"/>
      <c r="M13" s="733"/>
      <c r="N13" s="733"/>
      <c r="O13" s="733"/>
      <c r="P13" s="733"/>
      <c r="Q13" s="733"/>
      <c r="R13" s="733"/>
      <c r="S13" s="733"/>
      <c r="T13" s="734"/>
    </row>
    <row r="14" spans="2:20" ht="18.75" customHeight="1" thickBot="1">
      <c r="B14" s="2"/>
      <c r="C14" s="735"/>
      <c r="D14" s="736"/>
      <c r="E14" s="736"/>
      <c r="F14" s="73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s="745" customFormat="1" ht="34.5" customHeight="1" thickBot="1" thickTop="1">
      <c r="A15" s="723"/>
      <c r="B15" s="738"/>
      <c r="C15" s="739"/>
      <c r="D15" s="740" t="s">
        <v>19</v>
      </c>
      <c r="E15" s="741" t="s">
        <v>48</v>
      </c>
      <c r="F15" s="742" t="s">
        <v>49</v>
      </c>
      <c r="G15" s="743">
        <f>'[2]Tasa de Falla'!HU15</f>
        <v>41395</v>
      </c>
      <c r="H15" s="743">
        <f>'[2]Tasa de Falla'!HV15</f>
        <v>41426</v>
      </c>
      <c r="I15" s="743">
        <f>'[2]Tasa de Falla'!HW15</f>
        <v>41456</v>
      </c>
      <c r="J15" s="743">
        <f>'[2]Tasa de Falla'!HX15</f>
        <v>41487</v>
      </c>
      <c r="K15" s="743">
        <f>'[2]Tasa de Falla'!HY15</f>
        <v>41518</v>
      </c>
      <c r="L15" s="743">
        <f>'[2]Tasa de Falla'!HZ15</f>
        <v>41548</v>
      </c>
      <c r="M15" s="743">
        <f>'[2]Tasa de Falla'!IA15</f>
        <v>41579</v>
      </c>
      <c r="N15" s="743">
        <f>'[2]Tasa de Falla'!IB15</f>
        <v>41609</v>
      </c>
      <c r="O15" s="743">
        <f>'[2]Tasa de Falla'!IC15</f>
        <v>41640</v>
      </c>
      <c r="P15" s="743">
        <f>'[2]Tasa de Falla'!ID15</f>
        <v>41671</v>
      </c>
      <c r="Q15" s="743">
        <f>'[2]Tasa de Falla'!IE15</f>
        <v>41699</v>
      </c>
      <c r="R15" s="743">
        <f>'[2]Tasa de Falla'!IF15</f>
        <v>41730</v>
      </c>
      <c r="S15" s="743">
        <f>'[2]Tasa de Falla'!IG15</f>
        <v>41760</v>
      </c>
      <c r="T15" s="744"/>
    </row>
    <row r="16" spans="2:20" ht="15" customHeight="1" thickTop="1">
      <c r="B16" s="2"/>
      <c r="C16" s="746"/>
      <c r="D16" s="747"/>
      <c r="E16" s="747"/>
      <c r="F16" s="748"/>
      <c r="G16" s="748"/>
      <c r="H16" s="748"/>
      <c r="I16" s="748"/>
      <c r="J16" s="748"/>
      <c r="K16" s="748"/>
      <c r="L16" s="748"/>
      <c r="M16" s="748"/>
      <c r="N16" s="748"/>
      <c r="O16" s="748"/>
      <c r="P16" s="748"/>
      <c r="Q16" s="748"/>
      <c r="R16" s="748"/>
      <c r="S16" s="749"/>
      <c r="T16" s="3"/>
    </row>
    <row r="17" spans="2:20" ht="12.75" hidden="1">
      <c r="B17" s="2"/>
      <c r="C17" s="750">
        <f>IF('[1]Tasa de Falla'!C17=0,"",'[1]Tasa de Falla'!C17)</f>
        <v>1</v>
      </c>
      <c r="D17" s="751" t="str">
        <f>IF('[1]Tasa de Falla'!D17=0,"",'[1]Tasa de Falla'!D17)</f>
        <v>AMEGHINO - COMODORO RIVADAVIA</v>
      </c>
      <c r="E17" s="751">
        <f>IF('[1]Tasa de Falla'!E17=0,"",'[1]Tasa de Falla'!E17)</f>
        <v>132</v>
      </c>
      <c r="F17" s="752">
        <f>IF('[1]Tasa de Falla'!F17=0,"",'[1]Tasa de Falla'!F17)</f>
        <v>305</v>
      </c>
      <c r="G17" s="753" t="str">
        <f>IF('[1]Tasa de Falla'!EA17=0,"",'[1]Tasa de Falla'!EA17)</f>
        <v>XXXX</v>
      </c>
      <c r="H17" s="753" t="str">
        <f>IF('[1]Tasa de Falla'!EB17=0,"",'[1]Tasa de Falla'!EB17)</f>
        <v>XXXX</v>
      </c>
      <c r="I17" s="753" t="str">
        <f>IF('[1]Tasa de Falla'!EC17=0,"",'[1]Tasa de Falla'!EC17)</f>
        <v>XXXX</v>
      </c>
      <c r="J17" s="753" t="str">
        <f>IF('[1]Tasa de Falla'!ED17=0,"",'[1]Tasa de Falla'!ED17)</f>
        <v>XXXX</v>
      </c>
      <c r="K17" s="753" t="str">
        <f>IF('[1]Tasa de Falla'!EE17=0,"",'[1]Tasa de Falla'!EE17)</f>
        <v>XXXX</v>
      </c>
      <c r="L17" s="753" t="str">
        <f>IF('[1]Tasa de Falla'!EF17=0,"",'[1]Tasa de Falla'!EF17)</f>
        <v>XXXX</v>
      </c>
      <c r="M17" s="753" t="str">
        <f>IF('[1]Tasa de Falla'!EG17=0,"",'[1]Tasa de Falla'!EG17)</f>
        <v>XXXX</v>
      </c>
      <c r="N17" s="753" t="str">
        <f>IF('[1]Tasa de Falla'!EH17=0,"",'[1]Tasa de Falla'!EH17)</f>
        <v>XXXX</v>
      </c>
      <c r="O17" s="753" t="str">
        <f>IF('[1]Tasa de Falla'!EI17=0,"",'[1]Tasa de Falla'!EI17)</f>
        <v>XXXX</v>
      </c>
      <c r="P17" s="753" t="str">
        <f>IF('[1]Tasa de Falla'!EJ17=0,"",'[1]Tasa de Falla'!EJ17)</f>
        <v>XXXX</v>
      </c>
      <c r="Q17" s="753" t="str">
        <f>IF('[1]Tasa de Falla'!EK17=0,"",'[1]Tasa de Falla'!EK17)</f>
        <v>XXXX</v>
      </c>
      <c r="R17" s="753" t="str">
        <f>IF('[1]Tasa de Falla'!EL17=0,"",'[1]Tasa de Falla'!EL17)</f>
        <v>XXXX</v>
      </c>
      <c r="S17" s="754"/>
      <c r="T17" s="3"/>
    </row>
    <row r="18" spans="2:20" ht="18" customHeight="1">
      <c r="B18" s="2"/>
      <c r="C18" s="755">
        <f>IF('[2]Tasa de Falla'!C17="","",'[2]Tasa de Falla'!C17)</f>
        <v>1</v>
      </c>
      <c r="D18" s="755" t="str">
        <f>IF('[2]Tasa de Falla'!D17="","",'[2]Tasa de Falla'!D17)</f>
        <v>AMEGHINO - COMODORO RIVADAVIA</v>
      </c>
      <c r="E18" s="755">
        <f>IF('[2]Tasa de Falla'!E17="","",'[2]Tasa de Falla'!E17)</f>
        <v>132</v>
      </c>
      <c r="F18" s="755">
        <f>IF('[2]Tasa de Falla'!F17="","",'[2]Tasa de Falla'!F17)</f>
        <v>305</v>
      </c>
      <c r="G18" s="756" t="str">
        <f>IF('[2]Tasa de Falla'!HU17="","",'[2]Tasa de Falla'!HU17)</f>
        <v>XXXX</v>
      </c>
      <c r="H18" s="756" t="str">
        <f>IF('[2]Tasa de Falla'!HV17="","",'[2]Tasa de Falla'!HV17)</f>
        <v>XXXX</v>
      </c>
      <c r="I18" s="756" t="str">
        <f>IF('[2]Tasa de Falla'!HW17="","",'[2]Tasa de Falla'!HW17)</f>
        <v>XXXX</v>
      </c>
      <c r="J18" s="756" t="str">
        <f>IF('[2]Tasa de Falla'!HX17="","",'[2]Tasa de Falla'!HX17)</f>
        <v>XXXX</v>
      </c>
      <c r="K18" s="756" t="str">
        <f>IF('[2]Tasa de Falla'!HY17="","",'[2]Tasa de Falla'!HY17)</f>
        <v>XXXX</v>
      </c>
      <c r="L18" s="756" t="str">
        <f>IF('[2]Tasa de Falla'!HZ17="","",'[2]Tasa de Falla'!HZ17)</f>
        <v>XXXX</v>
      </c>
      <c r="M18" s="756" t="str">
        <f>IF('[2]Tasa de Falla'!IA17="","",'[2]Tasa de Falla'!IA17)</f>
        <v>XXXX</v>
      </c>
      <c r="N18" s="756" t="str">
        <f>IF('[2]Tasa de Falla'!IB17="","",'[2]Tasa de Falla'!IB17)</f>
        <v>XXXX</v>
      </c>
      <c r="O18" s="756" t="str">
        <f>IF('[2]Tasa de Falla'!IC17="","",'[2]Tasa de Falla'!IC17)</f>
        <v>XXXX</v>
      </c>
      <c r="P18" s="756" t="str">
        <f>IF('[2]Tasa de Falla'!ID17="","",'[2]Tasa de Falla'!ID17)</f>
        <v>XXXX</v>
      </c>
      <c r="Q18" s="756" t="str">
        <f>IF('[2]Tasa de Falla'!IE17="","",'[2]Tasa de Falla'!IE17)</f>
        <v>XXXX</v>
      </c>
      <c r="R18" s="756" t="str">
        <f>IF('[2]Tasa de Falla'!IF17="","",'[2]Tasa de Falla'!IF17)</f>
        <v>XXXX</v>
      </c>
      <c r="S18" s="754"/>
      <c r="T18" s="3"/>
    </row>
    <row r="19" spans="2:20" ht="15" customHeight="1">
      <c r="B19" s="2"/>
      <c r="C19" s="757">
        <f>IF('[2]Tasa de Falla'!C18="","",'[2]Tasa de Falla'!C18)</f>
        <v>2</v>
      </c>
      <c r="D19" s="757" t="str">
        <f>IF('[2]Tasa de Falla'!D18="","",'[2]Tasa de Falla'!D18)</f>
        <v>AMEGHINO - ESTACION PATAGONIA</v>
      </c>
      <c r="E19" s="757">
        <f>IF('[2]Tasa de Falla'!E18="","",'[2]Tasa de Falla'!E18)</f>
        <v>132</v>
      </c>
      <c r="F19" s="757">
        <f>IF('[2]Tasa de Falla'!F18="","",'[2]Tasa de Falla'!F18)</f>
        <v>299.6</v>
      </c>
      <c r="G19" s="758">
        <f>IF('[2]Tasa de Falla'!HU18="","",'[2]Tasa de Falla'!HU18)</f>
      </c>
      <c r="H19" s="758">
        <f>IF('[2]Tasa de Falla'!HV18="","",'[2]Tasa de Falla'!HV18)</f>
      </c>
      <c r="I19" s="758">
        <f>IF('[2]Tasa de Falla'!HW18="","",'[2]Tasa de Falla'!HW18)</f>
        <v>1</v>
      </c>
      <c r="J19" s="758">
        <f>IF('[2]Tasa de Falla'!HX18="","",'[2]Tasa de Falla'!HX18)</f>
      </c>
      <c r="K19" s="758">
        <f>IF('[2]Tasa de Falla'!HY18="","",'[2]Tasa de Falla'!HY18)</f>
      </c>
      <c r="L19" s="758">
        <f>IF('[2]Tasa de Falla'!HZ18="","",'[2]Tasa de Falla'!HZ18)</f>
      </c>
      <c r="M19" s="758">
        <f>IF('[2]Tasa de Falla'!IA18="","",'[2]Tasa de Falla'!IA18)</f>
      </c>
      <c r="N19" s="758">
        <f>IF('[2]Tasa de Falla'!IB18="","",'[2]Tasa de Falla'!IB18)</f>
        <v>1</v>
      </c>
      <c r="O19" s="758">
        <f>IF('[2]Tasa de Falla'!IC18="","",'[2]Tasa de Falla'!IC18)</f>
      </c>
      <c r="P19" s="758">
        <f>IF('[2]Tasa de Falla'!ID18="","",'[2]Tasa de Falla'!ID18)</f>
      </c>
      <c r="Q19" s="758">
        <f>IF('[2]Tasa de Falla'!IE18="","",'[2]Tasa de Falla'!IE18)</f>
      </c>
      <c r="R19" s="758">
        <f>IF('[2]Tasa de Falla'!IF18="","",'[2]Tasa de Falla'!IF18)</f>
      </c>
      <c r="S19" s="754"/>
      <c r="T19" s="3"/>
    </row>
    <row r="20" spans="2:20" ht="18" customHeight="1">
      <c r="B20" s="2"/>
      <c r="C20" s="755">
        <f>IF('[2]Tasa de Falla'!C19="","",'[2]Tasa de Falla'!C19)</f>
        <v>3</v>
      </c>
      <c r="D20" s="755" t="str">
        <f>IF('[2]Tasa de Falla'!D19="","",'[2]Tasa de Falla'!D19)</f>
        <v>AMEGHINO - TRELEW</v>
      </c>
      <c r="E20" s="755">
        <f>IF('[2]Tasa de Falla'!E19="","",'[2]Tasa de Falla'!E19)</f>
        <v>132</v>
      </c>
      <c r="F20" s="755">
        <f>IF('[2]Tasa de Falla'!F19="","",'[2]Tasa de Falla'!F19)</f>
        <v>112</v>
      </c>
      <c r="G20" s="756">
        <f>IF('[2]Tasa de Falla'!HU19="","",'[2]Tasa de Falla'!HU19)</f>
      </c>
      <c r="H20" s="756">
        <f>IF('[2]Tasa de Falla'!HV19="","",'[2]Tasa de Falla'!HV19)</f>
      </c>
      <c r="I20" s="756">
        <f>IF('[2]Tasa de Falla'!HW19="","",'[2]Tasa de Falla'!HW19)</f>
      </c>
      <c r="J20" s="756">
        <f>IF('[2]Tasa de Falla'!HX19="","",'[2]Tasa de Falla'!HX19)</f>
      </c>
      <c r="K20" s="756">
        <f>IF('[2]Tasa de Falla'!HY19="","",'[2]Tasa de Falla'!HY19)</f>
      </c>
      <c r="L20" s="756">
        <f>IF('[2]Tasa de Falla'!HZ19="","",'[2]Tasa de Falla'!HZ19)</f>
      </c>
      <c r="M20" s="756">
        <f>IF('[2]Tasa de Falla'!IA19="","",'[2]Tasa de Falla'!IA19)</f>
      </c>
      <c r="N20" s="756">
        <f>IF('[2]Tasa de Falla'!IB19="","",'[2]Tasa de Falla'!IB19)</f>
      </c>
      <c r="O20" s="756">
        <f>IF('[2]Tasa de Falla'!IC19="","",'[2]Tasa de Falla'!IC19)</f>
      </c>
      <c r="P20" s="756">
        <f>IF('[2]Tasa de Falla'!ID19="","",'[2]Tasa de Falla'!ID19)</f>
      </c>
      <c r="Q20" s="756">
        <f>IF('[2]Tasa de Falla'!IE19="","",'[2]Tasa de Falla'!IE19)</f>
      </c>
      <c r="R20" s="756">
        <f>IF('[2]Tasa de Falla'!IF19="","",'[2]Tasa de Falla'!IF19)</f>
        <v>1</v>
      </c>
      <c r="S20" s="754"/>
      <c r="T20" s="3"/>
    </row>
    <row r="21" spans="2:20" ht="15" customHeight="1">
      <c r="B21" s="2"/>
      <c r="C21" s="757">
        <f>IF('[2]Tasa de Falla'!C20="","",'[2]Tasa de Falla'!C20)</f>
        <v>4</v>
      </c>
      <c r="D21" s="757" t="str">
        <f>IF('[2]Tasa de Falla'!D20="","",'[2]Tasa de Falla'!D20)</f>
        <v>FUTALEUFU - ESQUEL</v>
      </c>
      <c r="E21" s="757">
        <f>IF('[2]Tasa de Falla'!E20="","",'[2]Tasa de Falla'!E20)</f>
        <v>132</v>
      </c>
      <c r="F21" s="757">
        <f>IF('[2]Tasa de Falla'!F20="","",'[2]Tasa de Falla'!F20)</f>
        <v>28.4</v>
      </c>
      <c r="G21" s="758">
        <f>IF('[2]Tasa de Falla'!HU20="","",'[2]Tasa de Falla'!HU20)</f>
      </c>
      <c r="H21" s="758">
        <f>IF('[2]Tasa de Falla'!HV20="","",'[2]Tasa de Falla'!HV20)</f>
      </c>
      <c r="I21" s="758">
        <f>IF('[2]Tasa de Falla'!HW20="","",'[2]Tasa de Falla'!HW20)</f>
      </c>
      <c r="J21" s="758">
        <f>IF('[2]Tasa de Falla'!HX20="","",'[2]Tasa de Falla'!HX20)</f>
        <v>1</v>
      </c>
      <c r="K21" s="758">
        <f>IF('[2]Tasa de Falla'!HY20="","",'[2]Tasa de Falla'!HY20)</f>
      </c>
      <c r="L21" s="758">
        <f>IF('[2]Tasa de Falla'!HZ20="","",'[2]Tasa de Falla'!HZ20)</f>
      </c>
      <c r="M21" s="758">
        <f>IF('[2]Tasa de Falla'!IA20="","",'[2]Tasa de Falla'!IA20)</f>
      </c>
      <c r="N21" s="758">
        <f>IF('[2]Tasa de Falla'!IB20="","",'[2]Tasa de Falla'!IB20)</f>
      </c>
      <c r="O21" s="758">
        <f>IF('[2]Tasa de Falla'!IC20="","",'[2]Tasa de Falla'!IC20)</f>
      </c>
      <c r="P21" s="758">
        <f>IF('[2]Tasa de Falla'!ID20="","",'[2]Tasa de Falla'!ID20)</f>
      </c>
      <c r="Q21" s="758">
        <f>IF('[2]Tasa de Falla'!IE20="","",'[2]Tasa de Falla'!IE20)</f>
      </c>
      <c r="R21" s="758">
        <f>IF('[2]Tasa de Falla'!IF20="","",'[2]Tasa de Falla'!IF20)</f>
      </c>
      <c r="S21" s="754"/>
      <c r="T21" s="3"/>
    </row>
    <row r="22" spans="2:20" ht="18" customHeight="1">
      <c r="B22" s="2"/>
      <c r="C22" s="755">
        <f>IF('[2]Tasa de Falla'!C21="","",'[2]Tasa de Falla'!C21)</f>
        <v>5</v>
      </c>
      <c r="D22" s="755" t="str">
        <f>IF('[2]Tasa de Falla'!D21="","",'[2]Tasa de Falla'!D21)</f>
        <v>BARRIO SAN MARTIN - ESTACION PATAGONIA</v>
      </c>
      <c r="E22" s="755">
        <f>IF('[2]Tasa de Falla'!E21="","",'[2]Tasa de Falla'!E21)</f>
        <v>132</v>
      </c>
      <c r="F22" s="755">
        <f>IF('[2]Tasa de Falla'!F21="","",'[2]Tasa de Falla'!F21)</f>
        <v>9.4</v>
      </c>
      <c r="G22" s="756">
        <f>IF('[2]Tasa de Falla'!HU21="","",'[2]Tasa de Falla'!HU21)</f>
      </c>
      <c r="H22" s="756">
        <f>IF('[2]Tasa de Falla'!HV21="","",'[2]Tasa de Falla'!HV21)</f>
      </c>
      <c r="I22" s="756">
        <f>IF('[2]Tasa de Falla'!HW21="","",'[2]Tasa de Falla'!HW21)</f>
      </c>
      <c r="J22" s="756">
        <f>IF('[2]Tasa de Falla'!HX21="","",'[2]Tasa de Falla'!HX21)</f>
      </c>
      <c r="K22" s="756">
        <f>IF('[2]Tasa de Falla'!HY21="","",'[2]Tasa de Falla'!HY21)</f>
      </c>
      <c r="L22" s="756">
        <f>IF('[2]Tasa de Falla'!HZ21="","",'[2]Tasa de Falla'!HZ21)</f>
      </c>
      <c r="M22" s="756">
        <f>IF('[2]Tasa de Falla'!IA21="","",'[2]Tasa de Falla'!IA21)</f>
      </c>
      <c r="N22" s="756">
        <f>IF('[2]Tasa de Falla'!IB21="","",'[2]Tasa de Falla'!IB21)</f>
      </c>
      <c r="O22" s="756">
        <f>IF('[2]Tasa de Falla'!IC21="","",'[2]Tasa de Falla'!IC21)</f>
      </c>
      <c r="P22" s="756">
        <f>IF('[2]Tasa de Falla'!ID21="","",'[2]Tasa de Falla'!ID21)</f>
      </c>
      <c r="Q22" s="756">
        <f>IF('[2]Tasa de Falla'!IE21="","",'[2]Tasa de Falla'!IE21)</f>
      </c>
      <c r="R22" s="756">
        <f>IF('[2]Tasa de Falla'!IF21="","",'[2]Tasa de Falla'!IF21)</f>
        <v>1</v>
      </c>
      <c r="S22" s="754"/>
      <c r="T22" s="3"/>
    </row>
    <row r="23" spans="2:20" ht="15" customHeight="1">
      <c r="B23" s="2"/>
      <c r="C23" s="757">
        <f>IF('[2]Tasa de Falla'!C22="","",'[2]Tasa de Falla'!C22)</f>
        <v>6</v>
      </c>
      <c r="D23" s="757" t="str">
        <f>IF('[2]Tasa de Falla'!D22="","",'[2]Tasa de Falla'!D22)</f>
        <v>COMODORO RIVADAVIA - E.T. A1</v>
      </c>
      <c r="E23" s="757">
        <f>IF('[2]Tasa de Falla'!E22="","",'[2]Tasa de Falla'!E22)</f>
        <v>132</v>
      </c>
      <c r="F23" s="757">
        <f>IF('[2]Tasa de Falla'!F22="","",'[2]Tasa de Falla'!F22)</f>
        <v>0.5</v>
      </c>
      <c r="G23" s="758">
        <f>IF('[2]Tasa de Falla'!HU22="","",'[2]Tasa de Falla'!HU22)</f>
      </c>
      <c r="H23" s="758">
        <f>IF('[2]Tasa de Falla'!HV22="","",'[2]Tasa de Falla'!HV22)</f>
      </c>
      <c r="I23" s="758">
        <f>IF('[2]Tasa de Falla'!HW22="","",'[2]Tasa de Falla'!HW22)</f>
      </c>
      <c r="J23" s="758">
        <f>IF('[2]Tasa de Falla'!HX22="","",'[2]Tasa de Falla'!HX22)</f>
      </c>
      <c r="K23" s="758">
        <f>IF('[2]Tasa de Falla'!HY22="","",'[2]Tasa de Falla'!HY22)</f>
      </c>
      <c r="L23" s="758">
        <f>IF('[2]Tasa de Falla'!HZ22="","",'[2]Tasa de Falla'!HZ22)</f>
      </c>
      <c r="M23" s="758">
        <f>IF('[2]Tasa de Falla'!IA22="","",'[2]Tasa de Falla'!IA22)</f>
      </c>
      <c r="N23" s="758">
        <f>IF('[2]Tasa de Falla'!IB22="","",'[2]Tasa de Falla'!IB22)</f>
      </c>
      <c r="O23" s="758">
        <f>IF('[2]Tasa de Falla'!IC22="","",'[2]Tasa de Falla'!IC22)</f>
      </c>
      <c r="P23" s="758">
        <f>IF('[2]Tasa de Falla'!ID22="","",'[2]Tasa de Falla'!ID22)</f>
      </c>
      <c r="Q23" s="758">
        <f>IF('[2]Tasa de Falla'!IE22="","",'[2]Tasa de Falla'!IE22)</f>
      </c>
      <c r="R23" s="758">
        <f>IF('[2]Tasa de Falla'!IF22="","",'[2]Tasa de Falla'!IF22)</f>
      </c>
      <c r="S23" s="754"/>
      <c r="T23" s="3"/>
    </row>
    <row r="24" spans="2:20" ht="18" customHeight="1">
      <c r="B24" s="2"/>
      <c r="C24" s="755">
        <f>IF('[2]Tasa de Falla'!C23="","",'[2]Tasa de Falla'!C23)</f>
        <v>7</v>
      </c>
      <c r="D24" s="755" t="str">
        <f>IF('[2]Tasa de Falla'!D23="","",'[2]Tasa de Falla'!D23)</f>
        <v>COMODORO RIVADAVIA (A1) - ESTACION PATAGONIA</v>
      </c>
      <c r="E24" s="755">
        <f>IF('[2]Tasa de Falla'!E23="","",'[2]Tasa de Falla'!E23)</f>
        <v>132</v>
      </c>
      <c r="F24" s="755">
        <f>IF('[2]Tasa de Falla'!F23="","",'[2]Tasa de Falla'!F23)</f>
        <v>6.9</v>
      </c>
      <c r="G24" s="756">
        <f>IF('[2]Tasa de Falla'!HU23="","",'[2]Tasa de Falla'!HU23)</f>
      </c>
      <c r="H24" s="756">
        <f>IF('[2]Tasa de Falla'!HV23="","",'[2]Tasa de Falla'!HV23)</f>
      </c>
      <c r="I24" s="756">
        <f>IF('[2]Tasa de Falla'!HW23="","",'[2]Tasa de Falla'!HW23)</f>
      </c>
      <c r="J24" s="756">
        <f>IF('[2]Tasa de Falla'!HX23="","",'[2]Tasa de Falla'!HX23)</f>
      </c>
      <c r="K24" s="756">
        <f>IF('[2]Tasa de Falla'!HY23="","",'[2]Tasa de Falla'!HY23)</f>
      </c>
      <c r="L24" s="756">
        <f>IF('[2]Tasa de Falla'!HZ23="","",'[2]Tasa de Falla'!HZ23)</f>
      </c>
      <c r="M24" s="756">
        <f>IF('[2]Tasa de Falla'!IA23="","",'[2]Tasa de Falla'!IA23)</f>
      </c>
      <c r="N24" s="756">
        <f>IF('[2]Tasa de Falla'!IB23="","",'[2]Tasa de Falla'!IB23)</f>
      </c>
      <c r="O24" s="756">
        <f>IF('[2]Tasa de Falla'!IC23="","",'[2]Tasa de Falla'!IC23)</f>
      </c>
      <c r="P24" s="756">
        <f>IF('[2]Tasa de Falla'!ID23="","",'[2]Tasa de Falla'!ID23)</f>
      </c>
      <c r="Q24" s="756">
        <f>IF('[2]Tasa de Falla'!IE23="","",'[2]Tasa de Falla'!IE23)</f>
      </c>
      <c r="R24" s="756">
        <f>IF('[2]Tasa de Falla'!IF23="","",'[2]Tasa de Falla'!IF23)</f>
      </c>
      <c r="S24" s="754"/>
      <c r="T24" s="3"/>
    </row>
    <row r="25" spans="2:20" ht="15" customHeight="1">
      <c r="B25" s="2"/>
      <c r="C25" s="757">
        <f>IF('[2]Tasa de Falla'!C24="","",'[2]Tasa de Falla'!C24)</f>
        <v>8</v>
      </c>
      <c r="D25" s="757" t="str">
        <f>IF('[2]Tasa de Falla'!D24="","",'[2]Tasa de Falla'!D24)</f>
        <v>COMODORO RIVADAVIA - PICO TRUNCADO</v>
      </c>
      <c r="E25" s="757">
        <f>IF('[2]Tasa de Falla'!E24="","",'[2]Tasa de Falla'!E24)</f>
        <v>132</v>
      </c>
      <c r="F25" s="757">
        <f>IF('[2]Tasa de Falla'!F24="","",'[2]Tasa de Falla'!F24)</f>
        <v>138</v>
      </c>
      <c r="G25" s="758">
        <f>IF('[2]Tasa de Falla'!HU24="","",'[2]Tasa de Falla'!HU24)</f>
      </c>
      <c r="H25" s="758">
        <f>IF('[2]Tasa de Falla'!HV24="","",'[2]Tasa de Falla'!HV24)</f>
      </c>
      <c r="I25" s="758">
        <f>IF('[2]Tasa de Falla'!HW24="","",'[2]Tasa de Falla'!HW24)</f>
      </c>
      <c r="J25" s="758">
        <f>IF('[2]Tasa de Falla'!HX24="","",'[2]Tasa de Falla'!HX24)</f>
        <v>1</v>
      </c>
      <c r="K25" s="758">
        <f>IF('[2]Tasa de Falla'!HY24="","",'[2]Tasa de Falla'!HY24)</f>
      </c>
      <c r="L25" s="758">
        <f>IF('[2]Tasa de Falla'!HZ24="","",'[2]Tasa de Falla'!HZ24)</f>
      </c>
      <c r="M25" s="758">
        <f>IF('[2]Tasa de Falla'!IA24="","",'[2]Tasa de Falla'!IA24)</f>
      </c>
      <c r="N25" s="758">
        <f>IF('[2]Tasa de Falla'!IB24="","",'[2]Tasa de Falla'!IB24)</f>
      </c>
      <c r="O25" s="758">
        <f>IF('[2]Tasa de Falla'!IC24="","",'[2]Tasa de Falla'!IC24)</f>
      </c>
      <c r="P25" s="758">
        <f>IF('[2]Tasa de Falla'!ID24="","",'[2]Tasa de Falla'!ID24)</f>
      </c>
      <c r="Q25" s="758">
        <f>IF('[2]Tasa de Falla'!IE24="","",'[2]Tasa de Falla'!IE24)</f>
      </c>
      <c r="R25" s="758">
        <f>IF('[2]Tasa de Falla'!IF24="","",'[2]Tasa de Falla'!IF24)</f>
      </c>
      <c r="S25" s="754"/>
      <c r="T25" s="3"/>
    </row>
    <row r="26" spans="2:20" ht="18" customHeight="1">
      <c r="B26" s="2"/>
      <c r="C26" s="755">
        <f>IF('[2]Tasa de Falla'!C25="","",'[2]Tasa de Falla'!C25)</f>
        <v>9</v>
      </c>
      <c r="D26" s="755" t="str">
        <f>IF('[2]Tasa de Falla'!D25="","",'[2]Tasa de Falla'!D25)</f>
        <v>FUTALEUFÚ - PUERTO MADRYN 1</v>
      </c>
      <c r="E26" s="755">
        <f>IF('[2]Tasa de Falla'!E25="","",'[2]Tasa de Falla'!E25)</f>
        <v>330</v>
      </c>
      <c r="F26" s="755">
        <f>IF('[2]Tasa de Falla'!F25="","",'[2]Tasa de Falla'!F25)</f>
        <v>550</v>
      </c>
      <c r="G26" s="756">
        <f>IF('[2]Tasa de Falla'!HU25="","",'[2]Tasa de Falla'!HU25)</f>
      </c>
      <c r="H26" s="756">
        <f>IF('[2]Tasa de Falla'!HV25="","",'[2]Tasa de Falla'!HV25)</f>
      </c>
      <c r="I26" s="756">
        <f>IF('[2]Tasa de Falla'!HW25="","",'[2]Tasa de Falla'!HW25)</f>
        <v>1</v>
      </c>
      <c r="J26" s="756">
        <f>IF('[2]Tasa de Falla'!HX25="","",'[2]Tasa de Falla'!HX25)</f>
      </c>
      <c r="K26" s="756">
        <f>IF('[2]Tasa de Falla'!HY25="","",'[2]Tasa de Falla'!HY25)</f>
      </c>
      <c r="L26" s="756">
        <f>IF('[2]Tasa de Falla'!HZ25="","",'[2]Tasa de Falla'!HZ25)</f>
      </c>
      <c r="M26" s="756">
        <f>IF('[2]Tasa de Falla'!IA25="","",'[2]Tasa de Falla'!IA25)</f>
      </c>
      <c r="N26" s="756">
        <f>IF('[2]Tasa de Falla'!IB25="","",'[2]Tasa de Falla'!IB25)</f>
      </c>
      <c r="O26" s="756">
        <f>IF('[2]Tasa de Falla'!IC25="","",'[2]Tasa de Falla'!IC25)</f>
      </c>
      <c r="P26" s="756">
        <f>IF('[2]Tasa de Falla'!ID25="","",'[2]Tasa de Falla'!ID25)</f>
      </c>
      <c r="Q26" s="756">
        <f>IF('[2]Tasa de Falla'!IE25="","",'[2]Tasa de Falla'!IE25)</f>
      </c>
      <c r="R26" s="756">
        <f>IF('[2]Tasa de Falla'!IF25="","",'[2]Tasa de Falla'!IF25)</f>
      </c>
      <c r="S26" s="754"/>
      <c r="T26" s="3"/>
    </row>
    <row r="27" spans="2:20" ht="15" customHeight="1">
      <c r="B27" s="2"/>
      <c r="C27" s="757">
        <f>IF('[2]Tasa de Falla'!C26="","",'[2]Tasa de Falla'!C26)</f>
        <v>10</v>
      </c>
      <c r="D27" s="757" t="str">
        <f>IF('[2]Tasa de Falla'!D26="","",'[2]Tasa de Falla'!D26)</f>
        <v>FUTALEUFÚ - PUERTO MADRYN 2</v>
      </c>
      <c r="E27" s="757">
        <f>IF('[2]Tasa de Falla'!E26="","",'[2]Tasa de Falla'!E26)</f>
        <v>330</v>
      </c>
      <c r="F27" s="757">
        <f>IF('[2]Tasa de Falla'!F26="","",'[2]Tasa de Falla'!F26)</f>
        <v>550</v>
      </c>
      <c r="G27" s="758">
        <f>IF('[2]Tasa de Falla'!HU26="","",'[2]Tasa de Falla'!HU26)</f>
      </c>
      <c r="H27" s="758">
        <f>IF('[2]Tasa de Falla'!HV26="","",'[2]Tasa de Falla'!HV26)</f>
      </c>
      <c r="I27" s="758">
        <f>IF('[2]Tasa de Falla'!HW26="","",'[2]Tasa de Falla'!HW26)</f>
      </c>
      <c r="J27" s="758">
        <f>IF('[2]Tasa de Falla'!HX26="","",'[2]Tasa de Falla'!HX26)</f>
      </c>
      <c r="K27" s="758">
        <f>IF('[2]Tasa de Falla'!HY26="","",'[2]Tasa de Falla'!HY26)</f>
      </c>
      <c r="L27" s="758">
        <f>IF('[2]Tasa de Falla'!HZ26="","",'[2]Tasa de Falla'!HZ26)</f>
      </c>
      <c r="M27" s="758">
        <f>IF('[2]Tasa de Falla'!IA26="","",'[2]Tasa de Falla'!IA26)</f>
      </c>
      <c r="N27" s="758">
        <f>IF('[2]Tasa de Falla'!IB26="","",'[2]Tasa de Falla'!IB26)</f>
      </c>
      <c r="O27" s="758">
        <f>IF('[2]Tasa de Falla'!IC26="","",'[2]Tasa de Falla'!IC26)</f>
      </c>
      <c r="P27" s="758">
        <f>IF('[2]Tasa de Falla'!ID26="","",'[2]Tasa de Falla'!ID26)</f>
      </c>
      <c r="Q27" s="758">
        <f>IF('[2]Tasa de Falla'!IE26="","",'[2]Tasa de Falla'!IE26)</f>
      </c>
      <c r="R27" s="758">
        <f>IF('[2]Tasa de Falla'!IF26="","",'[2]Tasa de Falla'!IF26)</f>
      </c>
      <c r="S27" s="754"/>
      <c r="T27" s="3"/>
    </row>
    <row r="28" spans="2:20" ht="18" customHeight="1">
      <c r="B28" s="2"/>
      <c r="C28" s="755">
        <f>IF('[2]Tasa de Falla'!C27="","",'[2]Tasa de Falla'!C27)</f>
        <v>11</v>
      </c>
      <c r="D28" s="755" t="str">
        <f>IF('[2]Tasa de Falla'!D27="","",'[2]Tasa de Falla'!D27)</f>
        <v>PLANTA ALUMINIO APPA - PUERTO MADRYN 1</v>
      </c>
      <c r="E28" s="755">
        <f>IF('[2]Tasa de Falla'!E27="","",'[2]Tasa de Falla'!E27)</f>
        <v>330</v>
      </c>
      <c r="F28" s="755">
        <f>IF('[2]Tasa de Falla'!F27="","",'[2]Tasa de Falla'!F27)</f>
        <v>5.5</v>
      </c>
      <c r="G28" s="756">
        <f>IF('[2]Tasa de Falla'!HU27="","",'[2]Tasa de Falla'!HU27)</f>
      </c>
      <c r="H28" s="756">
        <f>IF('[2]Tasa de Falla'!HV27="","",'[2]Tasa de Falla'!HV27)</f>
      </c>
      <c r="I28" s="756">
        <f>IF('[2]Tasa de Falla'!HW27="","",'[2]Tasa de Falla'!HW27)</f>
      </c>
      <c r="J28" s="756">
        <f>IF('[2]Tasa de Falla'!HX27="","",'[2]Tasa de Falla'!HX27)</f>
      </c>
      <c r="K28" s="756">
        <f>IF('[2]Tasa de Falla'!HY27="","",'[2]Tasa de Falla'!HY27)</f>
      </c>
      <c r="L28" s="756">
        <f>IF('[2]Tasa de Falla'!HZ27="","",'[2]Tasa de Falla'!HZ27)</f>
      </c>
      <c r="M28" s="756">
        <f>IF('[2]Tasa de Falla'!IA27="","",'[2]Tasa de Falla'!IA27)</f>
      </c>
      <c r="N28" s="756">
        <f>IF('[2]Tasa de Falla'!IB27="","",'[2]Tasa de Falla'!IB27)</f>
      </c>
      <c r="O28" s="756">
        <f>IF('[2]Tasa de Falla'!IC27="","",'[2]Tasa de Falla'!IC27)</f>
      </c>
      <c r="P28" s="756">
        <f>IF('[2]Tasa de Falla'!ID27="","",'[2]Tasa de Falla'!ID27)</f>
      </c>
      <c r="Q28" s="756">
        <f>IF('[2]Tasa de Falla'!IE27="","",'[2]Tasa de Falla'!IE27)</f>
      </c>
      <c r="R28" s="756">
        <f>IF('[2]Tasa de Falla'!IF27="","",'[2]Tasa de Falla'!IF27)</f>
      </c>
      <c r="S28" s="754"/>
      <c r="T28" s="3"/>
    </row>
    <row r="29" spans="2:20" ht="15" customHeight="1">
      <c r="B29" s="2"/>
      <c r="C29" s="757">
        <f>IF('[2]Tasa de Falla'!C28="","",'[2]Tasa de Falla'!C28)</f>
        <v>12</v>
      </c>
      <c r="D29" s="757" t="str">
        <f>IF('[2]Tasa de Falla'!D28="","",'[2]Tasa de Falla'!D28)</f>
        <v>PLANTA ALUMINIO APPA - PUERTO MADRYN 2</v>
      </c>
      <c r="E29" s="757">
        <f>IF('[2]Tasa de Falla'!E28="","",'[2]Tasa de Falla'!E28)</f>
        <v>330</v>
      </c>
      <c r="F29" s="757">
        <f>IF('[2]Tasa de Falla'!F28="","",'[2]Tasa de Falla'!F28)</f>
        <v>5.5</v>
      </c>
      <c r="G29" s="758">
        <f>IF('[2]Tasa de Falla'!HU28="","",'[2]Tasa de Falla'!HU28)</f>
      </c>
      <c r="H29" s="758">
        <f>IF('[2]Tasa de Falla'!HV28="","",'[2]Tasa de Falla'!HV28)</f>
      </c>
      <c r="I29" s="758">
        <f>IF('[2]Tasa de Falla'!HW28="","",'[2]Tasa de Falla'!HW28)</f>
      </c>
      <c r="J29" s="758">
        <f>IF('[2]Tasa de Falla'!HX28="","",'[2]Tasa de Falla'!HX28)</f>
      </c>
      <c r="K29" s="758">
        <f>IF('[2]Tasa de Falla'!HY28="","",'[2]Tasa de Falla'!HY28)</f>
      </c>
      <c r="L29" s="758">
        <f>IF('[2]Tasa de Falla'!HZ28="","",'[2]Tasa de Falla'!HZ28)</f>
      </c>
      <c r="M29" s="758">
        <f>IF('[2]Tasa de Falla'!IA28="","",'[2]Tasa de Falla'!IA28)</f>
      </c>
      <c r="N29" s="758">
        <f>IF('[2]Tasa de Falla'!IB28="","",'[2]Tasa de Falla'!IB28)</f>
      </c>
      <c r="O29" s="758">
        <f>IF('[2]Tasa de Falla'!IC28="","",'[2]Tasa de Falla'!IC28)</f>
      </c>
      <c r="P29" s="758">
        <f>IF('[2]Tasa de Falla'!ID28="","",'[2]Tasa de Falla'!ID28)</f>
      </c>
      <c r="Q29" s="758">
        <f>IF('[2]Tasa de Falla'!IE28="","",'[2]Tasa de Falla'!IE28)</f>
      </c>
      <c r="R29" s="758">
        <f>IF('[2]Tasa de Falla'!IF28="","",'[2]Tasa de Falla'!IF28)</f>
      </c>
      <c r="S29" s="754"/>
      <c r="T29" s="3"/>
    </row>
    <row r="30" spans="2:20" ht="18" customHeight="1">
      <c r="B30" s="2"/>
      <c r="C30" s="755">
        <f>IF('[2]Tasa de Falla'!C29="","",'[2]Tasa de Falla'!C29)</f>
        <v>13</v>
      </c>
      <c r="D30" s="755" t="str">
        <f>IF('[2]Tasa de Falla'!D29="","",'[2]Tasa de Falla'!D29)</f>
        <v>PICO TRUNCADO I - PICO TRUNCADO II</v>
      </c>
      <c r="E30" s="755">
        <f>IF('[2]Tasa de Falla'!E29="","",'[2]Tasa de Falla'!E29)</f>
        <v>132</v>
      </c>
      <c r="F30" s="755">
        <f>IF('[2]Tasa de Falla'!F29="","",'[2]Tasa de Falla'!F29)</f>
        <v>13.4</v>
      </c>
      <c r="G30" s="756">
        <f>IF('[2]Tasa de Falla'!HU29="","",'[2]Tasa de Falla'!HU29)</f>
      </c>
      <c r="H30" s="756">
        <f>IF('[2]Tasa de Falla'!HV29="","",'[2]Tasa de Falla'!HV29)</f>
      </c>
      <c r="I30" s="756">
        <f>IF('[2]Tasa de Falla'!HW29="","",'[2]Tasa de Falla'!HW29)</f>
      </c>
      <c r="J30" s="756">
        <f>IF('[2]Tasa de Falla'!HX29="","",'[2]Tasa de Falla'!HX29)</f>
      </c>
      <c r="K30" s="756">
        <f>IF('[2]Tasa de Falla'!HY29="","",'[2]Tasa de Falla'!HY29)</f>
      </c>
      <c r="L30" s="756">
        <f>IF('[2]Tasa de Falla'!HZ29="","",'[2]Tasa de Falla'!HZ29)</f>
      </c>
      <c r="M30" s="756">
        <f>IF('[2]Tasa de Falla'!IA29="","",'[2]Tasa de Falla'!IA29)</f>
      </c>
      <c r="N30" s="756">
        <f>IF('[2]Tasa de Falla'!IB29="","",'[2]Tasa de Falla'!IB29)</f>
      </c>
      <c r="O30" s="756">
        <f>IF('[2]Tasa de Falla'!IC29="","",'[2]Tasa de Falla'!IC29)</f>
      </c>
      <c r="P30" s="756">
        <f>IF('[2]Tasa de Falla'!ID29="","",'[2]Tasa de Falla'!ID29)</f>
      </c>
      <c r="Q30" s="756">
        <f>IF('[2]Tasa de Falla'!IE29="","",'[2]Tasa de Falla'!IE29)</f>
      </c>
      <c r="R30" s="756">
        <f>IF('[2]Tasa de Falla'!IF29="","",'[2]Tasa de Falla'!IF29)</f>
      </c>
      <c r="S30" s="754"/>
      <c r="T30" s="3"/>
    </row>
    <row r="31" spans="2:20" ht="15" customHeight="1">
      <c r="B31" s="2"/>
      <c r="C31" s="757">
        <f>IF('[2]Tasa de Falla'!C30="","",'[2]Tasa de Falla'!C30)</f>
        <v>14</v>
      </c>
      <c r="D31" s="757" t="str">
        <f>IF('[2]Tasa de Falla'!D30="","",'[2]Tasa de Falla'!D30)</f>
        <v>PLANTA ALUMINIO DGPA - PTO MADRYN</v>
      </c>
      <c r="E31" s="757">
        <f>IF('[2]Tasa de Falla'!E30="","",'[2]Tasa de Falla'!E30)</f>
        <v>132</v>
      </c>
      <c r="F31" s="757">
        <f>IF('[2]Tasa de Falla'!F30="","",'[2]Tasa de Falla'!F30)</f>
        <v>5.7</v>
      </c>
      <c r="G31" s="758">
        <f>IF('[2]Tasa de Falla'!HU30="","",'[2]Tasa de Falla'!HU30)</f>
      </c>
      <c r="H31" s="758">
        <f>IF('[2]Tasa de Falla'!HV30="","",'[2]Tasa de Falla'!HV30)</f>
      </c>
      <c r="I31" s="758">
        <f>IF('[2]Tasa de Falla'!HW30="","",'[2]Tasa de Falla'!HW30)</f>
      </c>
      <c r="J31" s="758">
        <f>IF('[2]Tasa de Falla'!HX30="","",'[2]Tasa de Falla'!HX30)</f>
      </c>
      <c r="K31" s="758">
        <f>IF('[2]Tasa de Falla'!HY30="","",'[2]Tasa de Falla'!HY30)</f>
      </c>
      <c r="L31" s="758">
        <f>IF('[2]Tasa de Falla'!HZ30="","",'[2]Tasa de Falla'!HZ30)</f>
      </c>
      <c r="M31" s="758">
        <f>IF('[2]Tasa de Falla'!IA30="","",'[2]Tasa de Falla'!IA30)</f>
      </c>
      <c r="N31" s="758">
        <f>IF('[2]Tasa de Falla'!IB30="","",'[2]Tasa de Falla'!IB30)</f>
      </c>
      <c r="O31" s="758">
        <f>IF('[2]Tasa de Falla'!IC30="","",'[2]Tasa de Falla'!IC30)</f>
      </c>
      <c r="P31" s="758">
        <f>IF('[2]Tasa de Falla'!ID30="","",'[2]Tasa de Falla'!ID30)</f>
      </c>
      <c r="Q31" s="758">
        <f>IF('[2]Tasa de Falla'!IE30="","",'[2]Tasa de Falla'!IE30)</f>
      </c>
      <c r="R31" s="758">
        <f>IF('[2]Tasa de Falla'!IF30="","",'[2]Tasa de Falla'!IF30)</f>
      </c>
      <c r="S31" s="754"/>
      <c r="T31" s="3"/>
    </row>
    <row r="32" spans="2:20" ht="18" customHeight="1">
      <c r="B32" s="2"/>
      <c r="C32" s="755">
        <f>IF('[2]Tasa de Falla'!C31="","",'[2]Tasa de Falla'!C31)</f>
        <v>15</v>
      </c>
      <c r="D32" s="755" t="str">
        <f>IF('[2]Tasa de Falla'!D31="","",'[2]Tasa de Falla'!D31)</f>
        <v>PLANTA ALUMINIO DGPA - SS.AA. PTO MADRYN</v>
      </c>
      <c r="E32" s="755">
        <f>IF('[2]Tasa de Falla'!E31="","",'[2]Tasa de Falla'!E31)</f>
        <v>33</v>
      </c>
      <c r="F32" s="755">
        <f>IF('[2]Tasa de Falla'!F31="","",'[2]Tasa de Falla'!F31)</f>
        <v>6</v>
      </c>
      <c r="G32" s="756" t="str">
        <f>IF('[2]Tasa de Falla'!HU31="","",'[2]Tasa de Falla'!HU31)</f>
        <v>XXXX</v>
      </c>
      <c r="H32" s="756" t="str">
        <f>IF('[2]Tasa de Falla'!HV31="","",'[2]Tasa de Falla'!HV31)</f>
        <v>XXXX</v>
      </c>
      <c r="I32" s="756" t="str">
        <f>IF('[2]Tasa de Falla'!HW31="","",'[2]Tasa de Falla'!HW31)</f>
        <v>XXXX</v>
      </c>
      <c r="J32" s="756" t="str">
        <f>IF('[2]Tasa de Falla'!HX31="","",'[2]Tasa de Falla'!HX31)</f>
        <v>XXXX</v>
      </c>
      <c r="K32" s="756" t="str">
        <f>IF('[2]Tasa de Falla'!HY31="","",'[2]Tasa de Falla'!HY31)</f>
        <v>XXXX</v>
      </c>
      <c r="L32" s="756" t="str">
        <f>IF('[2]Tasa de Falla'!HZ31="","",'[2]Tasa de Falla'!HZ31)</f>
        <v>XXXX</v>
      </c>
      <c r="M32" s="756" t="str">
        <f>IF('[2]Tasa de Falla'!IA31="","",'[2]Tasa de Falla'!IA31)</f>
        <v>XXXX</v>
      </c>
      <c r="N32" s="756" t="str">
        <f>IF('[2]Tasa de Falla'!IB31="","",'[2]Tasa de Falla'!IB31)</f>
        <v>XXXX</v>
      </c>
      <c r="O32" s="756" t="str">
        <f>IF('[2]Tasa de Falla'!IC31="","",'[2]Tasa de Falla'!IC31)</f>
        <v>XXXX</v>
      </c>
      <c r="P32" s="756" t="str">
        <f>IF('[2]Tasa de Falla'!ID31="","",'[2]Tasa de Falla'!ID31)</f>
        <v>XXXX</v>
      </c>
      <c r="Q32" s="756" t="str">
        <f>IF('[2]Tasa de Falla'!IE31="","",'[2]Tasa de Falla'!IE31)</f>
        <v>XXXX</v>
      </c>
      <c r="R32" s="756" t="str">
        <f>IF('[2]Tasa de Falla'!IF31="","",'[2]Tasa de Falla'!IF31)</f>
        <v>XXXX</v>
      </c>
      <c r="S32" s="754"/>
      <c r="T32" s="3"/>
    </row>
    <row r="33" spans="2:20" ht="15" customHeight="1">
      <c r="B33" s="2"/>
      <c r="C33" s="757">
        <f>IF('[2]Tasa de Falla'!C32="","",'[2]Tasa de Falla'!C32)</f>
        <v>16</v>
      </c>
      <c r="D33" s="757" t="str">
        <f>IF('[2]Tasa de Falla'!D32="","",'[2]Tasa de Falla'!D32)</f>
        <v>PLANTA ALUMINIO DGPA - TRELEW</v>
      </c>
      <c r="E33" s="757">
        <f>IF('[2]Tasa de Falla'!E32="","",'[2]Tasa de Falla'!E32)</f>
        <v>132</v>
      </c>
      <c r="F33" s="757">
        <f>IF('[2]Tasa de Falla'!F32="","",'[2]Tasa de Falla'!F32)</f>
        <v>62</v>
      </c>
      <c r="G33" s="758">
        <f>IF('[2]Tasa de Falla'!HU32="","",'[2]Tasa de Falla'!HU32)</f>
      </c>
      <c r="H33" s="758">
        <f>IF('[2]Tasa de Falla'!HV32="","",'[2]Tasa de Falla'!HV32)</f>
      </c>
      <c r="I33" s="758">
        <f>IF('[2]Tasa de Falla'!HW32="","",'[2]Tasa de Falla'!HW32)</f>
      </c>
      <c r="J33" s="758">
        <f>IF('[2]Tasa de Falla'!HX32="","",'[2]Tasa de Falla'!HX32)</f>
      </c>
      <c r="K33" s="758">
        <f>IF('[2]Tasa de Falla'!HY32="","",'[2]Tasa de Falla'!HY32)</f>
      </c>
      <c r="L33" s="758">
        <f>IF('[2]Tasa de Falla'!HZ32="","",'[2]Tasa de Falla'!HZ32)</f>
      </c>
      <c r="M33" s="758">
        <f>IF('[2]Tasa de Falla'!IA32="","",'[2]Tasa de Falla'!IA32)</f>
      </c>
      <c r="N33" s="758">
        <f>IF('[2]Tasa de Falla'!IB32="","",'[2]Tasa de Falla'!IB32)</f>
      </c>
      <c r="O33" s="758">
        <f>IF('[2]Tasa de Falla'!IC32="","",'[2]Tasa de Falla'!IC32)</f>
      </c>
      <c r="P33" s="758">
        <f>IF('[2]Tasa de Falla'!ID32="","",'[2]Tasa de Falla'!ID32)</f>
      </c>
      <c r="Q33" s="758">
        <f>IF('[2]Tasa de Falla'!IE32="","",'[2]Tasa de Falla'!IE32)</f>
      </c>
      <c r="R33" s="758">
        <f>IF('[2]Tasa de Falla'!IF32="","",'[2]Tasa de Falla'!IF32)</f>
        <v>1</v>
      </c>
      <c r="S33" s="754"/>
      <c r="T33" s="3"/>
    </row>
    <row r="34" spans="2:20" ht="18" customHeight="1">
      <c r="B34" s="2"/>
      <c r="C34" s="755">
        <f>IF('[2]Tasa de Falla'!C33="","",'[2]Tasa de Falla'!C33)</f>
        <v>17</v>
      </c>
      <c r="D34" s="755" t="str">
        <f>IF('[2]Tasa de Falla'!D33="","",'[2]Tasa de Falla'!D33)</f>
        <v>PUERTO MADRYN - SIERRA GRANDE</v>
      </c>
      <c r="E34" s="755">
        <f>IF('[2]Tasa de Falla'!E33="","",'[2]Tasa de Falla'!E33)</f>
        <v>132</v>
      </c>
      <c r="F34" s="755">
        <f>IF('[2]Tasa de Falla'!F33="","",'[2]Tasa de Falla'!F33)</f>
        <v>121.5</v>
      </c>
      <c r="G34" s="756">
        <f>IF('[2]Tasa de Falla'!HU33="","",'[2]Tasa de Falla'!HU33)</f>
      </c>
      <c r="H34" s="756">
        <f>IF('[2]Tasa de Falla'!HV33="","",'[2]Tasa de Falla'!HV33)</f>
      </c>
      <c r="I34" s="756">
        <f>IF('[2]Tasa de Falla'!HW33="","",'[2]Tasa de Falla'!HW33)</f>
      </c>
      <c r="J34" s="756">
        <f>IF('[2]Tasa de Falla'!HX33="","",'[2]Tasa de Falla'!HX33)</f>
      </c>
      <c r="K34" s="756">
        <f>IF('[2]Tasa de Falla'!HY33="","",'[2]Tasa de Falla'!HY33)</f>
      </c>
      <c r="L34" s="756">
        <f>IF('[2]Tasa de Falla'!HZ33="","",'[2]Tasa de Falla'!HZ33)</f>
      </c>
      <c r="M34" s="756">
        <f>IF('[2]Tasa de Falla'!IA33="","",'[2]Tasa de Falla'!IA33)</f>
      </c>
      <c r="N34" s="756">
        <f>IF('[2]Tasa de Falla'!IB33="","",'[2]Tasa de Falla'!IB33)</f>
      </c>
      <c r="O34" s="756">
        <f>IF('[2]Tasa de Falla'!IC33="","",'[2]Tasa de Falla'!IC33)</f>
      </c>
      <c r="P34" s="756">
        <f>IF('[2]Tasa de Falla'!ID33="","",'[2]Tasa de Falla'!ID33)</f>
      </c>
      <c r="Q34" s="756">
        <f>IF('[2]Tasa de Falla'!IE33="","",'[2]Tasa de Falla'!IE33)</f>
      </c>
      <c r="R34" s="756">
        <f>IF('[2]Tasa de Falla'!IF33="","",'[2]Tasa de Falla'!IF33)</f>
      </c>
      <c r="S34" s="754"/>
      <c r="T34" s="3"/>
    </row>
    <row r="35" spans="2:20" ht="15" customHeight="1">
      <c r="B35" s="2"/>
      <c r="C35" s="757">
        <f>IF('[2]Tasa de Falla'!C34="","",'[2]Tasa de Falla'!C34)</f>
        <v>18</v>
      </c>
      <c r="D35" s="757" t="str">
        <f>IF('[2]Tasa de Falla'!D34="","",'[2]Tasa de Falla'!D34)</f>
        <v>BARRIO SAN MARTIN - A CONEXION "T"</v>
      </c>
      <c r="E35" s="757">
        <f>IF('[2]Tasa de Falla'!E34="","",'[2]Tasa de Falla'!E34)</f>
        <v>132</v>
      </c>
      <c r="F35" s="757">
        <f>IF('[2]Tasa de Falla'!F34="","",'[2]Tasa de Falla'!F34)</f>
        <v>7.5</v>
      </c>
      <c r="G35" s="758" t="str">
        <f>IF('[2]Tasa de Falla'!HU34="","",'[2]Tasa de Falla'!HU34)</f>
        <v>XXXX</v>
      </c>
      <c r="H35" s="758" t="str">
        <f>IF('[2]Tasa de Falla'!HV34="","",'[2]Tasa de Falla'!HV34)</f>
        <v>XXXX</v>
      </c>
      <c r="I35" s="758" t="str">
        <f>IF('[2]Tasa de Falla'!HW34="","",'[2]Tasa de Falla'!HW34)</f>
        <v>XXXX</v>
      </c>
      <c r="J35" s="758" t="str">
        <f>IF('[2]Tasa de Falla'!HX34="","",'[2]Tasa de Falla'!HX34)</f>
        <v>XXXX</v>
      </c>
      <c r="K35" s="758" t="str">
        <f>IF('[2]Tasa de Falla'!HY34="","",'[2]Tasa de Falla'!HY34)</f>
        <v>XXXX</v>
      </c>
      <c r="L35" s="758" t="str">
        <f>IF('[2]Tasa de Falla'!HZ34="","",'[2]Tasa de Falla'!HZ34)</f>
        <v>XXXX</v>
      </c>
      <c r="M35" s="758" t="str">
        <f>IF('[2]Tasa de Falla'!IA34="","",'[2]Tasa de Falla'!IA34)</f>
        <v>XXXX</v>
      </c>
      <c r="N35" s="758" t="str">
        <f>IF('[2]Tasa de Falla'!IB34="","",'[2]Tasa de Falla'!IB34)</f>
        <v>XXXX</v>
      </c>
      <c r="O35" s="758" t="str">
        <f>IF('[2]Tasa de Falla'!IC34="","",'[2]Tasa de Falla'!IC34)</f>
        <v>XXXX</v>
      </c>
      <c r="P35" s="758" t="str">
        <f>IF('[2]Tasa de Falla'!ID34="","",'[2]Tasa de Falla'!ID34)</f>
        <v>XXXX</v>
      </c>
      <c r="Q35" s="758" t="str">
        <f>IF('[2]Tasa de Falla'!IE34="","",'[2]Tasa de Falla'!IE34)</f>
        <v>XXXX</v>
      </c>
      <c r="R35" s="758" t="str">
        <f>IF('[2]Tasa de Falla'!IF34="","",'[2]Tasa de Falla'!IF34)</f>
        <v>XXXX</v>
      </c>
      <c r="S35" s="754"/>
      <c r="T35" s="3"/>
    </row>
    <row r="36" spans="2:20" ht="18" customHeight="1">
      <c r="B36" s="2"/>
      <c r="C36" s="755">
        <f>IF('[2]Tasa de Falla'!C35="","",'[2]Tasa de Falla'!C35)</f>
        <v>19</v>
      </c>
      <c r="D36" s="755" t="str">
        <f>IF('[2]Tasa de Falla'!D35="","",'[2]Tasa de Falla'!D35)</f>
        <v>PICO TRUNCADO I - LAS HERAS</v>
      </c>
      <c r="E36" s="755">
        <f>IF('[2]Tasa de Falla'!E35="","",'[2]Tasa de Falla'!E35)</f>
        <v>132</v>
      </c>
      <c r="F36" s="755">
        <f>IF('[2]Tasa de Falla'!F35="","",'[2]Tasa de Falla'!F35)</f>
        <v>82.5</v>
      </c>
      <c r="G36" s="756" t="str">
        <f>IF('[2]Tasa de Falla'!HU35="","",'[2]Tasa de Falla'!HU35)</f>
        <v>XXXX</v>
      </c>
      <c r="H36" s="756" t="str">
        <f>IF('[2]Tasa de Falla'!HV35="","",'[2]Tasa de Falla'!HV35)</f>
        <v>XXXX</v>
      </c>
      <c r="I36" s="756" t="str">
        <f>IF('[2]Tasa de Falla'!HW35="","",'[2]Tasa de Falla'!HW35)</f>
        <v>XXXX</v>
      </c>
      <c r="J36" s="756" t="str">
        <f>IF('[2]Tasa de Falla'!HX35="","",'[2]Tasa de Falla'!HX35)</f>
        <v>XXXX</v>
      </c>
      <c r="K36" s="756" t="str">
        <f>IF('[2]Tasa de Falla'!HY35="","",'[2]Tasa de Falla'!HY35)</f>
        <v>XXXX</v>
      </c>
      <c r="L36" s="756" t="str">
        <f>IF('[2]Tasa de Falla'!HZ35="","",'[2]Tasa de Falla'!HZ35)</f>
        <v>XXXX</v>
      </c>
      <c r="M36" s="756" t="str">
        <f>IF('[2]Tasa de Falla'!IA35="","",'[2]Tasa de Falla'!IA35)</f>
        <v>XXXX</v>
      </c>
      <c r="N36" s="756" t="str">
        <f>IF('[2]Tasa de Falla'!IB35="","",'[2]Tasa de Falla'!IB35)</f>
        <v>XXXX</v>
      </c>
      <c r="O36" s="756" t="str">
        <f>IF('[2]Tasa de Falla'!IC35="","",'[2]Tasa de Falla'!IC35)</f>
        <v>XXXX</v>
      </c>
      <c r="P36" s="756" t="str">
        <f>IF('[2]Tasa de Falla'!ID35="","",'[2]Tasa de Falla'!ID35)</f>
        <v>XXXX</v>
      </c>
      <c r="Q36" s="756" t="str">
        <f>IF('[2]Tasa de Falla'!IE35="","",'[2]Tasa de Falla'!IE35)</f>
        <v>XXXX</v>
      </c>
      <c r="R36" s="756" t="str">
        <f>IF('[2]Tasa de Falla'!IF35="","",'[2]Tasa de Falla'!IF35)</f>
        <v>XXXX</v>
      </c>
      <c r="S36" s="754"/>
      <c r="T36" s="3"/>
    </row>
    <row r="37" spans="2:20" ht="15" customHeight="1">
      <c r="B37" s="2"/>
      <c r="C37" s="757">
        <f>IF('[2]Tasa de Falla'!C36="","",'[2]Tasa de Falla'!C36)</f>
        <v>20</v>
      </c>
      <c r="D37" s="757" t="str">
        <f>IF('[2]Tasa de Falla'!D36="","",'[2]Tasa de Falla'!D36)</f>
        <v>LAS HERAS - LOS PERALES</v>
      </c>
      <c r="E37" s="757">
        <f>IF('[2]Tasa de Falla'!E36="","",'[2]Tasa de Falla'!E36)</f>
        <v>132</v>
      </c>
      <c r="F37" s="757">
        <f>IF('[2]Tasa de Falla'!F36="","",'[2]Tasa de Falla'!F36)</f>
        <v>47</v>
      </c>
      <c r="G37" s="758">
        <f>IF('[2]Tasa de Falla'!HU36="","",'[2]Tasa de Falla'!HU36)</f>
      </c>
      <c r="H37" s="758">
        <f>IF('[2]Tasa de Falla'!HV36="","",'[2]Tasa de Falla'!HV36)</f>
      </c>
      <c r="I37" s="758">
        <f>IF('[2]Tasa de Falla'!HW36="","",'[2]Tasa de Falla'!HW36)</f>
      </c>
      <c r="J37" s="758">
        <f>IF('[2]Tasa de Falla'!HX36="","",'[2]Tasa de Falla'!HX36)</f>
      </c>
      <c r="K37" s="758">
        <f>IF('[2]Tasa de Falla'!HY36="","",'[2]Tasa de Falla'!HY36)</f>
      </c>
      <c r="L37" s="758">
        <f>IF('[2]Tasa de Falla'!HZ36="","",'[2]Tasa de Falla'!HZ36)</f>
      </c>
      <c r="M37" s="758">
        <f>IF('[2]Tasa de Falla'!IA36="","",'[2]Tasa de Falla'!IA36)</f>
      </c>
      <c r="N37" s="758">
        <f>IF('[2]Tasa de Falla'!IB36="","",'[2]Tasa de Falla'!IB36)</f>
      </c>
      <c r="O37" s="758">
        <f>IF('[2]Tasa de Falla'!IC36="","",'[2]Tasa de Falla'!IC36)</f>
      </c>
      <c r="P37" s="758">
        <f>IF('[2]Tasa de Falla'!ID36="","",'[2]Tasa de Falla'!ID36)</f>
      </c>
      <c r="Q37" s="758">
        <f>IF('[2]Tasa de Falla'!IE36="","",'[2]Tasa de Falla'!IE36)</f>
      </c>
      <c r="R37" s="758">
        <f>IF('[2]Tasa de Falla'!IF36="","",'[2]Tasa de Falla'!IF36)</f>
      </c>
      <c r="S37" s="754"/>
      <c r="T37" s="3"/>
    </row>
    <row r="38" spans="2:20" ht="18" customHeight="1">
      <c r="B38" s="2"/>
      <c r="C38" s="755">
        <f>IF('[2]Tasa de Falla'!C37="","",'[2]Tasa de Falla'!C37)</f>
        <v>21</v>
      </c>
      <c r="D38" s="755" t="str">
        <f>IF('[2]Tasa de Falla'!D37="","",'[2]Tasa de Falla'!D37)</f>
        <v>N. P. MADRYN - P. MADRYN 330 kV</v>
      </c>
      <c r="E38" s="755">
        <f>IF('[2]Tasa de Falla'!E37="","",'[2]Tasa de Falla'!E37)</f>
        <v>330</v>
      </c>
      <c r="F38" s="755">
        <f>IF('[2]Tasa de Falla'!F37="","",'[2]Tasa de Falla'!F37)</f>
        <v>0.47</v>
      </c>
      <c r="G38" s="756">
        <f>IF('[2]Tasa de Falla'!HU37="","",'[2]Tasa de Falla'!HU37)</f>
      </c>
      <c r="H38" s="756">
        <f>IF('[2]Tasa de Falla'!HV37="","",'[2]Tasa de Falla'!HV37)</f>
      </c>
      <c r="I38" s="756">
        <f>IF('[2]Tasa de Falla'!HW37="","",'[2]Tasa de Falla'!HW37)</f>
      </c>
      <c r="J38" s="756">
        <f>IF('[2]Tasa de Falla'!HX37="","",'[2]Tasa de Falla'!HX37)</f>
      </c>
      <c r="K38" s="756">
        <f>IF('[2]Tasa de Falla'!HY37="","",'[2]Tasa de Falla'!HY37)</f>
      </c>
      <c r="L38" s="756">
        <f>IF('[2]Tasa de Falla'!HZ37="","",'[2]Tasa de Falla'!HZ37)</f>
      </c>
      <c r="M38" s="756">
        <f>IF('[2]Tasa de Falla'!IA37="","",'[2]Tasa de Falla'!IA37)</f>
      </c>
      <c r="N38" s="756">
        <f>IF('[2]Tasa de Falla'!IB37="","",'[2]Tasa de Falla'!IB37)</f>
      </c>
      <c r="O38" s="756">
        <f>IF('[2]Tasa de Falla'!IC37="","",'[2]Tasa de Falla'!IC37)</f>
      </c>
      <c r="P38" s="756">
        <f>IF('[2]Tasa de Falla'!ID37="","",'[2]Tasa de Falla'!ID37)</f>
      </c>
      <c r="Q38" s="756">
        <f>IF('[2]Tasa de Falla'!IE37="","",'[2]Tasa de Falla'!IE37)</f>
      </c>
      <c r="R38" s="756">
        <f>IF('[2]Tasa de Falla'!IF37="","",'[2]Tasa de Falla'!IF37)</f>
      </c>
      <c r="S38" s="754"/>
      <c r="T38" s="3"/>
    </row>
    <row r="39" spans="2:20" ht="15" customHeight="1">
      <c r="B39" s="2"/>
      <c r="C39" s="757">
        <f>IF('[2]Tasa de Falla'!C38="","",'[2]Tasa de Falla'!C38)</f>
        <v>31</v>
      </c>
      <c r="D39" s="757" t="str">
        <f>IF('[2]Tasa de Falla'!D38="","",'[2]Tasa de Falla'!D38)</f>
        <v>LAS HERAS - MINA SAN JOSE</v>
      </c>
      <c r="E39" s="757">
        <f>IF('[2]Tasa de Falla'!E38="","",'[2]Tasa de Falla'!E38)</f>
        <v>132</v>
      </c>
      <c r="F39" s="757">
        <f>IF('[2]Tasa de Falla'!F38="","",'[2]Tasa de Falla'!F38)</f>
        <v>128</v>
      </c>
      <c r="G39" s="758">
        <f>IF('[2]Tasa de Falla'!HU38="","",'[2]Tasa de Falla'!HU38)</f>
      </c>
      <c r="H39" s="758">
        <f>IF('[2]Tasa de Falla'!HV38="","",'[2]Tasa de Falla'!HV38)</f>
      </c>
      <c r="I39" s="758">
        <f>IF('[2]Tasa de Falla'!HW38="","",'[2]Tasa de Falla'!HW38)</f>
      </c>
      <c r="J39" s="758">
        <f>IF('[2]Tasa de Falla'!HX38="","",'[2]Tasa de Falla'!HX38)</f>
      </c>
      <c r="K39" s="758">
        <f>IF('[2]Tasa de Falla'!HY38="","",'[2]Tasa de Falla'!HY38)</f>
      </c>
      <c r="L39" s="758">
        <f>IF('[2]Tasa de Falla'!HZ38="","",'[2]Tasa de Falla'!HZ38)</f>
      </c>
      <c r="M39" s="758">
        <f>IF('[2]Tasa de Falla'!IA38="","",'[2]Tasa de Falla'!IA38)</f>
      </c>
      <c r="N39" s="758">
        <f>IF('[2]Tasa de Falla'!IB38="","",'[2]Tasa de Falla'!IB38)</f>
      </c>
      <c r="O39" s="758">
        <f>IF('[2]Tasa de Falla'!IC38="","",'[2]Tasa de Falla'!IC38)</f>
      </c>
      <c r="P39" s="758">
        <f>IF('[2]Tasa de Falla'!ID38="","",'[2]Tasa de Falla'!ID38)</f>
      </c>
      <c r="Q39" s="758">
        <f>IF('[2]Tasa de Falla'!IE38="","",'[2]Tasa de Falla'!IE38)</f>
      </c>
      <c r="R39" s="758">
        <f>IF('[2]Tasa de Falla'!IF38="","",'[2]Tasa de Falla'!IF38)</f>
      </c>
      <c r="S39" s="754"/>
      <c r="T39" s="3"/>
    </row>
    <row r="40" spans="2:20" ht="18" customHeight="1">
      <c r="B40" s="2"/>
      <c r="C40" s="755">
        <f>IF('[2]Tasa de Falla'!C39="","",'[2]Tasa de Falla'!C39)</f>
        <v>27</v>
      </c>
      <c r="D40" s="755" t="str">
        <f>IF('[2]Tasa de Falla'!D39="","",'[2]Tasa de Falla'!D39)</f>
        <v>PAMPA DEL CASTILLO - EL TORDILLO</v>
      </c>
      <c r="E40" s="755">
        <f>IF('[2]Tasa de Falla'!E39="","",'[2]Tasa de Falla'!E39)</f>
        <v>132</v>
      </c>
      <c r="F40" s="755">
        <f>IF('[2]Tasa de Falla'!F39="","",'[2]Tasa de Falla'!F39)</f>
        <v>8.9</v>
      </c>
      <c r="G40" s="756">
        <f>IF('[2]Tasa de Falla'!HU39="","",'[2]Tasa de Falla'!HU39)</f>
      </c>
      <c r="H40" s="756">
        <f>IF('[2]Tasa de Falla'!HV39="","",'[2]Tasa de Falla'!HV39)</f>
      </c>
      <c r="I40" s="756">
        <f>IF('[2]Tasa de Falla'!HW39="","",'[2]Tasa de Falla'!HW39)</f>
      </c>
      <c r="J40" s="756">
        <f>IF('[2]Tasa de Falla'!HX39="","",'[2]Tasa de Falla'!HX39)</f>
      </c>
      <c r="K40" s="756">
        <f>IF('[2]Tasa de Falla'!HY39="","",'[2]Tasa de Falla'!HY39)</f>
      </c>
      <c r="L40" s="756">
        <f>IF('[2]Tasa de Falla'!HZ39="","",'[2]Tasa de Falla'!HZ39)</f>
      </c>
      <c r="M40" s="756">
        <f>IF('[2]Tasa de Falla'!IA39="","",'[2]Tasa de Falla'!IA39)</f>
      </c>
      <c r="N40" s="756">
        <f>IF('[2]Tasa de Falla'!IB39="","",'[2]Tasa de Falla'!IB39)</f>
      </c>
      <c r="O40" s="756">
        <f>IF('[2]Tasa de Falla'!IC39="","",'[2]Tasa de Falla'!IC39)</f>
      </c>
      <c r="P40" s="756">
        <f>IF('[2]Tasa de Falla'!ID39="","",'[2]Tasa de Falla'!ID39)</f>
      </c>
      <c r="Q40" s="756">
        <f>IF('[2]Tasa de Falla'!IE39="","",'[2]Tasa de Falla'!IE39)</f>
      </c>
      <c r="R40" s="756">
        <f>IF('[2]Tasa de Falla'!IF39="","",'[2]Tasa de Falla'!IF39)</f>
      </c>
      <c r="S40" s="754"/>
      <c r="T40" s="3"/>
    </row>
    <row r="41" spans="2:20" ht="15" customHeight="1">
      <c r="B41" s="2"/>
      <c r="C41" s="757">
        <f>IF('[2]Tasa de Falla'!C40="","",'[2]Tasa de Falla'!C40)</f>
        <v>28</v>
      </c>
      <c r="D41" s="757" t="str">
        <f>IF('[2]Tasa de Falla'!D40="","",'[2]Tasa de Falla'!D40)</f>
        <v>PLANTA ALUMINIO APPA - PUERTO MADRYN 3</v>
      </c>
      <c r="E41" s="757">
        <f>IF('[2]Tasa de Falla'!E40="","",'[2]Tasa de Falla'!E40)</f>
        <v>330</v>
      </c>
      <c r="F41" s="757">
        <f>IF('[2]Tasa de Falla'!F40="","",'[2]Tasa de Falla'!F40)</f>
        <v>4.9</v>
      </c>
      <c r="G41" s="758">
        <f>IF('[2]Tasa de Falla'!HU40="","",'[2]Tasa de Falla'!HU40)</f>
      </c>
      <c r="H41" s="758">
        <f>IF('[2]Tasa de Falla'!HV40="","",'[2]Tasa de Falla'!HV40)</f>
      </c>
      <c r="I41" s="758">
        <f>IF('[2]Tasa de Falla'!HW40="","",'[2]Tasa de Falla'!HW40)</f>
      </c>
      <c r="J41" s="758">
        <f>IF('[2]Tasa de Falla'!HX40="","",'[2]Tasa de Falla'!HX40)</f>
      </c>
      <c r="K41" s="758">
        <f>IF('[2]Tasa de Falla'!HY40="","",'[2]Tasa de Falla'!HY40)</f>
      </c>
      <c r="L41" s="758">
        <f>IF('[2]Tasa de Falla'!HZ40="","",'[2]Tasa de Falla'!HZ40)</f>
      </c>
      <c r="M41" s="758">
        <f>IF('[2]Tasa de Falla'!IA40="","",'[2]Tasa de Falla'!IA40)</f>
      </c>
      <c r="N41" s="758">
        <f>IF('[2]Tasa de Falla'!IB40="","",'[2]Tasa de Falla'!IB40)</f>
      </c>
      <c r="O41" s="758">
        <f>IF('[2]Tasa de Falla'!IC40="","",'[2]Tasa de Falla'!IC40)</f>
      </c>
      <c r="P41" s="758">
        <f>IF('[2]Tasa de Falla'!ID40="","",'[2]Tasa de Falla'!ID40)</f>
      </c>
      <c r="Q41" s="758">
        <f>IF('[2]Tasa de Falla'!IE40="","",'[2]Tasa de Falla'!IE40)</f>
      </c>
      <c r="R41" s="758">
        <f>IF('[2]Tasa de Falla'!IF40="","",'[2]Tasa de Falla'!IF40)</f>
      </c>
      <c r="S41" s="754"/>
      <c r="T41" s="3"/>
    </row>
    <row r="42" spans="2:20" ht="18" customHeight="1">
      <c r="B42" s="2"/>
      <c r="C42" s="755">
        <f>IF('[2]Tasa de Falla'!C41="","",'[2]Tasa de Falla'!C41)</f>
        <v>30</v>
      </c>
      <c r="D42" s="755" t="str">
        <f>IF('[2]Tasa de Falla'!D41="","",'[2]Tasa de Falla'!D41)</f>
        <v>TRELEW - RAWSON</v>
      </c>
      <c r="E42" s="755">
        <f>IF('[2]Tasa de Falla'!E41="","",'[2]Tasa de Falla'!E41)</f>
        <v>132</v>
      </c>
      <c r="F42" s="755">
        <f>IF('[2]Tasa de Falla'!F41="","",'[2]Tasa de Falla'!F41)</f>
        <v>21.8</v>
      </c>
      <c r="G42" s="756">
        <f>IF('[2]Tasa de Falla'!HU41="","",'[2]Tasa de Falla'!HU41)</f>
      </c>
      <c r="H42" s="756">
        <f>IF('[2]Tasa de Falla'!HV41="","",'[2]Tasa de Falla'!HV41)</f>
      </c>
      <c r="I42" s="756">
        <f>IF('[2]Tasa de Falla'!HW41="","",'[2]Tasa de Falla'!HW41)</f>
      </c>
      <c r="J42" s="756">
        <f>IF('[2]Tasa de Falla'!HX41="","",'[2]Tasa de Falla'!HX41)</f>
      </c>
      <c r="K42" s="756">
        <f>IF('[2]Tasa de Falla'!HY41="","",'[2]Tasa de Falla'!HY41)</f>
      </c>
      <c r="L42" s="756">
        <f>IF('[2]Tasa de Falla'!HZ41="","",'[2]Tasa de Falla'!HZ41)</f>
      </c>
      <c r="M42" s="756">
        <f>IF('[2]Tasa de Falla'!IA41="","",'[2]Tasa de Falla'!IA41)</f>
      </c>
      <c r="N42" s="756">
        <f>IF('[2]Tasa de Falla'!IB41="","",'[2]Tasa de Falla'!IB41)</f>
        <v>1</v>
      </c>
      <c r="O42" s="756">
        <f>IF('[2]Tasa de Falla'!IC41="","",'[2]Tasa de Falla'!IC41)</f>
      </c>
      <c r="P42" s="756">
        <f>IF('[2]Tasa de Falla'!ID41="","",'[2]Tasa de Falla'!ID41)</f>
      </c>
      <c r="Q42" s="756">
        <f>IF('[2]Tasa de Falla'!IE41="","",'[2]Tasa de Falla'!IE41)</f>
      </c>
      <c r="R42" s="756">
        <f>IF('[2]Tasa de Falla'!IF41="","",'[2]Tasa de Falla'!IF41)</f>
        <v>2</v>
      </c>
      <c r="S42" s="754"/>
      <c r="T42" s="3"/>
    </row>
    <row r="43" spans="2:20" ht="15" customHeight="1">
      <c r="B43" s="2"/>
      <c r="C43" s="757">
        <f>IF('[2]Tasa de Falla'!C42="","",'[2]Tasa de Falla'!C42)</f>
        <v>37</v>
      </c>
      <c r="D43" s="757" t="str">
        <f>IF('[2]Tasa de Falla'!D42="","",'[2]Tasa de Falla'!D42)</f>
        <v>PICO TRUNCADO 1 - SANTA CRUZ NORTE     1</v>
      </c>
      <c r="E43" s="757">
        <f>IF('[2]Tasa de Falla'!E42="","",'[2]Tasa de Falla'!E42)</f>
        <v>132</v>
      </c>
      <c r="F43" s="757">
        <f>IF('[2]Tasa de Falla'!F42="","",'[2]Tasa de Falla'!F42)</f>
        <v>2.5</v>
      </c>
      <c r="G43" s="758">
        <f>IF('[2]Tasa de Falla'!HU42="","",'[2]Tasa de Falla'!HU42)</f>
      </c>
      <c r="H43" s="758">
        <f>IF('[2]Tasa de Falla'!HV42="","",'[2]Tasa de Falla'!HV42)</f>
      </c>
      <c r="I43" s="758">
        <f>IF('[2]Tasa de Falla'!HW42="","",'[2]Tasa de Falla'!HW42)</f>
      </c>
      <c r="J43" s="758">
        <f>IF('[2]Tasa de Falla'!HX42="","",'[2]Tasa de Falla'!HX42)</f>
      </c>
      <c r="K43" s="758">
        <f>IF('[2]Tasa de Falla'!HY42="","",'[2]Tasa de Falla'!HY42)</f>
      </c>
      <c r="L43" s="758">
        <f>IF('[2]Tasa de Falla'!HZ42="","",'[2]Tasa de Falla'!HZ42)</f>
      </c>
      <c r="M43" s="758">
        <f>IF('[2]Tasa de Falla'!IA42="","",'[2]Tasa de Falla'!IA42)</f>
      </c>
      <c r="N43" s="758">
        <f>IF('[2]Tasa de Falla'!IB42="","",'[2]Tasa de Falla'!IB42)</f>
      </c>
      <c r="O43" s="758">
        <f>IF('[2]Tasa de Falla'!IC42="","",'[2]Tasa de Falla'!IC42)</f>
      </c>
      <c r="P43" s="758">
        <f>IF('[2]Tasa de Falla'!ID42="","",'[2]Tasa de Falla'!ID42)</f>
      </c>
      <c r="Q43" s="758">
        <f>IF('[2]Tasa de Falla'!IE42="","",'[2]Tasa de Falla'!IE42)</f>
      </c>
      <c r="R43" s="758">
        <f>IF('[2]Tasa de Falla'!IF42="","",'[2]Tasa de Falla'!IF42)</f>
      </c>
      <c r="S43" s="754"/>
      <c r="T43" s="3"/>
    </row>
    <row r="44" spans="2:20" ht="18" customHeight="1">
      <c r="B44" s="2"/>
      <c r="C44" s="755">
        <f>IF('[2]Tasa de Falla'!C43="","",'[2]Tasa de Falla'!C43)</f>
        <v>38</v>
      </c>
      <c r="D44" s="755" t="str">
        <f>IF('[2]Tasa de Falla'!D43="","",'[2]Tasa de Falla'!D43)</f>
        <v>PICO TRUNCADO 1 - SANTA CRUZ NORTE     2</v>
      </c>
      <c r="E44" s="755">
        <f>IF('[2]Tasa de Falla'!E43="","",'[2]Tasa de Falla'!E43)</f>
        <v>132</v>
      </c>
      <c r="F44" s="755">
        <f>IF('[2]Tasa de Falla'!F43="","",'[2]Tasa de Falla'!F43)</f>
        <v>2.5</v>
      </c>
      <c r="G44" s="756">
        <f>IF('[2]Tasa de Falla'!HU43="","",'[2]Tasa de Falla'!HU43)</f>
      </c>
      <c r="H44" s="756">
        <f>IF('[2]Tasa de Falla'!HV43="","",'[2]Tasa de Falla'!HV43)</f>
      </c>
      <c r="I44" s="756">
        <f>IF('[2]Tasa de Falla'!HW43="","",'[2]Tasa de Falla'!HW43)</f>
      </c>
      <c r="J44" s="756">
        <f>IF('[2]Tasa de Falla'!HX43="","",'[2]Tasa de Falla'!HX43)</f>
      </c>
      <c r="K44" s="756">
        <f>IF('[2]Tasa de Falla'!HY43="","",'[2]Tasa de Falla'!HY43)</f>
      </c>
      <c r="L44" s="756">
        <f>IF('[2]Tasa de Falla'!HZ43="","",'[2]Tasa de Falla'!HZ43)</f>
      </c>
      <c r="M44" s="756">
        <f>IF('[2]Tasa de Falla'!IA43="","",'[2]Tasa de Falla'!IA43)</f>
      </c>
      <c r="N44" s="756">
        <f>IF('[2]Tasa de Falla'!IB43="","",'[2]Tasa de Falla'!IB43)</f>
      </c>
      <c r="O44" s="756">
        <f>IF('[2]Tasa de Falla'!IC43="","",'[2]Tasa de Falla'!IC43)</f>
      </c>
      <c r="P44" s="756">
        <f>IF('[2]Tasa de Falla'!ID43="","",'[2]Tasa de Falla'!ID43)</f>
      </c>
      <c r="Q44" s="756">
        <f>IF('[2]Tasa de Falla'!IE43="","",'[2]Tasa de Falla'!IE43)</f>
      </c>
      <c r="R44" s="756">
        <f>IF('[2]Tasa de Falla'!IF43="","",'[2]Tasa de Falla'!IF43)</f>
      </c>
      <c r="S44" s="754"/>
      <c r="T44" s="3"/>
    </row>
    <row r="45" spans="2:20" ht="15" customHeight="1">
      <c r="B45" s="2"/>
      <c r="C45" s="757">
        <f>IF('[2]Tasa de Falla'!C44="","",'[2]Tasa de Falla'!C44)</f>
        <v>39</v>
      </c>
      <c r="D45" s="757" t="str">
        <f>IF('[2]Tasa de Falla'!D44="","",'[2]Tasa de Falla'!D44)</f>
        <v>LAS HERAS - SANTA CRUZ NORTE</v>
      </c>
      <c r="E45" s="757">
        <f>IF('[2]Tasa de Falla'!E44="","",'[2]Tasa de Falla'!E44)</f>
        <v>132</v>
      </c>
      <c r="F45" s="757">
        <f>IF('[2]Tasa de Falla'!F44="","",'[2]Tasa de Falla'!F44)</f>
        <v>80</v>
      </c>
      <c r="G45" s="758">
        <f>IF('[2]Tasa de Falla'!HU44="","",'[2]Tasa de Falla'!HU44)</f>
      </c>
      <c r="H45" s="758">
        <f>IF('[2]Tasa de Falla'!HV44="","",'[2]Tasa de Falla'!HV44)</f>
      </c>
      <c r="I45" s="758">
        <f>IF('[2]Tasa de Falla'!HW44="","",'[2]Tasa de Falla'!HW44)</f>
      </c>
      <c r="J45" s="758">
        <f>IF('[2]Tasa de Falla'!HX44="","",'[2]Tasa de Falla'!HX44)</f>
      </c>
      <c r="K45" s="758">
        <f>IF('[2]Tasa de Falla'!HY44="","",'[2]Tasa de Falla'!HY44)</f>
      </c>
      <c r="L45" s="758">
        <f>IF('[2]Tasa de Falla'!HZ44="","",'[2]Tasa de Falla'!HZ44)</f>
      </c>
      <c r="M45" s="758">
        <f>IF('[2]Tasa de Falla'!IA44="","",'[2]Tasa de Falla'!IA44)</f>
      </c>
      <c r="N45" s="758">
        <f>IF('[2]Tasa de Falla'!IB44="","",'[2]Tasa de Falla'!IB44)</f>
      </c>
      <c r="O45" s="758">
        <f>IF('[2]Tasa de Falla'!IC44="","",'[2]Tasa de Falla'!IC44)</f>
      </c>
      <c r="P45" s="758">
        <f>IF('[2]Tasa de Falla'!ID44="","",'[2]Tasa de Falla'!ID44)</f>
      </c>
      <c r="Q45" s="758">
        <f>IF('[2]Tasa de Falla'!IE44="","",'[2]Tasa de Falla'!IE44)</f>
      </c>
      <c r="R45" s="758">
        <f>IF('[2]Tasa de Falla'!IF44="","",'[2]Tasa de Falla'!IF44)</f>
      </c>
      <c r="S45" s="754"/>
      <c r="T45" s="3"/>
    </row>
    <row r="46" spans="2:20" ht="15" customHeight="1">
      <c r="B46" s="2"/>
      <c r="C46" s="755">
        <f>IF('[2]Tasa de Falla'!C45="","",'[2]Tasa de Falla'!C45)</f>
        <v>40</v>
      </c>
      <c r="D46" s="755" t="str">
        <f>IF('[2]Tasa de Falla'!D45="","",'[2]Tasa de Falla'!D45)</f>
        <v>RAWSON-RAWSONG1 </v>
      </c>
      <c r="E46" s="755">
        <f>IF('[2]Tasa de Falla'!E45="","",'[2]Tasa de Falla'!E45)</f>
        <v>132</v>
      </c>
      <c r="F46" s="755">
        <f>IF('[2]Tasa de Falla'!F45="","",'[2]Tasa de Falla'!F45)</f>
        <v>7.2</v>
      </c>
      <c r="G46" s="756">
        <f>IF('[2]Tasa de Falla'!HU45="","",'[2]Tasa de Falla'!HU45)</f>
      </c>
      <c r="H46" s="756">
        <f>IF('[2]Tasa de Falla'!HV45="","",'[2]Tasa de Falla'!HV45)</f>
      </c>
      <c r="I46" s="756">
        <f>IF('[2]Tasa de Falla'!HW45="","",'[2]Tasa de Falla'!HW45)</f>
      </c>
      <c r="J46" s="756">
        <f>IF('[2]Tasa de Falla'!HX45="","",'[2]Tasa de Falla'!HX45)</f>
      </c>
      <c r="K46" s="756">
        <f>IF('[2]Tasa de Falla'!HY45="","",'[2]Tasa de Falla'!HY45)</f>
      </c>
      <c r="L46" s="756">
        <f>IF('[2]Tasa de Falla'!HZ45="","",'[2]Tasa de Falla'!HZ45)</f>
      </c>
      <c r="M46" s="756">
        <f>IF('[2]Tasa de Falla'!IA45="","",'[2]Tasa de Falla'!IA45)</f>
      </c>
      <c r="N46" s="756">
        <f>IF('[2]Tasa de Falla'!IB45="","",'[2]Tasa de Falla'!IB45)</f>
      </c>
      <c r="O46" s="756">
        <f>IF('[2]Tasa de Falla'!IC45="","",'[2]Tasa de Falla'!IC45)</f>
      </c>
      <c r="P46" s="756">
        <f>IF('[2]Tasa de Falla'!ID45="","",'[2]Tasa de Falla'!ID45)</f>
      </c>
      <c r="Q46" s="756">
        <f>IF('[2]Tasa de Falla'!IE45="","",'[2]Tasa de Falla'!IE45)</f>
      </c>
      <c r="R46" s="756">
        <f>IF('[2]Tasa de Falla'!IF45="","",'[2]Tasa de Falla'!IF45)</f>
      </c>
      <c r="S46" s="754"/>
      <c r="T46" s="3"/>
    </row>
    <row r="47" spans="2:20" ht="15" customHeight="1">
      <c r="B47" s="2"/>
      <c r="C47" s="755">
        <f>IF('[2]Tasa de Falla'!C46="","",'[2]Tasa de Falla'!C46)</f>
      </c>
      <c r="D47" s="755">
        <f>IF('[2]Tasa de Falla'!D46="","",'[2]Tasa de Falla'!D46)</f>
      </c>
      <c r="E47" s="755">
        <f>IF('[2]Tasa de Falla'!E46="","",'[2]Tasa de Falla'!E46)</f>
      </c>
      <c r="F47" s="755">
        <f>IF('[2]Tasa de Falla'!F46="","",'[2]Tasa de Falla'!F46)</f>
      </c>
      <c r="G47" s="756">
        <f>IF('[2]Tasa de Falla'!HU46="","",'[2]Tasa de Falla'!HU46)</f>
      </c>
      <c r="H47" s="756">
        <f>IF('[2]Tasa de Falla'!HV46="","",'[2]Tasa de Falla'!HV46)</f>
      </c>
      <c r="I47" s="756">
        <f>IF('[2]Tasa de Falla'!HW46="","",'[2]Tasa de Falla'!HW46)</f>
      </c>
      <c r="J47" s="756">
        <f>IF('[2]Tasa de Falla'!HX46="","",'[2]Tasa de Falla'!HX46)</f>
      </c>
      <c r="K47" s="756">
        <f>IF('[2]Tasa de Falla'!HY46="","",'[2]Tasa de Falla'!HY46)</f>
      </c>
      <c r="L47" s="756">
        <f>IF('[2]Tasa de Falla'!HZ46="","",'[2]Tasa de Falla'!HZ46)</f>
      </c>
      <c r="M47" s="756">
        <f>IF('[2]Tasa de Falla'!IA46="","",'[2]Tasa de Falla'!IA46)</f>
      </c>
      <c r="N47" s="756">
        <f>IF('[2]Tasa de Falla'!IB46="","",'[2]Tasa de Falla'!IB46)</f>
      </c>
      <c r="O47" s="756">
        <f>IF('[2]Tasa de Falla'!IC46="","",'[2]Tasa de Falla'!IC46)</f>
      </c>
      <c r="P47" s="756">
        <f>IF('[2]Tasa de Falla'!ID46="","",'[2]Tasa de Falla'!ID46)</f>
      </c>
      <c r="Q47" s="756">
        <f>IF('[2]Tasa de Falla'!IE46="","",'[2]Tasa de Falla'!IE46)</f>
      </c>
      <c r="R47" s="756">
        <f>IF('[2]Tasa de Falla'!IF46="","",'[2]Tasa de Falla'!IF46)</f>
      </c>
      <c r="S47" s="754"/>
      <c r="T47" s="3"/>
    </row>
    <row r="48" spans="2:20" ht="15" customHeight="1">
      <c r="B48" s="2"/>
      <c r="C48" s="757">
        <f>IF('[2]Tasa de Falla'!C47="","",'[2]Tasa de Falla'!C47)</f>
        <v>19</v>
      </c>
      <c r="D48" s="757" t="str">
        <f>IF('[2]Tasa de Falla'!D47="","",'[2]Tasa de Falla'!D47)</f>
        <v>PUNTA COLORADA - SIERRA GRANDE</v>
      </c>
      <c r="E48" s="757">
        <f>IF('[2]Tasa de Falla'!E47="","",'[2]Tasa de Falla'!E47)</f>
        <v>132</v>
      </c>
      <c r="F48" s="757">
        <f>IF('[2]Tasa de Falla'!F47="","",'[2]Tasa de Falla'!F47)</f>
        <v>31</v>
      </c>
      <c r="G48" s="758">
        <f>IF('[2]Tasa de Falla'!HU47="","",'[2]Tasa de Falla'!HU47)</f>
      </c>
      <c r="H48" s="758">
        <f>IF('[2]Tasa de Falla'!HV47="","",'[2]Tasa de Falla'!HV47)</f>
      </c>
      <c r="I48" s="758">
        <f>IF('[2]Tasa de Falla'!HW47="","",'[2]Tasa de Falla'!HW47)</f>
      </c>
      <c r="J48" s="758">
        <f>IF('[2]Tasa de Falla'!HX47="","",'[2]Tasa de Falla'!HX47)</f>
      </c>
      <c r="K48" s="758">
        <f>IF('[2]Tasa de Falla'!HY47="","",'[2]Tasa de Falla'!HY47)</f>
      </c>
      <c r="L48" s="758">
        <f>IF('[2]Tasa de Falla'!HZ47="","",'[2]Tasa de Falla'!HZ47)</f>
      </c>
      <c r="M48" s="758">
        <f>IF('[2]Tasa de Falla'!IA47="","",'[2]Tasa de Falla'!IA47)</f>
      </c>
      <c r="N48" s="758">
        <f>IF('[2]Tasa de Falla'!IB47="","",'[2]Tasa de Falla'!IB47)</f>
        <v>1</v>
      </c>
      <c r="O48" s="758">
        <f>IF('[2]Tasa de Falla'!IC47="","",'[2]Tasa de Falla'!IC47)</f>
      </c>
      <c r="P48" s="758">
        <f>IF('[2]Tasa de Falla'!ID47="","",'[2]Tasa de Falla'!ID47)</f>
        <v>1</v>
      </c>
      <c r="Q48" s="758">
        <f>IF('[2]Tasa de Falla'!IE47="","",'[2]Tasa de Falla'!IE47)</f>
      </c>
      <c r="R48" s="758">
        <f>IF('[2]Tasa de Falla'!IF47="","",'[2]Tasa de Falla'!IF47)</f>
      </c>
      <c r="S48" s="754"/>
      <c r="T48" s="3"/>
    </row>
    <row r="49" spans="2:20" ht="18" customHeight="1">
      <c r="B49" s="2"/>
      <c r="C49" s="755">
        <f>IF('[2]Tasa de Falla'!C48="","",'[2]Tasa de Falla'!C48)</f>
        <v>20</v>
      </c>
      <c r="D49" s="755" t="str">
        <f>IF('[2]Tasa de Falla'!D48="","",'[2]Tasa de Falla'!D48)</f>
        <v>CARMEN DE PATAGONES - VIEDMA</v>
      </c>
      <c r="E49" s="755">
        <f>IF('[2]Tasa de Falla'!E48="","",'[2]Tasa de Falla'!E48)</f>
        <v>132</v>
      </c>
      <c r="F49" s="755">
        <f>IF('[2]Tasa de Falla'!F48="","",'[2]Tasa de Falla'!F48)</f>
        <v>7</v>
      </c>
      <c r="G49" s="756" t="str">
        <f>IF('[2]Tasa de Falla'!HU48="","",'[2]Tasa de Falla'!HU48)</f>
        <v>XXXX</v>
      </c>
      <c r="H49" s="756" t="str">
        <f>IF('[2]Tasa de Falla'!HV48="","",'[2]Tasa de Falla'!HV48)</f>
        <v>XXXX</v>
      </c>
      <c r="I49" s="756" t="str">
        <f>IF('[2]Tasa de Falla'!HW48="","",'[2]Tasa de Falla'!HW48)</f>
        <v>XXXX</v>
      </c>
      <c r="J49" s="756" t="str">
        <f>IF('[2]Tasa de Falla'!HX48="","",'[2]Tasa de Falla'!HX48)</f>
        <v>XXXX</v>
      </c>
      <c r="K49" s="756" t="str">
        <f>IF('[2]Tasa de Falla'!HY48="","",'[2]Tasa de Falla'!HY48)</f>
        <v>XXXX</v>
      </c>
      <c r="L49" s="756" t="str">
        <f>IF('[2]Tasa de Falla'!HZ48="","",'[2]Tasa de Falla'!HZ48)</f>
        <v>XXXX</v>
      </c>
      <c r="M49" s="756" t="str">
        <f>IF('[2]Tasa de Falla'!IA48="","",'[2]Tasa de Falla'!IA48)</f>
        <v>XXXX</v>
      </c>
      <c r="N49" s="756" t="str">
        <f>IF('[2]Tasa de Falla'!IB48="","",'[2]Tasa de Falla'!IB48)</f>
        <v>XXXX</v>
      </c>
      <c r="O49" s="756" t="str">
        <f>IF('[2]Tasa de Falla'!IC48="","",'[2]Tasa de Falla'!IC48)</f>
        <v>XXXX</v>
      </c>
      <c r="P49" s="756" t="str">
        <f>IF('[2]Tasa de Falla'!ID48="","",'[2]Tasa de Falla'!ID48)</f>
        <v>XXXX</v>
      </c>
      <c r="Q49" s="756" t="str">
        <f>IF('[2]Tasa de Falla'!IE48="","",'[2]Tasa de Falla'!IE48)</f>
        <v>XXXX</v>
      </c>
      <c r="R49" s="756" t="str">
        <f>IF('[2]Tasa de Falla'!IF48="","",'[2]Tasa de Falla'!IF48)</f>
        <v>XXXX</v>
      </c>
      <c r="S49" s="754"/>
      <c r="T49" s="3"/>
    </row>
    <row r="50" spans="2:20" ht="15" customHeight="1">
      <c r="B50" s="2"/>
      <c r="C50" s="757">
        <f>IF('[2]Tasa de Falla'!C49="","",'[2]Tasa de Falla'!C49)</f>
      </c>
      <c r="D50" s="757" t="str">
        <f>IF('[2]Tasa de Falla'!D49="","",'[2]Tasa de Falla'!D49)</f>
        <v>CARMEN DE PATAGONES - VIEDMA</v>
      </c>
      <c r="E50" s="757">
        <f>IF('[2]Tasa de Falla'!E49="","",'[2]Tasa de Falla'!E49)</f>
        <v>132</v>
      </c>
      <c r="F50" s="757">
        <f>IF('[2]Tasa de Falla'!F49="","",'[2]Tasa de Falla'!F49)</f>
        <v>4.4</v>
      </c>
      <c r="G50" s="758">
        <f>IF('[2]Tasa de Falla'!HU49="","",'[2]Tasa de Falla'!HU49)</f>
      </c>
      <c r="H50" s="758">
        <f>IF('[2]Tasa de Falla'!HV49="","",'[2]Tasa de Falla'!HV49)</f>
      </c>
      <c r="I50" s="758">
        <f>IF('[2]Tasa de Falla'!HW49="","",'[2]Tasa de Falla'!HW49)</f>
      </c>
      <c r="J50" s="758">
        <f>IF('[2]Tasa de Falla'!HX49="","",'[2]Tasa de Falla'!HX49)</f>
      </c>
      <c r="K50" s="758">
        <f>IF('[2]Tasa de Falla'!HY49="","",'[2]Tasa de Falla'!HY49)</f>
      </c>
      <c r="L50" s="758">
        <f>IF('[2]Tasa de Falla'!HZ49="","",'[2]Tasa de Falla'!HZ49)</f>
      </c>
      <c r="M50" s="758">
        <f>IF('[2]Tasa de Falla'!IA49="","",'[2]Tasa de Falla'!IA49)</f>
      </c>
      <c r="N50" s="758">
        <f>IF('[2]Tasa de Falla'!IB49="","",'[2]Tasa de Falla'!IB49)</f>
        <v>1</v>
      </c>
      <c r="O50" s="758">
        <f>IF('[2]Tasa de Falla'!IC49="","",'[2]Tasa de Falla'!IC49)</f>
      </c>
      <c r="P50" s="758">
        <f>IF('[2]Tasa de Falla'!ID49="","",'[2]Tasa de Falla'!ID49)</f>
      </c>
      <c r="Q50" s="758">
        <f>IF('[2]Tasa de Falla'!IE49="","",'[2]Tasa de Falla'!IE49)</f>
      </c>
      <c r="R50" s="758">
        <f>IF('[2]Tasa de Falla'!IF49="","",'[2]Tasa de Falla'!IF49)</f>
      </c>
      <c r="S50" s="754"/>
      <c r="T50" s="3"/>
    </row>
    <row r="51" spans="2:20" ht="18" customHeight="1">
      <c r="B51" s="2"/>
      <c r="C51" s="755">
        <f>IF('[2]Tasa de Falla'!C50="","",'[2]Tasa de Falla'!C50)</f>
        <v>21</v>
      </c>
      <c r="D51" s="755" t="str">
        <f>IF('[2]Tasa de Falla'!D50="","",'[2]Tasa de Falla'!D50)</f>
        <v>SAN ANTONIO OESTE - SIERRA GRANDE</v>
      </c>
      <c r="E51" s="755">
        <f>IF('[2]Tasa de Falla'!E50="","",'[2]Tasa de Falla'!E50)</f>
        <v>132</v>
      </c>
      <c r="F51" s="755">
        <f>IF('[2]Tasa de Falla'!F50="","",'[2]Tasa de Falla'!F50)</f>
        <v>110.3</v>
      </c>
      <c r="G51" s="756">
        <f>IF('[2]Tasa de Falla'!HU50="","",'[2]Tasa de Falla'!HU50)</f>
      </c>
      <c r="H51" s="756">
        <f>IF('[2]Tasa de Falla'!HV50="","",'[2]Tasa de Falla'!HV50)</f>
      </c>
      <c r="I51" s="756">
        <f>IF('[2]Tasa de Falla'!HW50="","",'[2]Tasa de Falla'!HW50)</f>
      </c>
      <c r="J51" s="756">
        <f>IF('[2]Tasa de Falla'!HX50="","",'[2]Tasa de Falla'!HX50)</f>
      </c>
      <c r="K51" s="756">
        <f>IF('[2]Tasa de Falla'!HY50="","",'[2]Tasa de Falla'!HY50)</f>
      </c>
      <c r="L51" s="756">
        <f>IF('[2]Tasa de Falla'!HZ50="","",'[2]Tasa de Falla'!HZ50)</f>
      </c>
      <c r="M51" s="756">
        <f>IF('[2]Tasa de Falla'!IA50="","",'[2]Tasa de Falla'!IA50)</f>
        <v>1</v>
      </c>
      <c r="N51" s="756">
        <f>IF('[2]Tasa de Falla'!IB50="","",'[2]Tasa de Falla'!IB50)</f>
      </c>
      <c r="O51" s="756">
        <f>IF('[2]Tasa de Falla'!IC50="","",'[2]Tasa de Falla'!IC50)</f>
      </c>
      <c r="P51" s="756">
        <f>IF('[2]Tasa de Falla'!ID50="","",'[2]Tasa de Falla'!ID50)</f>
      </c>
      <c r="Q51" s="756">
        <f>IF('[2]Tasa de Falla'!IE50="","",'[2]Tasa de Falla'!IE50)</f>
      </c>
      <c r="R51" s="756">
        <f>IF('[2]Tasa de Falla'!IF50="","",'[2]Tasa de Falla'!IF50)</f>
        <v>1</v>
      </c>
      <c r="S51" s="754"/>
      <c r="T51" s="3"/>
    </row>
    <row r="52" spans="2:20" ht="15" customHeight="1">
      <c r="B52" s="2"/>
      <c r="C52" s="757">
        <f>IF('[2]Tasa de Falla'!C51="","",'[2]Tasa de Falla'!C51)</f>
        <v>22</v>
      </c>
      <c r="D52" s="757" t="str">
        <f>IF('[2]Tasa de Falla'!D51="","",'[2]Tasa de Falla'!D51)</f>
        <v>SAN ANTONIO OESTE -VIEDMA-SAN ANTONIO ESTE</v>
      </c>
      <c r="E52" s="757">
        <f>IF('[2]Tasa de Falla'!E51="","",'[2]Tasa de Falla'!E51)</f>
        <v>132</v>
      </c>
      <c r="F52" s="757">
        <f>IF('[2]Tasa de Falla'!F51="","",'[2]Tasa de Falla'!F51)</f>
        <v>185.6</v>
      </c>
      <c r="G52" s="758">
        <f>IF('[2]Tasa de Falla'!HU51="","",'[2]Tasa de Falla'!HU51)</f>
      </c>
      <c r="H52" s="758">
        <f>IF('[2]Tasa de Falla'!HV51="","",'[2]Tasa de Falla'!HV51)</f>
      </c>
      <c r="I52" s="758">
        <f>IF('[2]Tasa de Falla'!HW51="","",'[2]Tasa de Falla'!HW51)</f>
      </c>
      <c r="J52" s="758">
        <f>IF('[2]Tasa de Falla'!HX51="","",'[2]Tasa de Falla'!HX51)</f>
      </c>
      <c r="K52" s="758">
        <f>IF('[2]Tasa de Falla'!HY51="","",'[2]Tasa de Falla'!HY51)</f>
      </c>
      <c r="L52" s="758">
        <f>IF('[2]Tasa de Falla'!HZ51="","",'[2]Tasa de Falla'!HZ51)</f>
      </c>
      <c r="M52" s="758">
        <f>IF('[2]Tasa de Falla'!IA51="","",'[2]Tasa de Falla'!IA51)</f>
      </c>
      <c r="N52" s="758">
        <f>IF('[2]Tasa de Falla'!IB51="","",'[2]Tasa de Falla'!IB51)</f>
        <v>1</v>
      </c>
      <c r="O52" s="758">
        <f>IF('[2]Tasa de Falla'!IC51="","",'[2]Tasa de Falla'!IC51)</f>
      </c>
      <c r="P52" s="758">
        <f>IF('[2]Tasa de Falla'!ID51="","",'[2]Tasa de Falla'!ID51)</f>
        <v>2</v>
      </c>
      <c r="Q52" s="758">
        <f>IF('[2]Tasa de Falla'!IE51="","",'[2]Tasa de Falla'!IE51)</f>
        <v>4</v>
      </c>
      <c r="R52" s="758">
        <f>IF('[2]Tasa de Falla'!IF51="","",'[2]Tasa de Falla'!IF51)</f>
        <v>3</v>
      </c>
      <c r="S52" s="754"/>
      <c r="T52" s="3"/>
    </row>
    <row r="53" spans="2:20" ht="18" customHeight="1">
      <c r="B53" s="2"/>
      <c r="C53" s="755">
        <f>IF('[2]Tasa de Falla'!C52="","",'[2]Tasa de Falla'!C52)</f>
        <v>32</v>
      </c>
      <c r="D53" s="755" t="str">
        <f>IF('[2]Tasa de Falla'!D52="","",'[2]Tasa de Falla'!D52)</f>
        <v>SAN ANTONIO ESTE - VIEDMA</v>
      </c>
      <c r="E53" s="755">
        <f>IF('[2]Tasa de Falla'!E52="","",'[2]Tasa de Falla'!E52)</f>
        <v>132</v>
      </c>
      <c r="F53" s="755">
        <f>IF('[2]Tasa de Falla'!F52="","",'[2]Tasa de Falla'!F52)</f>
        <v>162.6</v>
      </c>
      <c r="G53" s="756" t="str">
        <f>IF('[2]Tasa de Falla'!HU52="","",'[2]Tasa de Falla'!HU52)</f>
        <v>XXXX</v>
      </c>
      <c r="H53" s="756" t="str">
        <f>IF('[2]Tasa de Falla'!HV52="","",'[2]Tasa de Falla'!HV52)</f>
        <v>XXXX</v>
      </c>
      <c r="I53" s="756" t="str">
        <f>IF('[2]Tasa de Falla'!HW52="","",'[2]Tasa de Falla'!HW52)</f>
        <v>XXXX</v>
      </c>
      <c r="J53" s="756" t="str">
        <f>IF('[2]Tasa de Falla'!HX52="","",'[2]Tasa de Falla'!HX52)</f>
        <v>XXXX</v>
      </c>
      <c r="K53" s="756" t="str">
        <f>IF('[2]Tasa de Falla'!HY52="","",'[2]Tasa de Falla'!HY52)</f>
        <v>XXXX</v>
      </c>
      <c r="L53" s="756" t="str">
        <f>IF('[2]Tasa de Falla'!HZ52="","",'[2]Tasa de Falla'!HZ52)</f>
        <v>XXXX</v>
      </c>
      <c r="M53" s="756" t="str">
        <f>IF('[2]Tasa de Falla'!IA52="","",'[2]Tasa de Falla'!IA52)</f>
        <v>XXXX</v>
      </c>
      <c r="N53" s="756" t="str">
        <f>IF('[2]Tasa de Falla'!IB52="","",'[2]Tasa de Falla'!IB52)</f>
        <v>XXXX</v>
      </c>
      <c r="O53" s="756" t="str">
        <f>IF('[2]Tasa de Falla'!IC52="","",'[2]Tasa de Falla'!IC52)</f>
        <v>XXXX</v>
      </c>
      <c r="P53" s="756" t="str">
        <f>IF('[2]Tasa de Falla'!ID52="","",'[2]Tasa de Falla'!ID52)</f>
        <v>XXXX</v>
      </c>
      <c r="Q53" s="756" t="str">
        <f>IF('[2]Tasa de Falla'!IE52="","",'[2]Tasa de Falla'!IE52)</f>
        <v>XXXX</v>
      </c>
      <c r="R53" s="756" t="str">
        <f>IF('[2]Tasa de Falla'!IF52="","",'[2]Tasa de Falla'!IF52)</f>
        <v>XXXX</v>
      </c>
      <c r="S53" s="754"/>
      <c r="T53" s="3"/>
    </row>
    <row r="54" spans="2:20" ht="15" customHeight="1">
      <c r="B54" s="2"/>
      <c r="C54" s="757">
        <f>IF('[2]Tasa de Falla'!C53="","",'[2]Tasa de Falla'!C53)</f>
      </c>
      <c r="D54" s="757">
        <f>IF('[2]Tasa de Falla'!D53="","",'[2]Tasa de Falla'!D53)</f>
      </c>
      <c r="E54" s="757">
        <f>IF('[2]Tasa de Falla'!E53="","",'[2]Tasa de Falla'!E53)</f>
      </c>
      <c r="F54" s="757">
        <f>IF('[2]Tasa de Falla'!F53="","",'[2]Tasa de Falla'!F53)</f>
      </c>
      <c r="G54" s="758">
        <f>IF('[2]Tasa de Falla'!HU53="","",'[2]Tasa de Falla'!HU53)</f>
      </c>
      <c r="H54" s="758">
        <f>IF('[2]Tasa de Falla'!HV53="","",'[2]Tasa de Falla'!HV53)</f>
      </c>
      <c r="I54" s="758">
        <f>IF('[2]Tasa de Falla'!HW53="","",'[2]Tasa de Falla'!HW53)</f>
      </c>
      <c r="J54" s="758">
        <f>IF('[2]Tasa de Falla'!HX53="","",'[2]Tasa de Falla'!HX53)</f>
      </c>
      <c r="K54" s="758">
        <f>IF('[2]Tasa de Falla'!HY53="","",'[2]Tasa de Falla'!HY53)</f>
      </c>
      <c r="L54" s="758">
        <f>IF('[2]Tasa de Falla'!HZ53="","",'[2]Tasa de Falla'!HZ53)</f>
      </c>
      <c r="M54" s="758">
        <f>IF('[2]Tasa de Falla'!IA53="","",'[2]Tasa de Falla'!IA53)</f>
      </c>
      <c r="N54" s="758">
        <f>IF('[2]Tasa de Falla'!IB53="","",'[2]Tasa de Falla'!IB53)</f>
      </c>
      <c r="O54" s="758">
        <f>IF('[2]Tasa de Falla'!IC53="","",'[2]Tasa de Falla'!IC53)</f>
      </c>
      <c r="P54" s="758">
        <f>IF('[2]Tasa de Falla'!ID53="","",'[2]Tasa de Falla'!ID53)</f>
      </c>
      <c r="Q54" s="758">
        <f>IF('[2]Tasa de Falla'!IE53="","",'[2]Tasa de Falla'!IE53)</f>
      </c>
      <c r="R54" s="758">
        <f>IF('[2]Tasa de Falla'!IF53="","",'[2]Tasa de Falla'!IF53)</f>
      </c>
      <c r="S54" s="754"/>
      <c r="T54" s="3"/>
    </row>
    <row r="55" spans="2:20" ht="18" customHeight="1">
      <c r="B55" s="2"/>
      <c r="C55" s="755">
        <f>IF('[2]Tasa de Falla'!C54="","",'[2]Tasa de Falla'!C54)</f>
        <v>23</v>
      </c>
      <c r="D55" s="755" t="str">
        <f>IF('[2]Tasa de Falla'!D54="","",'[2]Tasa de Falla'!D54)</f>
        <v>PICO TRUNCADO I - PUERTO DESEADO</v>
      </c>
      <c r="E55" s="755">
        <f>IF('[2]Tasa de Falla'!E54="","",'[2]Tasa de Falla'!E54)</f>
        <v>132</v>
      </c>
      <c r="F55" s="755">
        <f>IF('[2]Tasa de Falla'!F54="","",'[2]Tasa de Falla'!F54)</f>
        <v>209</v>
      </c>
      <c r="G55" s="756" t="str">
        <f>IF('[2]Tasa de Falla'!HU54="","",'[2]Tasa de Falla'!HU54)</f>
        <v>XXXX</v>
      </c>
      <c r="H55" s="756" t="str">
        <f>IF('[2]Tasa de Falla'!HV54="","",'[2]Tasa de Falla'!HV54)</f>
        <v>XXXX</v>
      </c>
      <c r="I55" s="756" t="str">
        <f>IF('[2]Tasa de Falla'!HW54="","",'[2]Tasa de Falla'!HW54)</f>
        <v>XXXX</v>
      </c>
      <c r="J55" s="756" t="str">
        <f>IF('[2]Tasa de Falla'!HX54="","",'[2]Tasa de Falla'!HX54)</f>
        <v>XXXX</v>
      </c>
      <c r="K55" s="756" t="str">
        <f>IF('[2]Tasa de Falla'!HY54="","",'[2]Tasa de Falla'!HY54)</f>
        <v>XXXX</v>
      </c>
      <c r="L55" s="756" t="str">
        <f>IF('[2]Tasa de Falla'!HZ54="","",'[2]Tasa de Falla'!HZ54)</f>
        <v>XXXX</v>
      </c>
      <c r="M55" s="756" t="str">
        <f>IF('[2]Tasa de Falla'!IA54="","",'[2]Tasa de Falla'!IA54)</f>
        <v>XXXX</v>
      </c>
      <c r="N55" s="756" t="str">
        <f>IF('[2]Tasa de Falla'!IB54="","",'[2]Tasa de Falla'!IB54)</f>
        <v>XXXX</v>
      </c>
      <c r="O55" s="756" t="str">
        <f>IF('[2]Tasa de Falla'!IC54="","",'[2]Tasa de Falla'!IC54)</f>
        <v>XXXX</v>
      </c>
      <c r="P55" s="756" t="str">
        <f>IF('[2]Tasa de Falla'!ID54="","",'[2]Tasa de Falla'!ID54)</f>
        <v>XXXX</v>
      </c>
      <c r="Q55" s="756" t="str">
        <f>IF('[2]Tasa de Falla'!IE54="","",'[2]Tasa de Falla'!IE54)</f>
        <v>XXXX</v>
      </c>
      <c r="R55" s="756" t="str">
        <f>IF('[2]Tasa de Falla'!IF54="","",'[2]Tasa de Falla'!IF54)</f>
        <v>XXXX</v>
      </c>
      <c r="S55" s="754"/>
      <c r="T55" s="3"/>
    </row>
    <row r="56" spans="2:20" ht="15" customHeight="1">
      <c r="B56" s="2"/>
      <c r="C56" s="757">
        <f>IF('[2]Tasa de Falla'!C55="","",'[2]Tasa de Falla'!C55)</f>
        <v>35</v>
      </c>
      <c r="D56" s="757" t="str">
        <f>IF('[2]Tasa de Falla'!D55="","",'[2]Tasa de Falla'!D55)</f>
        <v>PICO TRUNCADO I - PTQ C.RIVADAVIA</v>
      </c>
      <c r="E56" s="757">
        <f>IF('[2]Tasa de Falla'!E55="","",'[2]Tasa de Falla'!E55)</f>
        <v>132</v>
      </c>
      <c r="F56" s="757">
        <f>IF('[2]Tasa de Falla'!F55="","",'[2]Tasa de Falla'!F55)</f>
        <v>1.5</v>
      </c>
      <c r="G56" s="758">
        <f>IF('[2]Tasa de Falla'!HU55="","",'[2]Tasa de Falla'!HU55)</f>
      </c>
      <c r="H56" s="758">
        <f>IF('[2]Tasa de Falla'!HV55="","",'[2]Tasa de Falla'!HV55)</f>
      </c>
      <c r="I56" s="758">
        <f>IF('[2]Tasa de Falla'!HW55="","",'[2]Tasa de Falla'!HW55)</f>
      </c>
      <c r="J56" s="758">
        <f>IF('[2]Tasa de Falla'!HX55="","",'[2]Tasa de Falla'!HX55)</f>
      </c>
      <c r="K56" s="758">
        <f>IF('[2]Tasa de Falla'!HY55="","",'[2]Tasa de Falla'!HY55)</f>
      </c>
      <c r="L56" s="758">
        <f>IF('[2]Tasa de Falla'!HZ55="","",'[2]Tasa de Falla'!HZ55)</f>
      </c>
      <c r="M56" s="758">
        <f>IF('[2]Tasa de Falla'!IA55="","",'[2]Tasa de Falla'!IA55)</f>
      </c>
      <c r="N56" s="758">
        <f>IF('[2]Tasa de Falla'!IB55="","",'[2]Tasa de Falla'!IB55)</f>
      </c>
      <c r="O56" s="758">
        <f>IF('[2]Tasa de Falla'!IC55="","",'[2]Tasa de Falla'!IC55)</f>
      </c>
      <c r="P56" s="758">
        <f>IF('[2]Tasa de Falla'!ID55="","",'[2]Tasa de Falla'!ID55)</f>
      </c>
      <c r="Q56" s="758">
        <f>IF('[2]Tasa de Falla'!IE55="","",'[2]Tasa de Falla'!IE55)</f>
      </c>
      <c r="R56" s="758">
        <f>IF('[2]Tasa de Falla'!IF55="","",'[2]Tasa de Falla'!IF55)</f>
      </c>
      <c r="S56" s="754"/>
      <c r="T56" s="3"/>
    </row>
    <row r="57" spans="2:20" ht="18" customHeight="1">
      <c r="B57" s="2"/>
      <c r="C57" s="755">
        <f>IF('[2]Tasa de Falla'!C56="","",'[2]Tasa de Falla'!C56)</f>
        <v>36</v>
      </c>
      <c r="D57" s="755" t="str">
        <f>IF('[2]Tasa de Falla'!D56="","",'[2]Tasa de Falla'!D56)</f>
        <v>PTQ C.RIVADAVIA - P.DESEADO</v>
      </c>
      <c r="E57" s="755">
        <f>IF('[2]Tasa de Falla'!E56="","",'[2]Tasa de Falla'!E56)</f>
        <v>132</v>
      </c>
      <c r="F57" s="755">
        <f>IF('[2]Tasa de Falla'!F56="","",'[2]Tasa de Falla'!F56)</f>
        <v>207.5</v>
      </c>
      <c r="G57" s="756">
        <f>IF('[2]Tasa de Falla'!HU56="","",'[2]Tasa de Falla'!HU56)</f>
      </c>
      <c r="H57" s="756">
        <f>IF('[2]Tasa de Falla'!HV56="","",'[2]Tasa de Falla'!HV56)</f>
      </c>
      <c r="I57" s="756">
        <f>IF('[2]Tasa de Falla'!HW56="","",'[2]Tasa de Falla'!HW56)</f>
      </c>
      <c r="J57" s="756">
        <f>IF('[2]Tasa de Falla'!HX56="","",'[2]Tasa de Falla'!HX56)</f>
      </c>
      <c r="K57" s="756">
        <f>IF('[2]Tasa de Falla'!HY56="","",'[2]Tasa de Falla'!HY56)</f>
      </c>
      <c r="L57" s="756">
        <f>IF('[2]Tasa de Falla'!HZ56="","",'[2]Tasa de Falla'!HZ56)</f>
      </c>
      <c r="M57" s="756">
        <f>IF('[2]Tasa de Falla'!IA56="","",'[2]Tasa de Falla'!IA56)</f>
      </c>
      <c r="N57" s="756">
        <f>IF('[2]Tasa de Falla'!IB56="","",'[2]Tasa de Falla'!IB56)</f>
      </c>
      <c r="O57" s="756">
        <f>IF('[2]Tasa de Falla'!IC56="","",'[2]Tasa de Falla'!IC56)</f>
      </c>
      <c r="P57" s="756">
        <f>IF('[2]Tasa de Falla'!ID56="","",'[2]Tasa de Falla'!ID56)</f>
      </c>
      <c r="Q57" s="756">
        <f>IF('[2]Tasa de Falla'!IE56="","",'[2]Tasa de Falla'!IE56)</f>
      </c>
      <c r="R57" s="756">
        <f>IF('[2]Tasa de Falla'!IF56="","",'[2]Tasa de Falla'!IF56)</f>
      </c>
      <c r="S57" s="754"/>
      <c r="T57" s="3"/>
    </row>
    <row r="58" spans="2:20" ht="15" customHeight="1">
      <c r="B58" s="2"/>
      <c r="C58" s="757">
        <f>IF('[2]Tasa de Falla'!C57="","",'[2]Tasa de Falla'!C57)</f>
      </c>
      <c r="D58" s="757">
        <f>IF('[2]Tasa de Falla'!D57="","",'[2]Tasa de Falla'!D57)</f>
      </c>
      <c r="E58" s="757">
        <f>IF('[2]Tasa de Falla'!E57="","",'[2]Tasa de Falla'!E57)</f>
      </c>
      <c r="F58" s="757">
        <f>IF('[2]Tasa de Falla'!F57="","",'[2]Tasa de Falla'!F57)</f>
      </c>
      <c r="G58" s="758">
        <f>IF('[2]Tasa de Falla'!HU57="","",'[2]Tasa de Falla'!HU57)</f>
      </c>
      <c r="H58" s="758">
        <f>IF('[2]Tasa de Falla'!HV57="","",'[2]Tasa de Falla'!HV57)</f>
      </c>
      <c r="I58" s="758">
        <f>IF('[2]Tasa de Falla'!HW57="","",'[2]Tasa de Falla'!HW57)</f>
      </c>
      <c r="J58" s="758">
        <f>IF('[2]Tasa de Falla'!HX57="","",'[2]Tasa de Falla'!HX57)</f>
      </c>
      <c r="K58" s="758">
        <f>IF('[2]Tasa de Falla'!HY57="","",'[2]Tasa de Falla'!HY57)</f>
      </c>
      <c r="L58" s="758">
        <f>IF('[2]Tasa de Falla'!HZ57="","",'[2]Tasa de Falla'!HZ57)</f>
      </c>
      <c r="M58" s="758">
        <f>IF('[2]Tasa de Falla'!IA57="","",'[2]Tasa de Falla'!IA57)</f>
      </c>
      <c r="N58" s="758">
        <f>IF('[2]Tasa de Falla'!IB57="","",'[2]Tasa de Falla'!IB57)</f>
      </c>
      <c r="O58" s="758">
        <f>IF('[2]Tasa de Falla'!IC57="","",'[2]Tasa de Falla'!IC57)</f>
      </c>
      <c r="P58" s="758">
        <f>IF('[2]Tasa de Falla'!ID57="","",'[2]Tasa de Falla'!ID57)</f>
      </c>
      <c r="Q58" s="758">
        <f>IF('[2]Tasa de Falla'!IE57="","",'[2]Tasa de Falla'!IE57)</f>
      </c>
      <c r="R58" s="758">
        <f>IF('[2]Tasa de Falla'!IF57="","",'[2]Tasa de Falla'!IF57)</f>
      </c>
      <c r="S58" s="754"/>
      <c r="T58" s="3"/>
    </row>
    <row r="59" spans="2:20" ht="18" customHeight="1">
      <c r="B59" s="2"/>
      <c r="C59" s="755">
        <f>IF('[2]Tasa de Falla'!C58="","",'[2]Tasa de Falla'!C58)</f>
        <v>24</v>
      </c>
      <c r="D59" s="755" t="str">
        <f>IF('[2]Tasa de Falla'!D58="","",'[2]Tasa de Falla'!D58)</f>
        <v>E.T. PATAGONIA - PAMPA DEL CASTILLO</v>
      </c>
      <c r="E59" s="755">
        <f>IF('[2]Tasa de Falla'!E58="","",'[2]Tasa de Falla'!E58)</f>
        <v>132</v>
      </c>
      <c r="F59" s="755">
        <f>IF('[2]Tasa de Falla'!F58="","",'[2]Tasa de Falla'!F58)</f>
        <v>42.6</v>
      </c>
      <c r="G59" s="756" t="str">
        <f>IF('[2]Tasa de Falla'!HU58="","",'[2]Tasa de Falla'!HU58)</f>
        <v>XXXX</v>
      </c>
      <c r="H59" s="756" t="str">
        <f>IF('[2]Tasa de Falla'!HV58="","",'[2]Tasa de Falla'!HV58)</f>
        <v>XXXX</v>
      </c>
      <c r="I59" s="756" t="str">
        <f>IF('[2]Tasa de Falla'!HW58="","",'[2]Tasa de Falla'!HW58)</f>
        <v>XXXX</v>
      </c>
      <c r="J59" s="756" t="str">
        <f>IF('[2]Tasa de Falla'!HX58="","",'[2]Tasa de Falla'!HX58)</f>
        <v>XXXX</v>
      </c>
      <c r="K59" s="756" t="str">
        <f>IF('[2]Tasa de Falla'!HY58="","",'[2]Tasa de Falla'!HY58)</f>
        <v>XXXX</v>
      </c>
      <c r="L59" s="756" t="str">
        <f>IF('[2]Tasa de Falla'!HZ58="","",'[2]Tasa de Falla'!HZ58)</f>
        <v>XXXX</v>
      </c>
      <c r="M59" s="756" t="str">
        <f>IF('[2]Tasa de Falla'!IA58="","",'[2]Tasa de Falla'!IA58)</f>
        <v>XXXX</v>
      </c>
      <c r="N59" s="756" t="str">
        <f>IF('[2]Tasa de Falla'!IB58="","",'[2]Tasa de Falla'!IB58)</f>
        <v>XXXX</v>
      </c>
      <c r="O59" s="756" t="str">
        <f>IF('[2]Tasa de Falla'!IC58="","",'[2]Tasa de Falla'!IC58)</f>
        <v>XXXX</v>
      </c>
      <c r="P59" s="756" t="str">
        <f>IF('[2]Tasa de Falla'!ID58="","",'[2]Tasa de Falla'!ID58)</f>
        <v>XXXX</v>
      </c>
      <c r="Q59" s="756" t="str">
        <f>IF('[2]Tasa de Falla'!IE58="","",'[2]Tasa de Falla'!IE58)</f>
        <v>XXXX</v>
      </c>
      <c r="R59" s="756" t="str">
        <f>IF('[2]Tasa de Falla'!IF58="","",'[2]Tasa de Falla'!IF58)</f>
        <v>XXXX</v>
      </c>
      <c r="S59" s="754"/>
      <c r="T59" s="3"/>
    </row>
    <row r="60" spans="2:20" ht="15" customHeight="1">
      <c r="B60" s="2"/>
      <c r="C60" s="757">
        <f>IF('[2]Tasa de Falla'!C59="","",'[2]Tasa de Falla'!C59)</f>
        <v>25</v>
      </c>
      <c r="D60" s="757" t="str">
        <f>IF('[2]Tasa de Falla'!D59="","",'[2]Tasa de Falla'!D59)</f>
        <v>PAMPA DEL CASTILLO - VALLE HERMOSO</v>
      </c>
      <c r="E60" s="757">
        <f>IF('[2]Tasa de Falla'!E59="","",'[2]Tasa de Falla'!E59)</f>
        <v>132</v>
      </c>
      <c r="F60" s="757">
        <f>IF('[2]Tasa de Falla'!F59="","",'[2]Tasa de Falla'!F59)</f>
        <v>33.6</v>
      </c>
      <c r="G60" s="758">
        <f>IF('[2]Tasa de Falla'!HU59="","",'[2]Tasa de Falla'!HU59)</f>
      </c>
      <c r="H60" s="758">
        <f>IF('[2]Tasa de Falla'!HV59="","",'[2]Tasa de Falla'!HV59)</f>
      </c>
      <c r="I60" s="758">
        <f>IF('[2]Tasa de Falla'!HW59="","",'[2]Tasa de Falla'!HW59)</f>
        <v>1</v>
      </c>
      <c r="J60" s="758">
        <f>IF('[2]Tasa de Falla'!HX59="","",'[2]Tasa de Falla'!HX59)</f>
      </c>
      <c r="K60" s="758">
        <f>IF('[2]Tasa de Falla'!HY59="","",'[2]Tasa de Falla'!HY59)</f>
      </c>
      <c r="L60" s="758">
        <f>IF('[2]Tasa de Falla'!HZ59="","",'[2]Tasa de Falla'!HZ59)</f>
      </c>
      <c r="M60" s="758">
        <f>IF('[2]Tasa de Falla'!IA59="","",'[2]Tasa de Falla'!IA59)</f>
      </c>
      <c r="N60" s="758">
        <f>IF('[2]Tasa de Falla'!IB59="","",'[2]Tasa de Falla'!IB59)</f>
      </c>
      <c r="O60" s="758">
        <f>IF('[2]Tasa de Falla'!IC59="","",'[2]Tasa de Falla'!IC59)</f>
      </c>
      <c r="P60" s="758">
        <f>IF('[2]Tasa de Falla'!ID59="","",'[2]Tasa de Falla'!ID59)</f>
      </c>
      <c r="Q60" s="758">
        <f>IF('[2]Tasa de Falla'!IE59="","",'[2]Tasa de Falla'!IE59)</f>
      </c>
      <c r="R60" s="758">
        <f>IF('[2]Tasa de Falla'!IF59="","",'[2]Tasa de Falla'!IF59)</f>
      </c>
      <c r="S60" s="754"/>
      <c r="T60" s="3"/>
    </row>
    <row r="61" spans="2:20" ht="18" customHeight="1">
      <c r="B61" s="2"/>
      <c r="C61" s="755">
        <f>IF('[2]Tasa de Falla'!C60="","",'[2]Tasa de Falla'!C60)</f>
        <v>26</v>
      </c>
      <c r="D61" s="755" t="str">
        <f>IF('[2]Tasa de Falla'!D60="","",'[2]Tasa de Falla'!D60)</f>
        <v>VALLE HERMOSO - CERRO NEGRO</v>
      </c>
      <c r="E61" s="755">
        <f>IF('[2]Tasa de Falla'!E60="","",'[2]Tasa de Falla'!E60)</f>
        <v>132</v>
      </c>
      <c r="F61" s="755">
        <f>IF('[2]Tasa de Falla'!F60="","",'[2]Tasa de Falla'!F60)</f>
        <v>41</v>
      </c>
      <c r="G61" s="756">
        <f>IF('[2]Tasa de Falla'!HU60="","",'[2]Tasa de Falla'!HU60)</f>
      </c>
      <c r="H61" s="756">
        <f>IF('[2]Tasa de Falla'!HV60="","",'[2]Tasa de Falla'!HV60)</f>
      </c>
      <c r="I61" s="756">
        <f>IF('[2]Tasa de Falla'!HW60="","",'[2]Tasa de Falla'!HW60)</f>
      </c>
      <c r="J61" s="756">
        <f>IF('[2]Tasa de Falla'!HX60="","",'[2]Tasa de Falla'!HX60)</f>
      </c>
      <c r="K61" s="756">
        <f>IF('[2]Tasa de Falla'!HY60="","",'[2]Tasa de Falla'!HY60)</f>
      </c>
      <c r="L61" s="756">
        <f>IF('[2]Tasa de Falla'!HZ60="","",'[2]Tasa de Falla'!HZ60)</f>
      </c>
      <c r="M61" s="756">
        <f>IF('[2]Tasa de Falla'!IA60="","",'[2]Tasa de Falla'!IA60)</f>
      </c>
      <c r="N61" s="756">
        <f>IF('[2]Tasa de Falla'!IB60="","",'[2]Tasa de Falla'!IB60)</f>
      </c>
      <c r="O61" s="756">
        <f>IF('[2]Tasa de Falla'!IC60="","",'[2]Tasa de Falla'!IC60)</f>
      </c>
      <c r="P61" s="756">
        <f>IF('[2]Tasa de Falla'!ID60="","",'[2]Tasa de Falla'!ID60)</f>
      </c>
      <c r="Q61" s="756">
        <f>IF('[2]Tasa de Falla'!IE60="","",'[2]Tasa de Falla'!IE60)</f>
      </c>
      <c r="R61" s="756">
        <f>IF('[2]Tasa de Falla'!IF60="","",'[2]Tasa de Falla'!IF60)</f>
      </c>
      <c r="S61" s="754"/>
      <c r="T61" s="3"/>
    </row>
    <row r="62" spans="2:20" ht="15" customHeight="1">
      <c r="B62" s="2"/>
      <c r="C62" s="757">
        <f>IF('[2]Tasa de Falla'!C61="","",'[2]Tasa de Falla'!C61)</f>
        <v>33</v>
      </c>
      <c r="D62" s="757" t="str">
        <f>IF('[2]Tasa de Falla'!D61="","",'[2]Tasa de Falla'!D61)</f>
        <v>E.T. PATAGONIA - DIADEMA</v>
      </c>
      <c r="E62" s="757">
        <f>IF('[2]Tasa de Falla'!E61="","",'[2]Tasa de Falla'!E61)</f>
        <v>132</v>
      </c>
      <c r="F62" s="757">
        <f>IF('[2]Tasa de Falla'!F61="","",'[2]Tasa de Falla'!F61)</f>
        <v>15</v>
      </c>
      <c r="G62" s="758">
        <f>IF('[2]Tasa de Falla'!HU61="","",'[2]Tasa de Falla'!HU61)</f>
      </c>
      <c r="H62" s="758">
        <f>IF('[2]Tasa de Falla'!HV61="","",'[2]Tasa de Falla'!HV61)</f>
      </c>
      <c r="I62" s="758">
        <f>IF('[2]Tasa de Falla'!HW61="","",'[2]Tasa de Falla'!HW61)</f>
      </c>
      <c r="J62" s="758">
        <f>IF('[2]Tasa de Falla'!HX61="","",'[2]Tasa de Falla'!HX61)</f>
      </c>
      <c r="K62" s="758">
        <f>IF('[2]Tasa de Falla'!HY61="","",'[2]Tasa de Falla'!HY61)</f>
      </c>
      <c r="L62" s="758">
        <f>IF('[2]Tasa de Falla'!HZ61="","",'[2]Tasa de Falla'!HZ61)</f>
      </c>
      <c r="M62" s="758">
        <f>IF('[2]Tasa de Falla'!IA61="","",'[2]Tasa de Falla'!IA61)</f>
      </c>
      <c r="N62" s="758">
        <f>IF('[2]Tasa de Falla'!IB61="","",'[2]Tasa de Falla'!IB61)</f>
      </c>
      <c r="O62" s="758">
        <f>IF('[2]Tasa de Falla'!IC61="","",'[2]Tasa de Falla'!IC61)</f>
      </c>
      <c r="P62" s="758">
        <f>IF('[2]Tasa de Falla'!ID61="","",'[2]Tasa de Falla'!ID61)</f>
      </c>
      <c r="Q62" s="758">
        <f>IF('[2]Tasa de Falla'!IE61="","",'[2]Tasa de Falla'!IE61)</f>
      </c>
      <c r="R62" s="758">
        <f>IF('[2]Tasa de Falla'!IF61="","",'[2]Tasa de Falla'!IF61)</f>
      </c>
      <c r="S62" s="754"/>
      <c r="T62" s="3"/>
    </row>
    <row r="63" spans="2:20" ht="18" customHeight="1">
      <c r="B63" s="2"/>
      <c r="C63" s="755">
        <f>IF('[2]Tasa de Falla'!C62="","",'[2]Tasa de Falla'!C62)</f>
        <v>34</v>
      </c>
      <c r="D63" s="755" t="str">
        <f>IF('[2]Tasa de Falla'!D62="","",'[2]Tasa de Falla'!D62)</f>
        <v>DIADEMA - PAMAPA DEL CASTILLO</v>
      </c>
      <c r="E63" s="755">
        <f>IF('[2]Tasa de Falla'!E62="","",'[2]Tasa de Falla'!E62)</f>
        <v>132</v>
      </c>
      <c r="F63" s="755">
        <f>IF('[2]Tasa de Falla'!F62="","",'[2]Tasa de Falla'!F62)</f>
        <v>27.6</v>
      </c>
      <c r="G63" s="756">
        <f>IF('[2]Tasa de Falla'!HU62="","",'[2]Tasa de Falla'!HU62)</f>
      </c>
      <c r="H63" s="756">
        <f>IF('[2]Tasa de Falla'!HV62="","",'[2]Tasa de Falla'!HV62)</f>
      </c>
      <c r="I63" s="756">
        <f>IF('[2]Tasa de Falla'!HW62="","",'[2]Tasa de Falla'!HW62)</f>
        <v>1</v>
      </c>
      <c r="J63" s="756">
        <f>IF('[2]Tasa de Falla'!HX62="","",'[2]Tasa de Falla'!HX62)</f>
      </c>
      <c r="K63" s="756">
        <f>IF('[2]Tasa de Falla'!HY62="","",'[2]Tasa de Falla'!HY62)</f>
      </c>
      <c r="L63" s="756">
        <f>IF('[2]Tasa de Falla'!HZ62="","",'[2]Tasa de Falla'!HZ62)</f>
      </c>
      <c r="M63" s="756">
        <f>IF('[2]Tasa de Falla'!IA62="","",'[2]Tasa de Falla'!IA62)</f>
      </c>
      <c r="N63" s="756">
        <f>IF('[2]Tasa de Falla'!IB62="","",'[2]Tasa de Falla'!IB62)</f>
      </c>
      <c r="O63" s="756">
        <f>IF('[2]Tasa de Falla'!IC62="","",'[2]Tasa de Falla'!IC62)</f>
      </c>
      <c r="P63" s="756">
        <f>IF('[2]Tasa de Falla'!ID62="","",'[2]Tasa de Falla'!ID62)</f>
      </c>
      <c r="Q63" s="756">
        <f>IF('[2]Tasa de Falla'!IE62="","",'[2]Tasa de Falla'!IE62)</f>
      </c>
      <c r="R63" s="756">
        <f>IF('[2]Tasa de Falla'!IF62="","",'[2]Tasa de Falla'!IF62)</f>
      </c>
      <c r="S63" s="754"/>
      <c r="T63" s="3"/>
    </row>
    <row r="64" spans="2:20" ht="15" customHeight="1">
      <c r="B64" s="2"/>
      <c r="C64" s="757">
        <f>IF('[2]Tasa de Falla'!C63="","",'[2]Tasa de Falla'!C63)</f>
        <v>29</v>
      </c>
      <c r="D64" s="757" t="str">
        <f>IF('[2]Tasa de Falla'!D63="","",'[2]Tasa de Falla'!D63)</f>
        <v>ESQUEL-EL COHIUE</v>
      </c>
      <c r="E64" s="757">
        <f>IF('[2]Tasa de Falla'!E63="","",'[2]Tasa de Falla'!E63)</f>
        <v>132</v>
      </c>
      <c r="F64" s="757">
        <f>IF('[2]Tasa de Falla'!F63="","",'[2]Tasa de Falla'!F63)</f>
        <v>127.98</v>
      </c>
      <c r="G64" s="758">
        <f>IF('[2]Tasa de Falla'!HU63="","",'[2]Tasa de Falla'!HU63)</f>
      </c>
      <c r="H64" s="758">
        <f>IF('[2]Tasa de Falla'!HV63="","",'[2]Tasa de Falla'!HV63)</f>
        <v>1</v>
      </c>
      <c r="I64" s="758">
        <f>IF('[2]Tasa de Falla'!HW63="","",'[2]Tasa de Falla'!HW63)</f>
      </c>
      <c r="J64" s="758">
        <f>IF('[2]Tasa de Falla'!HX63="","",'[2]Tasa de Falla'!HX63)</f>
        <v>1</v>
      </c>
      <c r="K64" s="758">
        <f>IF('[2]Tasa de Falla'!HY63="","",'[2]Tasa de Falla'!HY63)</f>
      </c>
      <c r="L64" s="758">
        <f>IF('[2]Tasa de Falla'!HZ63="","",'[2]Tasa de Falla'!HZ63)</f>
      </c>
      <c r="M64" s="758">
        <f>IF('[2]Tasa de Falla'!IA63="","",'[2]Tasa de Falla'!IA63)</f>
      </c>
      <c r="N64" s="758">
        <f>IF('[2]Tasa de Falla'!IB63="","",'[2]Tasa de Falla'!IB63)</f>
      </c>
      <c r="O64" s="758">
        <f>IF('[2]Tasa de Falla'!IC63="","",'[2]Tasa de Falla'!IC63)</f>
      </c>
      <c r="P64" s="758">
        <f>IF('[2]Tasa de Falla'!ID63="","",'[2]Tasa de Falla'!ID63)</f>
      </c>
      <c r="Q64" s="758">
        <f>IF('[2]Tasa de Falla'!IE63="","",'[2]Tasa de Falla'!IE63)</f>
      </c>
      <c r="R64" s="758">
        <f>IF('[2]Tasa de Falla'!IF63="","",'[2]Tasa de Falla'!IF63)</f>
        <v>1</v>
      </c>
      <c r="S64" s="754"/>
      <c r="T64" s="3"/>
    </row>
    <row r="65" spans="2:20" ht="18" customHeight="1">
      <c r="B65" s="2"/>
      <c r="C65" s="755">
        <f>IF('[2]Tasa de Falla'!C64="","",'[2]Tasa de Falla'!C64)</f>
      </c>
      <c r="D65" s="755">
        <f>IF('[2]Tasa de Falla'!D64="","",'[2]Tasa de Falla'!D64)</f>
      </c>
      <c r="E65" s="755">
        <f>IF('[2]Tasa de Falla'!E64="","",'[2]Tasa de Falla'!E64)</f>
      </c>
      <c r="F65" s="755">
        <f>IF('[2]Tasa de Falla'!F64="","",'[2]Tasa de Falla'!F64)</f>
      </c>
      <c r="G65" s="756">
        <f>IF('[2]Tasa de Falla'!HU64="","",'[2]Tasa de Falla'!HU64)</f>
      </c>
      <c r="H65" s="756">
        <f>IF('[2]Tasa de Falla'!HV64="","",'[2]Tasa de Falla'!HV64)</f>
      </c>
      <c r="I65" s="756">
        <f>IF('[2]Tasa de Falla'!HW64="","",'[2]Tasa de Falla'!HW64)</f>
      </c>
      <c r="J65" s="756">
        <f>IF('[2]Tasa de Falla'!HX64="","",'[2]Tasa de Falla'!HX64)</f>
      </c>
      <c r="K65" s="756">
        <f>IF('[2]Tasa de Falla'!HY64="","",'[2]Tasa de Falla'!HY64)</f>
      </c>
      <c r="L65" s="756">
        <f>IF('[2]Tasa de Falla'!HZ64="","",'[2]Tasa de Falla'!HZ64)</f>
      </c>
      <c r="M65" s="756">
        <f>IF('[2]Tasa de Falla'!IA64="","",'[2]Tasa de Falla'!IA64)</f>
      </c>
      <c r="N65" s="756">
        <f>IF('[2]Tasa de Falla'!IB64="","",'[2]Tasa de Falla'!IB64)</f>
      </c>
      <c r="O65" s="756">
        <f>IF('[2]Tasa de Falla'!IC64="","",'[2]Tasa de Falla'!IC64)</f>
      </c>
      <c r="P65" s="756">
        <f>IF('[2]Tasa de Falla'!ID64="","",'[2]Tasa de Falla'!ID64)</f>
      </c>
      <c r="Q65" s="756">
        <f>IF('[2]Tasa de Falla'!IE64="","",'[2]Tasa de Falla'!IE64)</f>
      </c>
      <c r="R65" s="756">
        <f>IF('[2]Tasa de Falla'!IF64="","",'[2]Tasa de Falla'!IF64)</f>
      </c>
      <c r="S65" s="754"/>
      <c r="T65" s="3"/>
    </row>
    <row r="66" spans="2:20" ht="15" customHeight="1">
      <c r="B66" s="2"/>
      <c r="C66" s="757">
        <f>IF('[2]Tasa de Falla'!C65="","",'[2]Tasa de Falla'!C65)</f>
        <v>41</v>
      </c>
      <c r="D66" s="757" t="str">
        <f>IF('[2]Tasa de Falla'!D65="","",'[2]Tasa de Falla'!D65)</f>
        <v>ESPERANZA PAT - RIO TURBIO 220 1</v>
      </c>
      <c r="E66" s="757">
        <f>IF('[2]Tasa de Falla'!E65="","",'[2]Tasa de Falla'!E65)</f>
        <v>220</v>
      </c>
      <c r="F66" s="757">
        <f>IF('[2]Tasa de Falla'!F65="","",'[2]Tasa de Falla'!F65)</f>
        <v>149</v>
      </c>
      <c r="G66" s="758" t="str">
        <f>IF('[2]Tasa de Falla'!HU65="","",'[2]Tasa de Falla'!HU65)</f>
        <v>XXXX</v>
      </c>
      <c r="H66" s="758" t="str">
        <f>IF('[2]Tasa de Falla'!HV65="","",'[2]Tasa de Falla'!HV65)</f>
        <v>XXXX</v>
      </c>
      <c r="I66" s="758" t="str">
        <f>IF('[2]Tasa de Falla'!HW65="","",'[2]Tasa de Falla'!HW65)</f>
        <v>XXXX</v>
      </c>
      <c r="J66" s="758" t="str">
        <f>IF('[2]Tasa de Falla'!HX65="","",'[2]Tasa de Falla'!HX65)</f>
        <v>XXXX</v>
      </c>
      <c r="K66" s="758">
        <f>IF('[2]Tasa de Falla'!HY65="","",'[2]Tasa de Falla'!HY65)</f>
      </c>
      <c r="L66" s="758">
        <f>IF('[2]Tasa de Falla'!HZ65="","",'[2]Tasa de Falla'!HZ65)</f>
      </c>
      <c r="M66" s="758">
        <f>IF('[2]Tasa de Falla'!IA65="","",'[2]Tasa de Falla'!IA65)</f>
      </c>
      <c r="N66" s="758">
        <f>IF('[2]Tasa de Falla'!IB65="","",'[2]Tasa de Falla'!IB65)</f>
      </c>
      <c r="O66" s="758">
        <f>IF('[2]Tasa de Falla'!IC65="","",'[2]Tasa de Falla'!IC65)</f>
      </c>
      <c r="P66" s="758">
        <f>IF('[2]Tasa de Falla'!ID65="","",'[2]Tasa de Falla'!ID65)</f>
      </c>
      <c r="Q66" s="758">
        <f>IF('[2]Tasa de Falla'!IE65="","",'[2]Tasa de Falla'!IE65)</f>
      </c>
      <c r="R66" s="758">
        <f>IF('[2]Tasa de Falla'!IF65="","",'[2]Tasa de Falla'!IF65)</f>
      </c>
      <c r="S66" s="754"/>
      <c r="T66" s="3"/>
    </row>
    <row r="67" spans="2:20" ht="18" customHeight="1">
      <c r="B67" s="2"/>
      <c r="C67" s="755">
        <f>IF('[2]Tasa de Falla'!C66="","",'[2]Tasa de Falla'!C66)</f>
        <v>42</v>
      </c>
      <c r="D67" s="755" t="str">
        <f>IF('[2]Tasa de Falla'!D66="","",'[2]Tasa de Falla'!D66)</f>
        <v>ESPERANZA PAT - RIO GALLEGOS 220 1</v>
      </c>
      <c r="E67" s="755">
        <f>IF('[2]Tasa de Falla'!E66="","",'[2]Tasa de Falla'!E66)</f>
        <v>220</v>
      </c>
      <c r="F67" s="755">
        <f>IF('[2]Tasa de Falla'!F66="","",'[2]Tasa de Falla'!F66)</f>
        <v>128</v>
      </c>
      <c r="G67" s="756" t="str">
        <f>IF('[2]Tasa de Falla'!HU66="","",'[2]Tasa de Falla'!HU66)</f>
        <v>XXXX</v>
      </c>
      <c r="H67" s="756" t="str">
        <f>IF('[2]Tasa de Falla'!HV66="","",'[2]Tasa de Falla'!HV66)</f>
        <v>XXXX</v>
      </c>
      <c r="I67" s="756" t="str">
        <f>IF('[2]Tasa de Falla'!HW66="","",'[2]Tasa de Falla'!HW66)</f>
        <v>XXXX</v>
      </c>
      <c r="J67" s="756" t="str">
        <f>IF('[2]Tasa de Falla'!HX66="","",'[2]Tasa de Falla'!HX66)</f>
        <v>XXXX</v>
      </c>
      <c r="K67" s="756">
        <f>IF('[2]Tasa de Falla'!HY66="","",'[2]Tasa de Falla'!HY66)</f>
      </c>
      <c r="L67" s="756">
        <f>IF('[2]Tasa de Falla'!HZ66="","",'[2]Tasa de Falla'!HZ66)</f>
      </c>
      <c r="M67" s="756">
        <f>IF('[2]Tasa de Falla'!IA66="","",'[2]Tasa de Falla'!IA66)</f>
      </c>
      <c r="N67" s="756">
        <f>IF('[2]Tasa de Falla'!IB66="","",'[2]Tasa de Falla'!IB66)</f>
      </c>
      <c r="O67" s="756">
        <f>IF('[2]Tasa de Falla'!IC66="","",'[2]Tasa de Falla'!IC66)</f>
      </c>
      <c r="P67" s="756">
        <f>IF('[2]Tasa de Falla'!ID66="","",'[2]Tasa de Falla'!ID66)</f>
      </c>
      <c r="Q67" s="756">
        <f>IF('[2]Tasa de Falla'!IE66="","",'[2]Tasa de Falla'!IE66)</f>
        <v>1</v>
      </c>
      <c r="R67" s="756">
        <f>IF('[2]Tasa de Falla'!IF66="","",'[2]Tasa de Falla'!IF66)</f>
      </c>
      <c r="S67" s="754"/>
      <c r="T67" s="3"/>
    </row>
    <row r="68" spans="2:20" ht="15" customHeight="1" thickBot="1">
      <c r="B68" s="2"/>
      <c r="C68" s="759">
        <f>IF('[2]Tasa de Falla'!C67="","",'[2]Tasa de Falla'!C67)</f>
      </c>
      <c r="D68" s="759">
        <f>IF('[2]Tasa de Falla'!D67="","",'[2]Tasa de Falla'!D67)</f>
      </c>
      <c r="E68" s="759">
        <f>IF('[2]Tasa de Falla'!E67="","",'[2]Tasa de Falla'!E67)</f>
      </c>
      <c r="F68" s="759">
        <f>IF('[2]Tasa de Falla'!F67="","",'[2]Tasa de Falla'!F67)</f>
      </c>
      <c r="G68" s="760">
        <f>IF('[2]Tasa de Falla'!HU67="","",'[2]Tasa de Falla'!HU67)</f>
      </c>
      <c r="H68" s="760">
        <f>IF('[2]Tasa de Falla'!HV67="","",'[2]Tasa de Falla'!HV67)</f>
      </c>
      <c r="I68" s="760">
        <f>IF('[2]Tasa de Falla'!HW67="","",'[2]Tasa de Falla'!HW67)</f>
      </c>
      <c r="J68" s="760">
        <f>IF('[2]Tasa de Falla'!HX67="","",'[2]Tasa de Falla'!HX67)</f>
      </c>
      <c r="K68" s="760">
        <f>IF('[2]Tasa de Falla'!HY67="","",'[2]Tasa de Falla'!HY67)</f>
      </c>
      <c r="L68" s="760">
        <f>IF('[2]Tasa de Falla'!HZ67="","",'[2]Tasa de Falla'!HZ67)</f>
      </c>
      <c r="M68" s="760">
        <f>IF('[2]Tasa de Falla'!IA67="","",'[2]Tasa de Falla'!IA67)</f>
      </c>
      <c r="N68" s="760">
        <f>IF('[2]Tasa de Falla'!IB67="","",'[2]Tasa de Falla'!IB67)</f>
      </c>
      <c r="O68" s="760">
        <f>IF('[2]Tasa de Falla'!IC67="","",'[2]Tasa de Falla'!IC67)</f>
      </c>
      <c r="P68" s="760">
        <f>IF('[2]Tasa de Falla'!ID67="","",'[2]Tasa de Falla'!ID67)</f>
      </c>
      <c r="Q68" s="760">
        <f>IF('[2]Tasa de Falla'!IE67="","",'[2]Tasa de Falla'!IE67)</f>
      </c>
      <c r="R68" s="760">
        <f>IF('[2]Tasa de Falla'!IF67="","",'[2]Tasa de Falla'!IF67)</f>
      </c>
      <c r="S68" s="761"/>
      <c r="T68" s="3"/>
    </row>
    <row r="69" spans="2:20" ht="15" customHeight="1" thickBot="1" thickTop="1">
      <c r="B69" s="2"/>
      <c r="C69" s="762"/>
      <c r="D69" s="182"/>
      <c r="E69" s="763" t="s">
        <v>186</v>
      </c>
      <c r="F69" s="764">
        <f>SUM($F$17:$F$68)-SUMIF(R$17:R$68,"XXXX",$F$17:$F$68)</f>
        <v>3274.1499999999996</v>
      </c>
      <c r="G69" s="765"/>
      <c r="H69" s="765"/>
      <c r="I69" s="765"/>
      <c r="J69" s="765"/>
      <c r="K69" s="765"/>
      <c r="L69" s="765"/>
      <c r="M69" s="765"/>
      <c r="N69" s="765"/>
      <c r="O69" s="765"/>
      <c r="P69" s="765"/>
      <c r="Q69" s="765"/>
      <c r="R69" s="765"/>
      <c r="S69" s="754"/>
      <c r="T69" s="3"/>
    </row>
    <row r="70" spans="2:20" ht="15" customHeight="1" thickBot="1" thickTop="1">
      <c r="B70" s="2"/>
      <c r="C70" s="28"/>
      <c r="D70" s="34"/>
      <c r="E70" s="766"/>
      <c r="F70" s="767" t="s">
        <v>187</v>
      </c>
      <c r="G70" s="768">
        <f aca="true" t="shared" si="0" ref="G70:R70">SUM(G17:G68)</f>
        <v>0</v>
      </c>
      <c r="H70" s="768">
        <f t="shared" si="0"/>
        <v>1</v>
      </c>
      <c r="I70" s="768">
        <f t="shared" si="0"/>
        <v>4</v>
      </c>
      <c r="J70" s="768">
        <f t="shared" si="0"/>
        <v>3</v>
      </c>
      <c r="K70" s="768">
        <f t="shared" si="0"/>
        <v>0</v>
      </c>
      <c r="L70" s="768">
        <f t="shared" si="0"/>
        <v>0</v>
      </c>
      <c r="M70" s="768">
        <f t="shared" si="0"/>
        <v>1</v>
      </c>
      <c r="N70" s="768">
        <f t="shared" si="0"/>
        <v>5</v>
      </c>
      <c r="O70" s="768">
        <f t="shared" si="0"/>
        <v>0</v>
      </c>
      <c r="P70" s="768">
        <f t="shared" si="0"/>
        <v>3</v>
      </c>
      <c r="Q70" s="768">
        <f t="shared" si="0"/>
        <v>5</v>
      </c>
      <c r="R70" s="768">
        <f t="shared" si="0"/>
        <v>10</v>
      </c>
      <c r="S70" s="761"/>
      <c r="T70" s="3"/>
    </row>
    <row r="71" spans="2:20" ht="17.25" thickBot="1" thickTop="1">
      <c r="B71" s="2"/>
      <c r="C71" s="766"/>
      <c r="D71" s="766"/>
      <c r="E71" s="28"/>
      <c r="F71" s="769" t="s">
        <v>188</v>
      </c>
      <c r="G71" s="770">
        <f>'[2]Tasa de Falla'!HU73</f>
        <v>0.9</v>
      </c>
      <c r="H71" s="770">
        <f>'[2]Tasa de Falla'!HV73</f>
        <v>0.83</v>
      </c>
      <c r="I71" s="770">
        <f>'[2]Tasa de Falla'!HW73</f>
        <v>0.8</v>
      </c>
      <c r="J71" s="770">
        <f>'[2]Tasa de Falla'!HX73</f>
        <v>0.9</v>
      </c>
      <c r="K71" s="770">
        <f>'[2]Tasa de Falla'!HY73</f>
        <v>0.9</v>
      </c>
      <c r="L71" s="770">
        <f>'[2]Tasa de Falla'!HZ73</f>
        <v>0.82</v>
      </c>
      <c r="M71" s="770">
        <f>'[2]Tasa de Falla'!IA73</f>
        <v>0.73</v>
      </c>
      <c r="N71" s="770">
        <f>'[2]Tasa de Falla'!IB73</f>
        <v>0.7</v>
      </c>
      <c r="O71" s="770">
        <f>'[2]Tasa de Falla'!IC73</f>
        <v>0.79</v>
      </c>
      <c r="P71" s="770">
        <f>'[2]Tasa de Falla'!ID73</f>
        <v>0.67</v>
      </c>
      <c r="Q71" s="770">
        <f>'[2]Tasa de Falla'!IE73</f>
        <v>0.7</v>
      </c>
      <c r="R71" s="770">
        <f>'[2]Tasa de Falla'!IF73</f>
        <v>0.82</v>
      </c>
      <c r="S71" s="770">
        <f>SUM(G70:R70)/F69*100</f>
        <v>0.9773529007528673</v>
      </c>
      <c r="T71" s="3"/>
    </row>
    <row r="72" spans="2:20" ht="18.75" customHeight="1" thickBot="1" thickTop="1">
      <c r="B72" s="2"/>
      <c r="C72" s="771" t="s">
        <v>189</v>
      </c>
      <c r="D72" s="28" t="s">
        <v>190</v>
      </c>
      <c r="E72" s="772"/>
      <c r="F72" s="773"/>
      <c r="G72" s="774"/>
      <c r="H72" s="774"/>
      <c r="I72" s="774"/>
      <c r="J72" s="774"/>
      <c r="K72" s="774"/>
      <c r="L72" s="774"/>
      <c r="M72" s="774"/>
      <c r="N72" s="774"/>
      <c r="O72" s="774"/>
      <c r="P72" s="774"/>
      <c r="Q72" s="774"/>
      <c r="R72" s="774"/>
      <c r="S72" s="774"/>
      <c r="T72" s="58"/>
    </row>
    <row r="73" spans="2:20" ht="17.25" thickBot="1" thickTop="1">
      <c r="B73" s="775"/>
      <c r="C73" s="776"/>
      <c r="D73" s="776"/>
      <c r="H73" s="794" t="s">
        <v>191</v>
      </c>
      <c r="I73" s="795"/>
      <c r="J73" s="777">
        <f>S71</f>
        <v>0.9773529007528673</v>
      </c>
      <c r="K73" s="796" t="s">
        <v>192</v>
      </c>
      <c r="L73" s="796"/>
      <c r="M73" s="797"/>
      <c r="N73" s="776"/>
      <c r="O73" s="776"/>
      <c r="P73" s="776"/>
      <c r="Q73" s="776"/>
      <c r="R73" s="776"/>
      <c r="S73" s="776"/>
      <c r="T73" s="3"/>
    </row>
    <row r="74" spans="2:20" ht="18.75" customHeight="1" thickBot="1" thickTop="1">
      <c r="B74" s="778"/>
      <c r="C74" s="779"/>
      <c r="D74" s="46"/>
      <c r="E74" s="46"/>
      <c r="F74" s="780"/>
      <c r="G74" s="781"/>
      <c r="H74" s="781"/>
      <c r="I74" s="781"/>
      <c r="J74" s="781"/>
      <c r="K74" s="781"/>
      <c r="L74" s="781"/>
      <c r="M74" s="781"/>
      <c r="N74" s="781"/>
      <c r="O74" s="781"/>
      <c r="P74" s="781"/>
      <c r="Q74" s="781"/>
      <c r="R74" s="781"/>
      <c r="S74" s="781"/>
      <c r="T74" s="782"/>
    </row>
    <row r="75" ht="13.5" thickTop="1"/>
  </sheetData>
  <sheetProtection/>
  <mergeCells count="2">
    <mergeCell ref="H73:I73"/>
    <mergeCell ref="K73:M73"/>
  </mergeCells>
  <printOptions horizontalCentered="1"/>
  <pageMargins left="0.25" right="0.1968503937007874" top="0.61" bottom="0.69" header="0.5118110236220472" footer="0.4"/>
  <pageSetup fitToHeight="1" fitToWidth="1" horizontalDpi="300" verticalDpi="300" orientation="landscape" paperSize="9" scale="39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75" zoomScaleNormal="75" zoomScalePageLayoutView="0" workbookViewId="0" topLeftCell="A1">
      <selection activeCell="A22" sqref="A22:IV25"/>
    </sheetView>
  </sheetViews>
  <sheetFormatPr defaultColWidth="11.421875" defaultRowHeight="12.75"/>
  <cols>
    <col min="1" max="2" width="4.28125" style="0" customWidth="1"/>
    <col min="3" max="3" width="5.421875" style="0" customWidth="1"/>
    <col min="4" max="5" width="13.7109375" style="0" customWidth="1"/>
    <col min="6" max="6" width="45.710937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5.7109375" style="0" customWidth="1"/>
    <col min="12" max="14" width="9.710937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115" customFormat="1" ht="26.25">
      <c r="AB1" s="381"/>
    </row>
    <row r="2" spans="2:28" s="115" customFormat="1" ht="26.25">
      <c r="B2" s="116" t="str">
        <f>+'TOT-0514'!B2</f>
        <v>ANEXO V al Memorándum  D.T.E.E.  N°       34    / 2014.-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="11" customFormat="1" ht="12.75"/>
    <row r="4" spans="1:3" s="118" customFormat="1" ht="11.25">
      <c r="A4" s="680" t="s">
        <v>16</v>
      </c>
      <c r="C4" s="679"/>
    </row>
    <row r="5" spans="1:3" s="118" customFormat="1" ht="11.25">
      <c r="A5" s="680" t="s">
        <v>140</v>
      </c>
      <c r="C5" s="679"/>
    </row>
    <row r="6" s="11" customFormat="1" ht="13.5" thickBot="1"/>
    <row r="7" spans="1:28" s="11" customFormat="1" ht="13.5" thickTop="1">
      <c r="A7" s="9"/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pans="1:28" s="120" customFormat="1" ht="20.25">
      <c r="A8" s="42"/>
      <c r="B8" s="119"/>
      <c r="C8" s="42"/>
      <c r="D8" s="42"/>
      <c r="E8" s="42"/>
      <c r="F8" s="21" t="s">
        <v>41</v>
      </c>
      <c r="G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121"/>
    </row>
    <row r="9" spans="1:28" s="11" customFormat="1" ht="12.75">
      <c r="A9" s="9"/>
      <c r="B9" s="41"/>
      <c r="C9" s="9"/>
      <c r="D9" s="9"/>
      <c r="E9" s="9"/>
      <c r="F9" s="132"/>
      <c r="G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2"/>
    </row>
    <row r="10" spans="1:28" s="120" customFormat="1" ht="20.25">
      <c r="A10" s="42"/>
      <c r="B10" s="119"/>
      <c r="C10" s="42"/>
      <c r="D10" s="42"/>
      <c r="E10" s="42"/>
      <c r="F10" s="21" t="s">
        <v>42</v>
      </c>
      <c r="G10" s="21"/>
      <c r="H10" s="42"/>
      <c r="I10" s="122"/>
      <c r="J10" s="122"/>
      <c r="K10" s="122"/>
      <c r="L10" s="122"/>
      <c r="M10" s="122"/>
      <c r="N10" s="122"/>
      <c r="O10" s="12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121"/>
    </row>
    <row r="11" spans="1:28" s="11" customFormat="1" ht="12.75">
      <c r="A11" s="9"/>
      <c r="B11" s="41"/>
      <c r="C11" s="9"/>
      <c r="D11" s="9"/>
      <c r="E11" s="9"/>
      <c r="F11" s="131"/>
      <c r="G11" s="129"/>
      <c r="H11" s="9"/>
      <c r="I11" s="128"/>
      <c r="J11" s="128"/>
      <c r="K11" s="128"/>
      <c r="L11" s="128"/>
      <c r="M11" s="128"/>
      <c r="N11" s="128"/>
      <c r="O11" s="1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2"/>
    </row>
    <row r="12" spans="1:28" s="120" customFormat="1" ht="20.25">
      <c r="A12" s="42"/>
      <c r="B12" s="119"/>
      <c r="C12" s="42"/>
      <c r="D12" s="42"/>
      <c r="E12" s="42"/>
      <c r="F12" s="21" t="s">
        <v>43</v>
      </c>
      <c r="G12" s="21"/>
      <c r="H12" s="42"/>
      <c r="I12" s="122"/>
      <c r="J12" s="122"/>
      <c r="K12" s="122"/>
      <c r="L12" s="122"/>
      <c r="M12" s="122"/>
      <c r="N12" s="122"/>
      <c r="O12" s="12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121"/>
    </row>
    <row r="13" spans="1:28" s="11" customFormat="1" ht="12.75">
      <c r="A13" s="9"/>
      <c r="B13" s="41"/>
      <c r="C13" s="9"/>
      <c r="D13" s="9"/>
      <c r="E13" s="9"/>
      <c r="F13" s="131"/>
      <c r="G13" s="129"/>
      <c r="H13" s="9"/>
      <c r="I13" s="128"/>
      <c r="J13" s="128"/>
      <c r="K13" s="128"/>
      <c r="L13" s="128"/>
      <c r="M13" s="128"/>
      <c r="N13" s="128"/>
      <c r="O13" s="12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2"/>
    </row>
    <row r="14" spans="1:28" s="127" customFormat="1" ht="19.5">
      <c r="A14" s="44"/>
      <c r="B14" s="95" t="str">
        <f>+'TOT-0514'!B14</f>
        <v>Desde el 01 al 31 de mayo de 2014</v>
      </c>
      <c r="C14" s="123"/>
      <c r="D14" s="123"/>
      <c r="E14" s="123"/>
      <c r="F14" s="123"/>
      <c r="G14" s="124"/>
      <c r="H14" s="124"/>
      <c r="I14" s="125"/>
      <c r="J14" s="125"/>
      <c r="K14" s="125"/>
      <c r="L14" s="125"/>
      <c r="M14" s="125"/>
      <c r="N14" s="125"/>
      <c r="O14" s="125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6"/>
    </row>
    <row r="15" spans="1:28" s="11" customFormat="1" ht="13.5" thickBot="1">
      <c r="A15" s="9"/>
      <c r="B15" s="41"/>
      <c r="C15" s="9"/>
      <c r="D15" s="9"/>
      <c r="E15" s="9"/>
      <c r="F15" s="9"/>
      <c r="G15" s="129"/>
      <c r="H15" s="130"/>
      <c r="I15" s="128"/>
      <c r="J15" s="128"/>
      <c r="K15" s="128"/>
      <c r="L15" s="128"/>
      <c r="M15" s="128"/>
      <c r="N15" s="128"/>
      <c r="O15" s="12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2"/>
    </row>
    <row r="16" spans="1:28" s="101" customFormat="1" ht="16.5" customHeight="1" thickBot="1" thickTop="1">
      <c r="A16" s="97"/>
      <c r="B16" s="98"/>
      <c r="C16" s="97"/>
      <c r="D16" s="97"/>
      <c r="E16" s="97"/>
      <c r="F16" s="474" t="s">
        <v>44</v>
      </c>
      <c r="G16" s="786">
        <v>295.837</v>
      </c>
      <c r="H16" s="787"/>
      <c r="I16" s="102"/>
      <c r="J16" s="102"/>
      <c r="K16" s="102"/>
      <c r="L16" s="102"/>
      <c r="M16" s="102"/>
      <c r="N16" s="102"/>
      <c r="O16" s="102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100"/>
    </row>
    <row r="17" spans="1:28" s="101" customFormat="1" ht="16.5" customHeight="1" thickBot="1" thickTop="1">
      <c r="A17" s="97"/>
      <c r="B17" s="98"/>
      <c r="C17" s="97"/>
      <c r="D17" s="97"/>
      <c r="E17" s="97"/>
      <c r="F17" s="474" t="s">
        <v>45</v>
      </c>
      <c r="G17" s="786">
        <v>277.875</v>
      </c>
      <c r="H17" s="787"/>
      <c r="I17" s="97"/>
      <c r="K17" s="103" t="s">
        <v>46</v>
      </c>
      <c r="L17" s="104">
        <f>30*'TOT-0514'!B13</f>
        <v>30</v>
      </c>
      <c r="M17" s="238" t="str">
        <f>IF(L17=30," ",IF(L17=60,"Coeficiente duplicado por tasa de falla &gt;4 Sal. x año/100 km.","REVISAR COEFICIENTE"))</f>
        <v> </v>
      </c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100"/>
    </row>
    <row r="18" spans="1:28" s="707" customFormat="1" ht="14.25" thickBot="1" thickTop="1">
      <c r="A18" s="703"/>
      <c r="B18" s="704"/>
      <c r="C18" s="705">
        <v>3</v>
      </c>
      <c r="D18" s="705">
        <v>4</v>
      </c>
      <c r="E18" s="705">
        <v>5</v>
      </c>
      <c r="F18" s="705">
        <v>6</v>
      </c>
      <c r="G18" s="705">
        <v>7</v>
      </c>
      <c r="H18" s="705">
        <v>8</v>
      </c>
      <c r="I18" s="705">
        <v>9</v>
      </c>
      <c r="J18" s="705">
        <v>10</v>
      </c>
      <c r="K18" s="705">
        <v>11</v>
      </c>
      <c r="L18" s="705">
        <v>12</v>
      </c>
      <c r="M18" s="705">
        <v>13</v>
      </c>
      <c r="N18" s="705">
        <v>14</v>
      </c>
      <c r="O18" s="705">
        <v>15</v>
      </c>
      <c r="P18" s="705">
        <v>16</v>
      </c>
      <c r="Q18" s="705">
        <v>17</v>
      </c>
      <c r="R18" s="705">
        <v>18</v>
      </c>
      <c r="S18" s="705">
        <v>19</v>
      </c>
      <c r="T18" s="705">
        <v>20</v>
      </c>
      <c r="U18" s="705">
        <v>21</v>
      </c>
      <c r="V18" s="705">
        <v>22</v>
      </c>
      <c r="W18" s="705">
        <v>23</v>
      </c>
      <c r="X18" s="705">
        <v>24</v>
      </c>
      <c r="Y18" s="705">
        <v>25</v>
      </c>
      <c r="Z18" s="705">
        <v>26</v>
      </c>
      <c r="AA18" s="705">
        <v>27</v>
      </c>
      <c r="AB18" s="706"/>
    </row>
    <row r="19" spans="1:28" s="114" customFormat="1" ht="33.75" customHeight="1" thickBot="1" thickTop="1">
      <c r="A19" s="105"/>
      <c r="B19" s="106"/>
      <c r="C19" s="107" t="s">
        <v>47</v>
      </c>
      <c r="D19" s="107" t="s">
        <v>139</v>
      </c>
      <c r="E19" s="107" t="s">
        <v>138</v>
      </c>
      <c r="F19" s="108" t="s">
        <v>19</v>
      </c>
      <c r="G19" s="109" t="s">
        <v>48</v>
      </c>
      <c r="H19" s="110" t="s">
        <v>49</v>
      </c>
      <c r="I19" s="266" t="s">
        <v>50</v>
      </c>
      <c r="J19" s="108" t="s">
        <v>51</v>
      </c>
      <c r="K19" s="108" t="s">
        <v>52</v>
      </c>
      <c r="L19" s="109" t="s">
        <v>53</v>
      </c>
      <c r="M19" s="109" t="s">
        <v>54</v>
      </c>
      <c r="N19" s="111" t="s">
        <v>55</v>
      </c>
      <c r="O19" s="109" t="s">
        <v>56</v>
      </c>
      <c r="P19" s="291" t="s">
        <v>57</v>
      </c>
      <c r="Q19" s="293" t="s">
        <v>58</v>
      </c>
      <c r="R19" s="295" t="s">
        <v>59</v>
      </c>
      <c r="S19" s="296"/>
      <c r="T19" s="297"/>
      <c r="U19" s="302" t="s">
        <v>60</v>
      </c>
      <c r="V19" s="303"/>
      <c r="W19" s="304"/>
      <c r="X19" s="309" t="s">
        <v>61</v>
      </c>
      <c r="Y19" s="311" t="s">
        <v>62</v>
      </c>
      <c r="Z19" s="112" t="s">
        <v>63</v>
      </c>
      <c r="AA19" s="112" t="s">
        <v>64</v>
      </c>
      <c r="AB19" s="113"/>
    </row>
    <row r="20" spans="1:28" ht="16.5" customHeight="1" thickTop="1">
      <c r="A20" s="1"/>
      <c r="B20" s="2"/>
      <c r="C20" s="48"/>
      <c r="D20" s="678"/>
      <c r="E20" s="678"/>
      <c r="F20" s="378"/>
      <c r="G20" s="50"/>
      <c r="H20" s="50"/>
      <c r="I20" s="367"/>
      <c r="J20" s="50"/>
      <c r="K20" s="51"/>
      <c r="L20" s="51"/>
      <c r="M20" s="51"/>
      <c r="N20" s="49"/>
      <c r="O20" s="50"/>
      <c r="P20" s="292"/>
      <c r="Q20" s="294"/>
      <c r="R20" s="298"/>
      <c r="S20" s="299"/>
      <c r="T20" s="300"/>
      <c r="U20" s="305"/>
      <c r="V20" s="306"/>
      <c r="W20" s="307"/>
      <c r="X20" s="310"/>
      <c r="Y20" s="312"/>
      <c r="Z20" s="301"/>
      <c r="AA20" s="379"/>
      <c r="AB20" s="3"/>
    </row>
    <row r="21" spans="1:28" ht="16.5" customHeight="1">
      <c r="A21" s="1"/>
      <c r="B21" s="2"/>
      <c r="C21" s="499"/>
      <c r="D21" s="676"/>
      <c r="E21" s="676"/>
      <c r="F21" s="499"/>
      <c r="G21" s="500"/>
      <c r="H21" s="500"/>
      <c r="I21" s="368"/>
      <c r="J21" s="499"/>
      <c r="K21" s="501"/>
      <c r="L21" s="96"/>
      <c r="M21" s="96"/>
      <c r="N21" s="502"/>
      <c r="O21" s="499"/>
      <c r="P21" s="503"/>
      <c r="Q21" s="504"/>
      <c r="R21" s="505"/>
      <c r="S21" s="506"/>
      <c r="T21" s="507"/>
      <c r="U21" s="508"/>
      <c r="V21" s="509"/>
      <c r="W21" s="510"/>
      <c r="X21" s="511"/>
      <c r="Y21" s="512"/>
      <c r="Z21" s="513"/>
      <c r="AA21" s="96"/>
      <c r="AB21" s="3"/>
    </row>
    <row r="22" spans="1:28" ht="16.5" customHeight="1">
      <c r="A22" s="1"/>
      <c r="B22" s="2"/>
      <c r="C22" s="477">
        <v>1</v>
      </c>
      <c r="D22" s="477">
        <v>275086</v>
      </c>
      <c r="E22" s="477">
        <v>1628</v>
      </c>
      <c r="F22" s="478" t="s">
        <v>147</v>
      </c>
      <c r="G22" s="479">
        <v>132</v>
      </c>
      <c r="H22" s="480">
        <v>112</v>
      </c>
      <c r="I22" s="369">
        <f aca="true" t="shared" si="0" ref="I22:I38">IF(H22&gt;25,H22,25)*IF(G22=330,$G$16,$G$17)/100</f>
        <v>311.22</v>
      </c>
      <c r="J22" s="485">
        <v>41768.228472222225</v>
      </c>
      <c r="K22" s="485">
        <v>41768.23472222222</v>
      </c>
      <c r="L22" s="14">
        <f aca="true" t="shared" si="1" ref="L22:L38">IF(F22="","",(K22-J22)*24)</f>
        <v>0.1499999999650754</v>
      </c>
      <c r="M22" s="15">
        <f aca="true" t="shared" si="2" ref="M22:M38">IF(F22="","",ROUND((K22-J22)*24*60,0))</f>
        <v>9</v>
      </c>
      <c r="N22" s="486" t="s">
        <v>148</v>
      </c>
      <c r="O22" s="698" t="s">
        <v>146</v>
      </c>
      <c r="P22" s="683" t="str">
        <f aca="true" t="shared" si="3" ref="P22:P38">IF(N22="P",ROUND(M22/60,2)*I22*$L$17*0.01,"--")</f>
        <v>--</v>
      </c>
      <c r="Q22" s="684" t="str">
        <f aca="true" t="shared" si="4" ref="Q22:Q38">IF(N22="RP",ROUND(M22/60,2)*I22*$L$17*0.01*O22/100,"--")</f>
        <v>--</v>
      </c>
      <c r="R22" s="685">
        <f aca="true" t="shared" si="5" ref="R22:R38">IF(N22="F",I22*$L$17,"--")</f>
        <v>9336.6</v>
      </c>
      <c r="S22" s="686" t="str">
        <f aca="true" t="shared" si="6" ref="S22:S38">IF(AND(M22&gt;10,N22="F"),I22*$L$17*IF(M22&gt;180,3,ROUND(M22/60,2)),"--")</f>
        <v>--</v>
      </c>
      <c r="T22" s="687" t="str">
        <f aca="true" t="shared" si="7" ref="T22:T38">IF(AND(M22&gt;180,N22="F"),(ROUND(M22/60,2)-3)*I22*$L$17*0.1,"--")</f>
        <v>--</v>
      </c>
      <c r="U22" s="688" t="str">
        <f aca="true" t="shared" si="8" ref="U22:U38">IF(N22="R",I22*$L$17*O22/100,"--")</f>
        <v>--</v>
      </c>
      <c r="V22" s="689" t="str">
        <f aca="true" t="shared" si="9" ref="V22:V38">IF(AND(M22&gt;10,N22="R"),I22*$L$17*O22/100*IF(M22&gt;180,3,ROUND(M22/60,2)),"--")</f>
        <v>--</v>
      </c>
      <c r="W22" s="690" t="str">
        <f aca="true" t="shared" si="10" ref="W22:W38">IF(AND(M22&gt;180,N22="R"),(ROUND(M22/60,2)-3)*O22/100*I22*$L$17*0.1,"--")</f>
        <v>--</v>
      </c>
      <c r="X22" s="691" t="str">
        <f aca="true" t="shared" si="11" ref="X22:X38">IF(N22="RF",ROUND(M22/60,2)*I22*$L$17*0.1,"--")</f>
        <v>--</v>
      </c>
      <c r="Y22" s="692" t="str">
        <f aca="true" t="shared" si="12" ref="Y22:Y38">IF(N22="RR",ROUND(M22/60,2)*O22/100*I22*$L$17*0.1,"--")</f>
        <v>--</v>
      </c>
      <c r="Z22" s="693" t="s">
        <v>145</v>
      </c>
      <c r="AA22" s="52">
        <f aca="true" t="shared" si="13" ref="AA22:AA38">IF(F22="","",SUM(P22:Y22)*IF(Z22="SI",1,2))</f>
        <v>9336.6</v>
      </c>
      <c r="AB22" s="3"/>
    </row>
    <row r="23" spans="1:28" ht="16.5" customHeight="1">
      <c r="A23" s="1"/>
      <c r="B23" s="2"/>
      <c r="C23" s="477">
        <v>2</v>
      </c>
      <c r="D23" s="477">
        <v>275289</v>
      </c>
      <c r="E23" s="477">
        <v>1629</v>
      </c>
      <c r="F23" s="478" t="s">
        <v>149</v>
      </c>
      <c r="G23" s="479">
        <v>132</v>
      </c>
      <c r="H23" s="480">
        <v>62</v>
      </c>
      <c r="I23" s="369">
        <f t="shared" si="0"/>
        <v>172.2825</v>
      </c>
      <c r="J23" s="485">
        <v>41773.33194444444</v>
      </c>
      <c r="K23" s="485">
        <v>41773.34375</v>
      </c>
      <c r="L23" s="14">
        <f t="shared" si="1"/>
        <v>0.28333333338378</v>
      </c>
      <c r="M23" s="15">
        <f t="shared" si="2"/>
        <v>17</v>
      </c>
      <c r="N23" s="486" t="s">
        <v>144</v>
      </c>
      <c r="O23" s="698" t="s">
        <v>146</v>
      </c>
      <c r="P23" s="683">
        <f t="shared" si="3"/>
        <v>14.471730000000003</v>
      </c>
      <c r="Q23" s="684" t="str">
        <f t="shared" si="4"/>
        <v>--</v>
      </c>
      <c r="R23" s="685" t="str">
        <f t="shared" si="5"/>
        <v>--</v>
      </c>
      <c r="S23" s="686" t="str">
        <f t="shared" si="6"/>
        <v>--</v>
      </c>
      <c r="T23" s="687" t="str">
        <f t="shared" si="7"/>
        <v>--</v>
      </c>
      <c r="U23" s="688" t="str">
        <f t="shared" si="8"/>
        <v>--</v>
      </c>
      <c r="V23" s="689" t="str">
        <f t="shared" si="9"/>
        <v>--</v>
      </c>
      <c r="W23" s="690" t="str">
        <f t="shared" si="10"/>
        <v>--</v>
      </c>
      <c r="X23" s="691" t="str">
        <f t="shared" si="11"/>
        <v>--</v>
      </c>
      <c r="Y23" s="692" t="str">
        <f t="shared" si="12"/>
        <v>--</v>
      </c>
      <c r="Z23" s="693" t="s">
        <v>145</v>
      </c>
      <c r="AA23" s="52">
        <f t="shared" si="13"/>
        <v>14.471730000000003</v>
      </c>
      <c r="AB23" s="3"/>
    </row>
    <row r="24" spans="1:28" ht="16.5" customHeight="1">
      <c r="A24" s="1"/>
      <c r="B24" s="2"/>
      <c r="C24" s="477">
        <v>3</v>
      </c>
      <c r="D24" s="477">
        <v>275290</v>
      </c>
      <c r="E24" s="477">
        <v>1628</v>
      </c>
      <c r="F24" s="478" t="s">
        <v>147</v>
      </c>
      <c r="G24" s="479">
        <v>132</v>
      </c>
      <c r="H24" s="480">
        <v>112</v>
      </c>
      <c r="I24" s="369">
        <f t="shared" si="0"/>
        <v>311.22</v>
      </c>
      <c r="J24" s="485">
        <v>41773.336805555555</v>
      </c>
      <c r="K24" s="485">
        <v>41773.34722222222</v>
      </c>
      <c r="L24" s="14">
        <f t="shared" si="1"/>
        <v>0.24999999994179234</v>
      </c>
      <c r="M24" s="15">
        <f t="shared" si="2"/>
        <v>15</v>
      </c>
      <c r="N24" s="486" t="s">
        <v>148</v>
      </c>
      <c r="O24" s="698" t="s">
        <v>146</v>
      </c>
      <c r="P24" s="683" t="str">
        <f t="shared" si="3"/>
        <v>--</v>
      </c>
      <c r="Q24" s="684" t="str">
        <f t="shared" si="4"/>
        <v>--</v>
      </c>
      <c r="R24" s="685">
        <f t="shared" si="5"/>
        <v>9336.6</v>
      </c>
      <c r="S24" s="686">
        <f t="shared" si="6"/>
        <v>2334.15</v>
      </c>
      <c r="T24" s="687" t="str">
        <f t="shared" si="7"/>
        <v>--</v>
      </c>
      <c r="U24" s="688" t="str">
        <f t="shared" si="8"/>
        <v>--</v>
      </c>
      <c r="V24" s="689" t="str">
        <f t="shared" si="9"/>
        <v>--</v>
      </c>
      <c r="W24" s="690" t="str">
        <f t="shared" si="10"/>
        <v>--</v>
      </c>
      <c r="X24" s="691" t="str">
        <f t="shared" si="11"/>
        <v>--</v>
      </c>
      <c r="Y24" s="692" t="str">
        <f t="shared" si="12"/>
        <v>--</v>
      </c>
      <c r="Z24" s="693" t="s">
        <v>145</v>
      </c>
      <c r="AA24" s="52">
        <f t="shared" si="13"/>
        <v>11670.75</v>
      </c>
      <c r="AB24" s="3"/>
    </row>
    <row r="25" spans="1:28" ht="16.5" customHeight="1">
      <c r="A25" s="1"/>
      <c r="B25" s="2"/>
      <c r="C25" s="477">
        <v>4</v>
      </c>
      <c r="D25" s="477">
        <v>275291</v>
      </c>
      <c r="E25" s="477">
        <v>4748</v>
      </c>
      <c r="F25" s="478" t="s">
        <v>150</v>
      </c>
      <c r="G25" s="479">
        <v>132</v>
      </c>
      <c r="H25" s="480">
        <v>21.799999237060547</v>
      </c>
      <c r="I25" s="369">
        <f t="shared" si="0"/>
        <v>69.46875</v>
      </c>
      <c r="J25" s="485">
        <v>41773.336805555555</v>
      </c>
      <c r="K25" s="485">
        <v>41773.350694444445</v>
      </c>
      <c r="L25" s="14">
        <f t="shared" si="1"/>
        <v>0.33333333337213844</v>
      </c>
      <c r="M25" s="15">
        <f t="shared" si="2"/>
        <v>20</v>
      </c>
      <c r="N25" s="486" t="s">
        <v>148</v>
      </c>
      <c r="O25" s="698" t="s">
        <v>146</v>
      </c>
      <c r="P25" s="683" t="str">
        <f t="shared" si="3"/>
        <v>--</v>
      </c>
      <c r="Q25" s="684" t="str">
        <f t="shared" si="4"/>
        <v>--</v>
      </c>
      <c r="R25" s="685">
        <f t="shared" si="5"/>
        <v>2084.0625</v>
      </c>
      <c r="S25" s="686">
        <f t="shared" si="6"/>
        <v>687.740625</v>
      </c>
      <c r="T25" s="687" t="str">
        <f t="shared" si="7"/>
        <v>--</v>
      </c>
      <c r="U25" s="688" t="str">
        <f t="shared" si="8"/>
        <v>--</v>
      </c>
      <c r="V25" s="689" t="str">
        <f t="shared" si="9"/>
        <v>--</v>
      </c>
      <c r="W25" s="690" t="str">
        <f t="shared" si="10"/>
        <v>--</v>
      </c>
      <c r="X25" s="691" t="str">
        <f t="shared" si="11"/>
        <v>--</v>
      </c>
      <c r="Y25" s="692" t="str">
        <f t="shared" si="12"/>
        <v>--</v>
      </c>
      <c r="Z25" s="693" t="s">
        <v>145</v>
      </c>
      <c r="AA25" s="52">
        <f t="shared" si="13"/>
        <v>2771.803125</v>
      </c>
      <c r="AB25" s="3"/>
    </row>
    <row r="26" spans="1:28" ht="16.5" customHeight="1">
      <c r="A26" s="1"/>
      <c r="B26" s="2"/>
      <c r="C26" s="477"/>
      <c r="D26" s="477"/>
      <c r="E26" s="477"/>
      <c r="F26" s="478"/>
      <c r="G26" s="479"/>
      <c r="H26" s="480"/>
      <c r="I26" s="369">
        <f t="shared" si="0"/>
        <v>69.46875</v>
      </c>
      <c r="J26" s="485"/>
      <c r="K26" s="485"/>
      <c r="L26" s="14">
        <f t="shared" si="1"/>
      </c>
      <c r="M26" s="15">
        <f t="shared" si="2"/>
      </c>
      <c r="N26" s="486"/>
      <c r="O26" s="682">
        <f aca="true" t="shared" si="14" ref="O26:O38">IF(F26="","","--")</f>
      </c>
      <c r="P26" s="683" t="str">
        <f t="shared" si="3"/>
        <v>--</v>
      </c>
      <c r="Q26" s="684" t="str">
        <f t="shared" si="4"/>
        <v>--</v>
      </c>
      <c r="R26" s="685" t="str">
        <f t="shared" si="5"/>
        <v>--</v>
      </c>
      <c r="S26" s="686" t="str">
        <f t="shared" si="6"/>
        <v>--</v>
      </c>
      <c r="T26" s="687" t="str">
        <f t="shared" si="7"/>
        <v>--</v>
      </c>
      <c r="U26" s="688" t="str">
        <f t="shared" si="8"/>
        <v>--</v>
      </c>
      <c r="V26" s="689" t="str">
        <f t="shared" si="9"/>
        <v>--</v>
      </c>
      <c r="W26" s="690" t="str">
        <f t="shared" si="10"/>
        <v>--</v>
      </c>
      <c r="X26" s="691" t="str">
        <f t="shared" si="11"/>
        <v>--</v>
      </c>
      <c r="Y26" s="692" t="str">
        <f t="shared" si="12"/>
        <v>--</v>
      </c>
      <c r="Z26" s="693">
        <f aca="true" t="shared" si="15" ref="Z26:Z38">IF(F26="","","SI")</f>
      </c>
      <c r="AA26" s="52">
        <f t="shared" si="13"/>
      </c>
      <c r="AB26" s="3"/>
    </row>
    <row r="27" spans="1:28" ht="16.5" customHeight="1">
      <c r="A27" s="1"/>
      <c r="B27" s="2"/>
      <c r="C27" s="477"/>
      <c r="D27" s="477"/>
      <c r="E27" s="477"/>
      <c r="F27" s="478"/>
      <c r="G27" s="479"/>
      <c r="H27" s="480"/>
      <c r="I27" s="369">
        <f t="shared" si="0"/>
        <v>69.46875</v>
      </c>
      <c r="J27" s="485"/>
      <c r="K27" s="485"/>
      <c r="L27" s="14">
        <f t="shared" si="1"/>
      </c>
      <c r="M27" s="15">
        <f t="shared" si="2"/>
      </c>
      <c r="N27" s="486"/>
      <c r="O27" s="682">
        <f t="shared" si="14"/>
      </c>
      <c r="P27" s="683" t="str">
        <f t="shared" si="3"/>
        <v>--</v>
      </c>
      <c r="Q27" s="684" t="str">
        <f t="shared" si="4"/>
        <v>--</v>
      </c>
      <c r="R27" s="685" t="str">
        <f t="shared" si="5"/>
        <v>--</v>
      </c>
      <c r="S27" s="686" t="str">
        <f t="shared" si="6"/>
        <v>--</v>
      </c>
      <c r="T27" s="687" t="str">
        <f t="shared" si="7"/>
        <v>--</v>
      </c>
      <c r="U27" s="688" t="str">
        <f t="shared" si="8"/>
        <v>--</v>
      </c>
      <c r="V27" s="689" t="str">
        <f t="shared" si="9"/>
        <v>--</v>
      </c>
      <c r="W27" s="690" t="str">
        <f t="shared" si="10"/>
        <v>--</v>
      </c>
      <c r="X27" s="691" t="str">
        <f t="shared" si="11"/>
        <v>--</v>
      </c>
      <c r="Y27" s="692" t="str">
        <f t="shared" si="12"/>
        <v>--</v>
      </c>
      <c r="Z27" s="693">
        <f t="shared" si="15"/>
      </c>
      <c r="AA27" s="52">
        <f t="shared" si="13"/>
      </c>
      <c r="AB27" s="3"/>
    </row>
    <row r="28" spans="1:28" ht="16.5" customHeight="1">
      <c r="A28" s="1"/>
      <c r="B28" s="2"/>
      <c r="C28" s="477"/>
      <c r="D28" s="477"/>
      <c r="E28" s="477"/>
      <c r="F28" s="478"/>
      <c r="G28" s="479"/>
      <c r="H28" s="480"/>
      <c r="I28" s="369">
        <f t="shared" si="0"/>
        <v>69.46875</v>
      </c>
      <c r="J28" s="485"/>
      <c r="K28" s="485"/>
      <c r="L28" s="14">
        <f t="shared" si="1"/>
      </c>
      <c r="M28" s="15">
        <f t="shared" si="2"/>
      </c>
      <c r="N28" s="486"/>
      <c r="O28" s="682">
        <f t="shared" si="14"/>
      </c>
      <c r="P28" s="683" t="str">
        <f t="shared" si="3"/>
        <v>--</v>
      </c>
      <c r="Q28" s="684" t="str">
        <f t="shared" si="4"/>
        <v>--</v>
      </c>
      <c r="R28" s="685" t="str">
        <f t="shared" si="5"/>
        <v>--</v>
      </c>
      <c r="S28" s="686" t="str">
        <f t="shared" si="6"/>
        <v>--</v>
      </c>
      <c r="T28" s="687" t="str">
        <f t="shared" si="7"/>
        <v>--</v>
      </c>
      <c r="U28" s="688" t="str">
        <f t="shared" si="8"/>
        <v>--</v>
      </c>
      <c r="V28" s="689" t="str">
        <f t="shared" si="9"/>
        <v>--</v>
      </c>
      <c r="W28" s="690" t="str">
        <f t="shared" si="10"/>
        <v>--</v>
      </c>
      <c r="X28" s="691" t="str">
        <f t="shared" si="11"/>
        <v>--</v>
      </c>
      <c r="Y28" s="692" t="str">
        <f t="shared" si="12"/>
        <v>--</v>
      </c>
      <c r="Z28" s="693">
        <f t="shared" si="15"/>
      </c>
      <c r="AA28" s="52">
        <f t="shared" si="13"/>
      </c>
      <c r="AB28" s="3"/>
    </row>
    <row r="29" spans="1:28" ht="16.5" customHeight="1">
      <c r="A29" s="1"/>
      <c r="B29" s="2"/>
      <c r="C29" s="477"/>
      <c r="D29" s="477"/>
      <c r="E29" s="477"/>
      <c r="F29" s="478"/>
      <c r="G29" s="479"/>
      <c r="H29" s="480"/>
      <c r="I29" s="369">
        <f t="shared" si="0"/>
        <v>69.46875</v>
      </c>
      <c r="J29" s="485"/>
      <c r="K29" s="485"/>
      <c r="L29" s="14">
        <f t="shared" si="1"/>
      </c>
      <c r="M29" s="15">
        <f t="shared" si="2"/>
      </c>
      <c r="N29" s="486"/>
      <c r="O29" s="682">
        <f t="shared" si="14"/>
      </c>
      <c r="P29" s="683" t="str">
        <f t="shared" si="3"/>
        <v>--</v>
      </c>
      <c r="Q29" s="684" t="str">
        <f t="shared" si="4"/>
        <v>--</v>
      </c>
      <c r="R29" s="685" t="str">
        <f t="shared" si="5"/>
        <v>--</v>
      </c>
      <c r="S29" s="686" t="str">
        <f t="shared" si="6"/>
        <v>--</v>
      </c>
      <c r="T29" s="687" t="str">
        <f t="shared" si="7"/>
        <v>--</v>
      </c>
      <c r="U29" s="688" t="str">
        <f t="shared" si="8"/>
        <v>--</v>
      </c>
      <c r="V29" s="689" t="str">
        <f t="shared" si="9"/>
        <v>--</v>
      </c>
      <c r="W29" s="690" t="str">
        <f t="shared" si="10"/>
        <v>--</v>
      </c>
      <c r="X29" s="691" t="str">
        <f t="shared" si="11"/>
        <v>--</v>
      </c>
      <c r="Y29" s="692" t="str">
        <f t="shared" si="12"/>
        <v>--</v>
      </c>
      <c r="Z29" s="693">
        <f t="shared" si="15"/>
      </c>
      <c r="AA29" s="52">
        <f t="shared" si="13"/>
      </c>
      <c r="AB29" s="3"/>
    </row>
    <row r="30" spans="1:28" ht="16.5" customHeight="1">
      <c r="A30" s="1"/>
      <c r="B30" s="2"/>
      <c r="C30" s="477"/>
      <c r="D30" s="477"/>
      <c r="E30" s="477"/>
      <c r="F30" s="478"/>
      <c r="G30" s="479"/>
      <c r="H30" s="480"/>
      <c r="I30" s="369"/>
      <c r="J30" s="485"/>
      <c r="K30" s="485"/>
      <c r="L30" s="14"/>
      <c r="M30" s="15"/>
      <c r="N30" s="486"/>
      <c r="O30" s="682"/>
      <c r="P30" s="683"/>
      <c r="Q30" s="684"/>
      <c r="R30" s="685"/>
      <c r="S30" s="686"/>
      <c r="T30" s="687"/>
      <c r="U30" s="688"/>
      <c r="V30" s="689"/>
      <c r="W30" s="690"/>
      <c r="X30" s="691"/>
      <c r="Y30" s="692"/>
      <c r="Z30" s="693"/>
      <c r="AA30" s="52"/>
      <c r="AB30" s="3"/>
    </row>
    <row r="31" spans="1:28" ht="16.5" customHeight="1">
      <c r="A31" s="1"/>
      <c r="B31" s="2"/>
      <c r="C31" s="477"/>
      <c r="D31" s="477"/>
      <c r="E31" s="477"/>
      <c r="F31" s="478"/>
      <c r="G31" s="479"/>
      <c r="H31" s="480"/>
      <c r="I31" s="369"/>
      <c r="J31" s="485"/>
      <c r="K31" s="485"/>
      <c r="L31" s="14"/>
      <c r="M31" s="15"/>
      <c r="N31" s="486"/>
      <c r="O31" s="682"/>
      <c r="P31" s="683"/>
      <c r="Q31" s="684"/>
      <c r="R31" s="685"/>
      <c r="S31" s="686"/>
      <c r="T31" s="687"/>
      <c r="U31" s="688"/>
      <c r="V31" s="689"/>
      <c r="W31" s="690"/>
      <c r="X31" s="691"/>
      <c r="Y31" s="692"/>
      <c r="Z31" s="693"/>
      <c r="AA31" s="52"/>
      <c r="AB31" s="3"/>
    </row>
    <row r="32" spans="1:28" ht="16.5" customHeight="1">
      <c r="A32" s="1"/>
      <c r="B32" s="2"/>
      <c r="C32" s="477"/>
      <c r="D32" s="477"/>
      <c r="E32" s="477"/>
      <c r="F32" s="478"/>
      <c r="G32" s="479"/>
      <c r="H32" s="480"/>
      <c r="I32" s="369"/>
      <c r="J32" s="485"/>
      <c r="K32" s="485"/>
      <c r="L32" s="14"/>
      <c r="M32" s="15"/>
      <c r="N32" s="486"/>
      <c r="O32" s="682"/>
      <c r="P32" s="683"/>
      <c r="Q32" s="684"/>
      <c r="R32" s="685"/>
      <c r="S32" s="686"/>
      <c r="T32" s="687"/>
      <c r="U32" s="688"/>
      <c r="V32" s="689"/>
      <c r="W32" s="690"/>
      <c r="X32" s="691"/>
      <c r="Y32" s="692"/>
      <c r="Z32" s="693"/>
      <c r="AA32" s="52"/>
      <c r="AB32" s="3"/>
    </row>
    <row r="33" spans="1:28" ht="16.5" customHeight="1">
      <c r="A33" s="1"/>
      <c r="B33" s="2"/>
      <c r="C33" s="477"/>
      <c r="D33" s="477"/>
      <c r="E33" s="477"/>
      <c r="F33" s="478"/>
      <c r="G33" s="479"/>
      <c r="H33" s="480"/>
      <c r="I33" s="369">
        <f t="shared" si="0"/>
        <v>69.46875</v>
      </c>
      <c r="J33" s="485"/>
      <c r="K33" s="485"/>
      <c r="L33" s="14">
        <f t="shared" si="1"/>
      </c>
      <c r="M33" s="15">
        <f t="shared" si="2"/>
      </c>
      <c r="N33" s="486"/>
      <c r="O33" s="682">
        <f t="shared" si="14"/>
      </c>
      <c r="P33" s="683" t="str">
        <f t="shared" si="3"/>
        <v>--</v>
      </c>
      <c r="Q33" s="684" t="str">
        <f t="shared" si="4"/>
        <v>--</v>
      </c>
      <c r="R33" s="685" t="str">
        <f t="shared" si="5"/>
        <v>--</v>
      </c>
      <c r="S33" s="686" t="str">
        <f t="shared" si="6"/>
        <v>--</v>
      </c>
      <c r="T33" s="687" t="str">
        <f t="shared" si="7"/>
        <v>--</v>
      </c>
      <c r="U33" s="688" t="str">
        <f t="shared" si="8"/>
        <v>--</v>
      </c>
      <c r="V33" s="689" t="str">
        <f t="shared" si="9"/>
        <v>--</v>
      </c>
      <c r="W33" s="690" t="str">
        <f t="shared" si="10"/>
        <v>--</v>
      </c>
      <c r="X33" s="691" t="str">
        <f t="shared" si="11"/>
        <v>--</v>
      </c>
      <c r="Y33" s="692" t="str">
        <f t="shared" si="12"/>
        <v>--</v>
      </c>
      <c r="Z33" s="693">
        <f t="shared" si="15"/>
      </c>
      <c r="AA33" s="52">
        <f t="shared" si="13"/>
      </c>
      <c r="AB33" s="3"/>
    </row>
    <row r="34" spans="1:28" ht="16.5" customHeight="1">
      <c r="A34" s="1"/>
      <c r="B34" s="2"/>
      <c r="C34" s="477"/>
      <c r="D34" s="477"/>
      <c r="E34" s="477"/>
      <c r="F34" s="478"/>
      <c r="G34" s="479"/>
      <c r="H34" s="480"/>
      <c r="I34" s="369">
        <f t="shared" si="0"/>
        <v>69.46875</v>
      </c>
      <c r="J34" s="485"/>
      <c r="K34" s="485"/>
      <c r="L34" s="14">
        <f t="shared" si="1"/>
      </c>
      <c r="M34" s="15">
        <f t="shared" si="2"/>
      </c>
      <c r="N34" s="486"/>
      <c r="O34" s="682">
        <f t="shared" si="14"/>
      </c>
      <c r="P34" s="683" t="str">
        <f t="shared" si="3"/>
        <v>--</v>
      </c>
      <c r="Q34" s="684" t="str">
        <f t="shared" si="4"/>
        <v>--</v>
      </c>
      <c r="R34" s="685" t="str">
        <f t="shared" si="5"/>
        <v>--</v>
      </c>
      <c r="S34" s="686" t="str">
        <f t="shared" si="6"/>
        <v>--</v>
      </c>
      <c r="T34" s="687" t="str">
        <f t="shared" si="7"/>
        <v>--</v>
      </c>
      <c r="U34" s="688" t="str">
        <f t="shared" si="8"/>
        <v>--</v>
      </c>
      <c r="V34" s="689" t="str">
        <f t="shared" si="9"/>
        <v>--</v>
      </c>
      <c r="W34" s="690" t="str">
        <f t="shared" si="10"/>
        <v>--</v>
      </c>
      <c r="X34" s="691" t="str">
        <f t="shared" si="11"/>
        <v>--</v>
      </c>
      <c r="Y34" s="692" t="str">
        <f t="shared" si="12"/>
        <v>--</v>
      </c>
      <c r="Z34" s="693">
        <f t="shared" si="15"/>
      </c>
      <c r="AA34" s="52">
        <f t="shared" si="13"/>
      </c>
      <c r="AB34" s="3"/>
    </row>
    <row r="35" spans="1:28" ht="16.5" customHeight="1">
      <c r="A35" s="1"/>
      <c r="B35" s="2"/>
      <c r="C35" s="477"/>
      <c r="D35" s="477"/>
      <c r="E35" s="477"/>
      <c r="F35" s="478"/>
      <c r="G35" s="479"/>
      <c r="H35" s="480"/>
      <c r="I35" s="369">
        <f t="shared" si="0"/>
        <v>69.46875</v>
      </c>
      <c r="J35" s="485"/>
      <c r="K35" s="485"/>
      <c r="L35" s="14">
        <f t="shared" si="1"/>
      </c>
      <c r="M35" s="15">
        <f t="shared" si="2"/>
      </c>
      <c r="N35" s="486"/>
      <c r="O35" s="682">
        <f t="shared" si="14"/>
      </c>
      <c r="P35" s="683" t="str">
        <f t="shared" si="3"/>
        <v>--</v>
      </c>
      <c r="Q35" s="684" t="str">
        <f t="shared" si="4"/>
        <v>--</v>
      </c>
      <c r="R35" s="685" t="str">
        <f t="shared" si="5"/>
        <v>--</v>
      </c>
      <c r="S35" s="686" t="str">
        <f t="shared" si="6"/>
        <v>--</v>
      </c>
      <c r="T35" s="687" t="str">
        <f t="shared" si="7"/>
        <v>--</v>
      </c>
      <c r="U35" s="688" t="str">
        <f t="shared" si="8"/>
        <v>--</v>
      </c>
      <c r="V35" s="689" t="str">
        <f t="shared" si="9"/>
        <v>--</v>
      </c>
      <c r="W35" s="690" t="str">
        <f t="shared" si="10"/>
        <v>--</v>
      </c>
      <c r="X35" s="691" t="str">
        <f t="shared" si="11"/>
        <v>--</v>
      </c>
      <c r="Y35" s="692" t="str">
        <f t="shared" si="12"/>
        <v>--</v>
      </c>
      <c r="Z35" s="693">
        <f t="shared" si="15"/>
      </c>
      <c r="AA35" s="52">
        <f t="shared" si="13"/>
      </c>
      <c r="AB35" s="3"/>
    </row>
    <row r="36" spans="1:28" ht="16.5" customHeight="1">
      <c r="A36" s="1"/>
      <c r="B36" s="2"/>
      <c r="C36" s="477"/>
      <c r="D36" s="477"/>
      <c r="E36" s="477"/>
      <c r="F36" s="478"/>
      <c r="G36" s="479"/>
      <c r="H36" s="480"/>
      <c r="I36" s="369">
        <f t="shared" si="0"/>
        <v>69.46875</v>
      </c>
      <c r="J36" s="485"/>
      <c r="K36" s="485"/>
      <c r="L36" s="14">
        <f t="shared" si="1"/>
      </c>
      <c r="M36" s="15">
        <f t="shared" si="2"/>
      </c>
      <c r="N36" s="486"/>
      <c r="O36" s="682">
        <f t="shared" si="14"/>
      </c>
      <c r="P36" s="683" t="str">
        <f t="shared" si="3"/>
        <v>--</v>
      </c>
      <c r="Q36" s="684" t="str">
        <f t="shared" si="4"/>
        <v>--</v>
      </c>
      <c r="R36" s="685" t="str">
        <f t="shared" si="5"/>
        <v>--</v>
      </c>
      <c r="S36" s="686" t="str">
        <f t="shared" si="6"/>
        <v>--</v>
      </c>
      <c r="T36" s="687" t="str">
        <f t="shared" si="7"/>
        <v>--</v>
      </c>
      <c r="U36" s="688" t="str">
        <f t="shared" si="8"/>
        <v>--</v>
      </c>
      <c r="V36" s="689" t="str">
        <f t="shared" si="9"/>
        <v>--</v>
      </c>
      <c r="W36" s="690" t="str">
        <f t="shared" si="10"/>
        <v>--</v>
      </c>
      <c r="X36" s="691" t="str">
        <f t="shared" si="11"/>
        <v>--</v>
      </c>
      <c r="Y36" s="692" t="str">
        <f t="shared" si="12"/>
        <v>--</v>
      </c>
      <c r="Z36" s="693">
        <f t="shared" si="15"/>
      </c>
      <c r="AA36" s="52">
        <f t="shared" si="13"/>
      </c>
      <c r="AB36" s="3"/>
    </row>
    <row r="37" spans="1:28" ht="16.5" customHeight="1">
      <c r="A37" s="1"/>
      <c r="B37" s="2"/>
      <c r="C37" s="477"/>
      <c r="D37" s="477"/>
      <c r="E37" s="477"/>
      <c r="F37" s="478"/>
      <c r="G37" s="479"/>
      <c r="H37" s="480"/>
      <c r="I37" s="369">
        <f t="shared" si="0"/>
        <v>69.46875</v>
      </c>
      <c r="J37" s="485"/>
      <c r="K37" s="485"/>
      <c r="L37" s="14">
        <f t="shared" si="1"/>
      </c>
      <c r="M37" s="15">
        <f t="shared" si="2"/>
      </c>
      <c r="N37" s="486"/>
      <c r="O37" s="682">
        <f t="shared" si="14"/>
      </c>
      <c r="P37" s="683" t="str">
        <f t="shared" si="3"/>
        <v>--</v>
      </c>
      <c r="Q37" s="684" t="str">
        <f t="shared" si="4"/>
        <v>--</v>
      </c>
      <c r="R37" s="685" t="str">
        <f t="shared" si="5"/>
        <v>--</v>
      </c>
      <c r="S37" s="686" t="str">
        <f t="shared" si="6"/>
        <v>--</v>
      </c>
      <c r="T37" s="687" t="str">
        <f t="shared" si="7"/>
        <v>--</v>
      </c>
      <c r="U37" s="688" t="str">
        <f t="shared" si="8"/>
        <v>--</v>
      </c>
      <c r="V37" s="689" t="str">
        <f t="shared" si="9"/>
        <v>--</v>
      </c>
      <c r="W37" s="690" t="str">
        <f t="shared" si="10"/>
        <v>--</v>
      </c>
      <c r="X37" s="691" t="str">
        <f t="shared" si="11"/>
        <v>--</v>
      </c>
      <c r="Y37" s="692" t="str">
        <f t="shared" si="12"/>
        <v>--</v>
      </c>
      <c r="Z37" s="693">
        <f t="shared" si="15"/>
      </c>
      <c r="AA37" s="52">
        <f t="shared" si="13"/>
      </c>
      <c r="AB37" s="3"/>
    </row>
    <row r="38" spans="2:28" ht="16.5" customHeight="1">
      <c r="B38" s="53"/>
      <c r="C38" s="477"/>
      <c r="D38" s="477"/>
      <c r="E38" s="477"/>
      <c r="F38" s="478"/>
      <c r="G38" s="479"/>
      <c r="H38" s="480"/>
      <c r="I38" s="369">
        <f t="shared" si="0"/>
        <v>69.46875</v>
      </c>
      <c r="J38" s="485"/>
      <c r="K38" s="485"/>
      <c r="L38" s="14">
        <f t="shared" si="1"/>
      </c>
      <c r="M38" s="15">
        <f t="shared" si="2"/>
      </c>
      <c r="N38" s="486"/>
      <c r="O38" s="682">
        <f t="shared" si="14"/>
      </c>
      <c r="P38" s="683" t="str">
        <f t="shared" si="3"/>
        <v>--</v>
      </c>
      <c r="Q38" s="684" t="str">
        <f t="shared" si="4"/>
        <v>--</v>
      </c>
      <c r="R38" s="685" t="str">
        <f t="shared" si="5"/>
        <v>--</v>
      </c>
      <c r="S38" s="686" t="str">
        <f t="shared" si="6"/>
        <v>--</v>
      </c>
      <c r="T38" s="687" t="str">
        <f t="shared" si="7"/>
        <v>--</v>
      </c>
      <c r="U38" s="688" t="str">
        <f t="shared" si="8"/>
        <v>--</v>
      </c>
      <c r="V38" s="689" t="str">
        <f t="shared" si="9"/>
        <v>--</v>
      </c>
      <c r="W38" s="690" t="str">
        <f t="shared" si="10"/>
        <v>--</v>
      </c>
      <c r="X38" s="691" t="str">
        <f t="shared" si="11"/>
        <v>--</v>
      </c>
      <c r="Y38" s="692" t="str">
        <f t="shared" si="12"/>
        <v>--</v>
      </c>
      <c r="Z38" s="693">
        <f t="shared" si="15"/>
      </c>
      <c r="AA38" s="52">
        <f t="shared" si="13"/>
      </c>
      <c r="AB38" s="3"/>
    </row>
    <row r="39" spans="2:28" ht="16.5" customHeight="1">
      <c r="B39" s="53"/>
      <c r="C39" s="477"/>
      <c r="D39" s="477"/>
      <c r="E39" s="477"/>
      <c r="F39" s="478"/>
      <c r="G39" s="479"/>
      <c r="H39" s="480"/>
      <c r="I39" s="369">
        <f>IF(H39&gt;25,H39,25)*IF(G39=330,$G$16,$G$17)/100</f>
        <v>69.46875</v>
      </c>
      <c r="J39" s="485"/>
      <c r="K39" s="485"/>
      <c r="L39" s="14">
        <f>IF(F39="","",(K39-J39)*24)</f>
      </c>
      <c r="M39" s="15">
        <f>IF(F39="","",ROUND((K39-J39)*24*60,0))</f>
      </c>
      <c r="N39" s="486"/>
      <c r="O39" s="682">
        <f>IF(F39="","","--")</f>
      </c>
      <c r="P39" s="683" t="str">
        <f>IF(N39="P",ROUND(M39/60,2)*I39*$L$17*0.01,"--")</f>
        <v>--</v>
      </c>
      <c r="Q39" s="684" t="str">
        <f>IF(N39="RP",ROUND(M39/60,2)*I39*$L$17*0.01*O39/100,"--")</f>
        <v>--</v>
      </c>
      <c r="R39" s="685" t="str">
        <f>IF(N39="F",I39*$L$17,"--")</f>
        <v>--</v>
      </c>
      <c r="S39" s="686" t="str">
        <f>IF(AND(M39&gt;10,N39="F"),I39*$L$17*IF(M39&gt;180,3,ROUND(M39/60,2)),"--")</f>
        <v>--</v>
      </c>
      <c r="T39" s="687" t="str">
        <f>IF(AND(M39&gt;180,N39="F"),(ROUND(M39/60,2)-3)*I39*$L$17*0.1,"--")</f>
        <v>--</v>
      </c>
      <c r="U39" s="688" t="str">
        <f>IF(N39="R",I39*$L$17*O39/100,"--")</f>
        <v>--</v>
      </c>
      <c r="V39" s="689" t="str">
        <f>IF(AND(M39&gt;10,N39="R"),I39*$L$17*O39/100*IF(M39&gt;180,3,ROUND(M39/60,2)),"--")</f>
        <v>--</v>
      </c>
      <c r="W39" s="690" t="str">
        <f>IF(AND(M39&gt;180,N39="R"),(ROUND(M39/60,2)-3)*O39/100*I39*$L$17*0.1,"--")</f>
        <v>--</v>
      </c>
      <c r="X39" s="691" t="str">
        <f>IF(N39="RF",ROUND(M39/60,2)*I39*$L$17*0.1,"--")</f>
        <v>--</v>
      </c>
      <c r="Y39" s="692" t="str">
        <f>IF(N39="RR",ROUND(M39/60,2)*O39/100*I39*$L$17*0.1,"--")</f>
        <v>--</v>
      </c>
      <c r="Z39" s="693">
        <f>IF(F39="","","SI")</f>
      </c>
      <c r="AA39" s="52">
        <f>IF(F39="","",SUM(P39:Y39)*IF(Z39="SI",1,2))</f>
      </c>
      <c r="AB39" s="3"/>
    </row>
    <row r="40" spans="2:28" ht="16.5" customHeight="1">
      <c r="B40" s="53"/>
      <c r="C40" s="477"/>
      <c r="D40" s="477"/>
      <c r="E40" s="477"/>
      <c r="F40" s="478"/>
      <c r="G40" s="479"/>
      <c r="H40" s="480"/>
      <c r="I40" s="369">
        <f>IF(H40&gt;25,H40,25)*IF(G40=330,$G$16,$G$17)/100</f>
        <v>69.46875</v>
      </c>
      <c r="J40" s="485"/>
      <c r="K40" s="485"/>
      <c r="L40" s="14">
        <f>IF(F40="","",(K40-J40)*24)</f>
      </c>
      <c r="M40" s="15">
        <f>IF(F40="","",ROUND((K40-J40)*24*60,0))</f>
      </c>
      <c r="N40" s="486"/>
      <c r="O40" s="682">
        <f>IF(F40="","","--")</f>
      </c>
      <c r="P40" s="683" t="str">
        <f>IF(N40="P",ROUND(M40/60,2)*I40*$L$17*0.01,"--")</f>
        <v>--</v>
      </c>
      <c r="Q40" s="684" t="str">
        <f>IF(N40="RP",ROUND(M40/60,2)*I40*$L$17*0.01*O40/100,"--")</f>
        <v>--</v>
      </c>
      <c r="R40" s="685" t="str">
        <f>IF(N40="F",I40*$L$17,"--")</f>
        <v>--</v>
      </c>
      <c r="S40" s="686" t="str">
        <f>IF(AND(M40&gt;10,N40="F"),I40*$L$17*IF(M40&gt;180,3,ROUND(M40/60,2)),"--")</f>
        <v>--</v>
      </c>
      <c r="T40" s="687" t="str">
        <f>IF(AND(M40&gt;180,N40="F"),(ROUND(M40/60,2)-3)*I40*$L$17*0.1,"--")</f>
        <v>--</v>
      </c>
      <c r="U40" s="688" t="str">
        <f>IF(N40="R",I40*$L$17*O40/100,"--")</f>
        <v>--</v>
      </c>
      <c r="V40" s="689" t="str">
        <f>IF(AND(M40&gt;10,N40="R"),I40*$L$17*O40/100*IF(M40&gt;180,3,ROUND(M40/60,2)),"--")</f>
        <v>--</v>
      </c>
      <c r="W40" s="690" t="str">
        <f>IF(AND(M40&gt;180,N40="R"),(ROUND(M40/60,2)-3)*O40/100*I40*$L$17*0.1,"--")</f>
        <v>--</v>
      </c>
      <c r="X40" s="691" t="str">
        <f>IF(N40="RF",ROUND(M40/60,2)*I40*$L$17*0.1,"--")</f>
        <v>--</v>
      </c>
      <c r="Y40" s="692" t="str">
        <f>IF(N40="RR",ROUND(M40/60,2)*O40/100*I40*$L$17*0.1,"--")</f>
        <v>--</v>
      </c>
      <c r="Z40" s="693">
        <f>IF(F40="","","SI")</f>
      </c>
      <c r="AA40" s="52">
        <f>IF(F40="","",SUM(P40:Y40)*IF(Z40="SI",1,2))</f>
      </c>
      <c r="AB40" s="3"/>
    </row>
    <row r="41" spans="2:28" ht="16.5" customHeight="1">
      <c r="B41" s="53"/>
      <c r="C41" s="477"/>
      <c r="D41" s="477"/>
      <c r="E41" s="477"/>
      <c r="F41" s="478"/>
      <c r="G41" s="479"/>
      <c r="H41" s="480"/>
      <c r="I41" s="369">
        <f>IF(H41&gt;25,H41,25)*IF(G41=330,$G$16,$G$17)/100</f>
        <v>69.46875</v>
      </c>
      <c r="J41" s="485"/>
      <c r="K41" s="485"/>
      <c r="L41" s="14">
        <f>IF(F41="","",(K41-J41)*24)</f>
      </c>
      <c r="M41" s="15">
        <f>IF(F41="","",ROUND((K41-J41)*24*60,0))</f>
      </c>
      <c r="N41" s="486"/>
      <c r="O41" s="682">
        <f>IF(F41="","","--")</f>
      </c>
      <c r="P41" s="683" t="str">
        <f>IF(N41="P",ROUND(M41/60,2)*I41*$L$17*0.01,"--")</f>
        <v>--</v>
      </c>
      <c r="Q41" s="684" t="str">
        <f>IF(N41="RP",ROUND(M41/60,2)*I41*$L$17*0.01*O41/100,"--")</f>
        <v>--</v>
      </c>
      <c r="R41" s="685" t="str">
        <f>IF(N41="F",I41*$L$17,"--")</f>
        <v>--</v>
      </c>
      <c r="S41" s="686" t="str">
        <f>IF(AND(M41&gt;10,N41="F"),I41*$L$17*IF(M41&gt;180,3,ROUND(M41/60,2)),"--")</f>
        <v>--</v>
      </c>
      <c r="T41" s="687" t="str">
        <f>IF(AND(M41&gt;180,N41="F"),(ROUND(M41/60,2)-3)*I41*$L$17*0.1,"--")</f>
        <v>--</v>
      </c>
      <c r="U41" s="688" t="str">
        <f>IF(N41="R",I41*$L$17*O41/100,"--")</f>
        <v>--</v>
      </c>
      <c r="V41" s="689" t="str">
        <f>IF(AND(M41&gt;10,N41="R"),I41*$L$17*O41/100*IF(M41&gt;180,3,ROUND(M41/60,2)),"--")</f>
        <v>--</v>
      </c>
      <c r="W41" s="690" t="str">
        <f>IF(AND(M41&gt;180,N41="R"),(ROUND(M41/60,2)-3)*O41/100*I41*$L$17*0.1,"--")</f>
        <v>--</v>
      </c>
      <c r="X41" s="691" t="str">
        <f>IF(N41="RF",ROUND(M41/60,2)*I41*$L$17*0.1,"--")</f>
        <v>--</v>
      </c>
      <c r="Y41" s="692" t="str">
        <f>IF(N41="RR",ROUND(M41/60,2)*O41/100*I41*$L$17*0.1,"--")</f>
        <v>--</v>
      </c>
      <c r="Z41" s="693">
        <f>IF(F41="","","SI")</f>
      </c>
      <c r="AA41" s="52">
        <f>IF(F41="","",SUM(P41:Y41)*IF(Z41="SI",1,2))</f>
      </c>
      <c r="AB41" s="3"/>
    </row>
    <row r="42" spans="1:28" ht="16.5" customHeight="1" thickBot="1">
      <c r="A42" s="1"/>
      <c r="B42" s="2"/>
      <c r="C42" s="481"/>
      <c r="D42" s="481"/>
      <c r="E42" s="481"/>
      <c r="F42" s="482"/>
      <c r="G42" s="483"/>
      <c r="H42" s="484"/>
      <c r="I42" s="370"/>
      <c r="J42" s="484"/>
      <c r="K42" s="484"/>
      <c r="L42" s="16"/>
      <c r="M42" s="16"/>
      <c r="N42" s="484"/>
      <c r="O42" s="487"/>
      <c r="P42" s="488"/>
      <c r="Q42" s="489"/>
      <c r="R42" s="490"/>
      <c r="S42" s="491"/>
      <c r="T42" s="492"/>
      <c r="U42" s="493"/>
      <c r="V42" s="494"/>
      <c r="W42" s="495"/>
      <c r="X42" s="496"/>
      <c r="Y42" s="497"/>
      <c r="Z42" s="498"/>
      <c r="AA42" s="54"/>
      <c r="AB42" s="3"/>
    </row>
    <row r="43" spans="1:28" ht="16.5" customHeight="1" thickBot="1" thickTop="1">
      <c r="A43" s="1"/>
      <c r="B43" s="2"/>
      <c r="C43" s="241" t="s">
        <v>65</v>
      </c>
      <c r="D43" s="718" t="s">
        <v>181</v>
      </c>
      <c r="E43" s="677"/>
      <c r="F43" s="242"/>
      <c r="G43" s="17"/>
      <c r="H43" s="18"/>
      <c r="I43" s="55"/>
      <c r="J43" s="55"/>
      <c r="K43" s="55"/>
      <c r="L43" s="55"/>
      <c r="M43" s="55"/>
      <c r="N43" s="55"/>
      <c r="O43" s="56"/>
      <c r="P43" s="313">
        <f aca="true" t="shared" si="16" ref="P43:Y43">ROUND(SUM(P20:P42),2)</f>
        <v>14.47</v>
      </c>
      <c r="Q43" s="314">
        <f t="shared" si="16"/>
        <v>0</v>
      </c>
      <c r="R43" s="315">
        <f t="shared" si="16"/>
        <v>20757.26</v>
      </c>
      <c r="S43" s="315">
        <f t="shared" si="16"/>
        <v>3021.89</v>
      </c>
      <c r="T43" s="316">
        <f t="shared" si="16"/>
        <v>0</v>
      </c>
      <c r="U43" s="317">
        <f t="shared" si="16"/>
        <v>0</v>
      </c>
      <c r="V43" s="317">
        <f t="shared" si="16"/>
        <v>0</v>
      </c>
      <c r="W43" s="318">
        <f t="shared" si="16"/>
        <v>0</v>
      </c>
      <c r="X43" s="319">
        <f t="shared" si="16"/>
        <v>0</v>
      </c>
      <c r="Y43" s="320">
        <f t="shared" si="16"/>
        <v>0</v>
      </c>
      <c r="Z43" s="57"/>
      <c r="AA43" s="681">
        <f>ROUND(SUM(AA20:AA42),2)</f>
        <v>23793.62</v>
      </c>
      <c r="AB43" s="58"/>
    </row>
    <row r="44" spans="1:28" s="256" customFormat="1" ht="9.75" thickTop="1">
      <c r="A44" s="245"/>
      <c r="B44" s="246"/>
      <c r="C44" s="243"/>
      <c r="D44" s="243"/>
      <c r="E44" s="243"/>
      <c r="F44" s="244"/>
      <c r="G44" s="247"/>
      <c r="H44" s="248"/>
      <c r="I44" s="249"/>
      <c r="J44" s="249"/>
      <c r="K44" s="249"/>
      <c r="L44" s="249"/>
      <c r="M44" s="249"/>
      <c r="N44" s="249"/>
      <c r="O44" s="250"/>
      <c r="P44" s="251"/>
      <c r="Q44" s="251"/>
      <c r="R44" s="252"/>
      <c r="S44" s="252"/>
      <c r="T44" s="253"/>
      <c r="U44" s="253"/>
      <c r="V44" s="253"/>
      <c r="W44" s="253"/>
      <c r="X44" s="253"/>
      <c r="Y44" s="253"/>
      <c r="Z44" s="253"/>
      <c r="AA44" s="254"/>
      <c r="AB44" s="255"/>
    </row>
    <row r="45" spans="1:28" s="11" customFormat="1" ht="16.5" customHeight="1" thickBot="1">
      <c r="A45" s="9"/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mergeCells count="2">
    <mergeCell ref="G16:H16"/>
    <mergeCell ref="G17:H1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75" zoomScaleNormal="75" zoomScalePageLayoutView="0" workbookViewId="0" topLeftCell="A1">
      <selection activeCell="G17" sqref="G17:H17"/>
    </sheetView>
  </sheetViews>
  <sheetFormatPr defaultColWidth="11.421875" defaultRowHeight="12.75"/>
  <cols>
    <col min="1" max="2" width="4.28125" style="0" customWidth="1"/>
    <col min="3" max="3" width="5.421875" style="0" customWidth="1"/>
    <col min="4" max="5" width="13.7109375" style="0" customWidth="1"/>
    <col min="6" max="6" width="45.710937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5.7109375" style="0" customWidth="1"/>
    <col min="12" max="14" width="9.7109375" style="0" customWidth="1"/>
    <col min="16" max="17" width="12.57421875" style="0" hidden="1" customWidth="1"/>
    <col min="18" max="19" width="6.8515625" style="0" hidden="1" customWidth="1"/>
    <col min="20" max="20" width="6.00390625" style="0" hidden="1" customWidth="1"/>
    <col min="21" max="22" width="6.8515625" style="0" hidden="1" customWidth="1"/>
    <col min="23" max="23" width="6.00390625" style="0" hidden="1" customWidth="1"/>
    <col min="24" max="25" width="12.0039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115" customFormat="1" ht="26.25">
      <c r="AB1" s="381"/>
    </row>
    <row r="2" spans="2:28" s="115" customFormat="1" ht="26.25">
      <c r="B2" s="116" t="str">
        <f>+'TOT-0514'!B2</f>
        <v>ANEXO V al Memorándum  D.T.E.E.  N°       34    / 2014.-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="11" customFormat="1" ht="12.75"/>
    <row r="4" spans="1:3" s="118" customFormat="1" ht="11.25">
      <c r="A4" s="680" t="s">
        <v>16</v>
      </c>
      <c r="C4" s="679"/>
    </row>
    <row r="5" spans="1:3" s="118" customFormat="1" ht="11.25">
      <c r="A5" s="680" t="s">
        <v>140</v>
      </c>
      <c r="C5" s="679"/>
    </row>
    <row r="6" s="11" customFormat="1" ht="13.5" thickBot="1"/>
    <row r="7" spans="1:28" s="11" customFormat="1" ht="13.5" thickTop="1">
      <c r="A7" s="9"/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pans="1:28" s="120" customFormat="1" ht="20.25">
      <c r="A8" s="42"/>
      <c r="B8" s="119"/>
      <c r="C8" s="42"/>
      <c r="D8" s="42"/>
      <c r="E8" s="42"/>
      <c r="F8" s="21" t="s">
        <v>41</v>
      </c>
      <c r="G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121"/>
    </row>
    <row r="9" spans="1:28" s="11" customFormat="1" ht="12.75">
      <c r="A9" s="9"/>
      <c r="B9" s="41"/>
      <c r="C9" s="9"/>
      <c r="D9" s="9"/>
      <c r="E9" s="9"/>
      <c r="F9" s="132"/>
      <c r="G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2"/>
    </row>
    <row r="10" spans="1:28" s="120" customFormat="1" ht="20.25">
      <c r="A10" s="42"/>
      <c r="B10" s="119"/>
      <c r="C10" s="42"/>
      <c r="D10" s="42"/>
      <c r="E10" s="42"/>
      <c r="F10" s="21" t="s">
        <v>42</v>
      </c>
      <c r="G10" s="21"/>
      <c r="H10" s="42"/>
      <c r="I10" s="122"/>
      <c r="J10" s="122"/>
      <c r="K10" s="122"/>
      <c r="L10" s="122"/>
      <c r="M10" s="122"/>
      <c r="N10" s="122"/>
      <c r="O10" s="12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121"/>
    </row>
    <row r="11" spans="1:28" s="11" customFormat="1" ht="12.75">
      <c r="A11" s="9"/>
      <c r="B11" s="41"/>
      <c r="C11" s="9"/>
      <c r="D11" s="9"/>
      <c r="E11" s="9"/>
      <c r="F11" s="131"/>
      <c r="G11" s="129"/>
      <c r="H11" s="9"/>
      <c r="I11" s="128"/>
      <c r="J11" s="128"/>
      <c r="K11" s="128"/>
      <c r="L11" s="128"/>
      <c r="M11" s="128"/>
      <c r="N11" s="128"/>
      <c r="O11" s="1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2"/>
    </row>
    <row r="12" spans="1:28" s="120" customFormat="1" ht="20.25">
      <c r="A12" s="42"/>
      <c r="B12" s="119"/>
      <c r="C12" s="42"/>
      <c r="D12" s="42"/>
      <c r="E12" s="42"/>
      <c r="F12" s="21" t="s">
        <v>173</v>
      </c>
      <c r="G12" s="21"/>
      <c r="H12" s="42"/>
      <c r="I12" s="122"/>
      <c r="J12" s="122"/>
      <c r="K12" s="122"/>
      <c r="L12" s="122"/>
      <c r="M12" s="122"/>
      <c r="N12" s="122"/>
      <c r="O12" s="12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121"/>
    </row>
    <row r="13" spans="1:28" s="11" customFormat="1" ht="12.75">
      <c r="A13" s="9"/>
      <c r="B13" s="41"/>
      <c r="C13" s="9"/>
      <c r="D13" s="9"/>
      <c r="E13" s="9"/>
      <c r="F13" s="131"/>
      <c r="G13" s="129"/>
      <c r="H13" s="9"/>
      <c r="I13" s="128"/>
      <c r="J13" s="128"/>
      <c r="K13" s="128"/>
      <c r="L13" s="128"/>
      <c r="M13" s="128"/>
      <c r="N13" s="128"/>
      <c r="O13" s="12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2"/>
    </row>
    <row r="14" spans="1:28" s="127" customFormat="1" ht="19.5">
      <c r="A14" s="44"/>
      <c r="B14" s="95" t="str">
        <f>+'TOT-0514'!B14</f>
        <v>Desde el 01 al 31 de mayo de 2014</v>
      </c>
      <c r="C14" s="123"/>
      <c r="D14" s="123"/>
      <c r="E14" s="123"/>
      <c r="F14" s="123"/>
      <c r="G14" s="124"/>
      <c r="H14" s="124"/>
      <c r="I14" s="125"/>
      <c r="J14" s="125"/>
      <c r="K14" s="125"/>
      <c r="L14" s="125"/>
      <c r="M14" s="125"/>
      <c r="N14" s="125"/>
      <c r="O14" s="125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6"/>
    </row>
    <row r="15" spans="1:28" s="11" customFormat="1" ht="13.5" thickBot="1">
      <c r="A15" s="9"/>
      <c r="B15" s="41"/>
      <c r="C15" s="9"/>
      <c r="D15" s="9"/>
      <c r="E15" s="9"/>
      <c r="F15" s="9"/>
      <c r="G15" s="129"/>
      <c r="H15" s="130"/>
      <c r="I15" s="128"/>
      <c r="J15" s="128"/>
      <c r="K15" s="128"/>
      <c r="L15" s="128"/>
      <c r="M15" s="128"/>
      <c r="N15" s="128"/>
      <c r="O15" s="12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2"/>
    </row>
    <row r="16" spans="1:28" s="101" customFormat="1" ht="16.5" customHeight="1" thickBot="1" thickTop="1">
      <c r="A16" s="97"/>
      <c r="B16" s="98"/>
      <c r="C16" s="97"/>
      <c r="D16" s="97"/>
      <c r="E16" s="97"/>
      <c r="F16" s="474" t="s">
        <v>44</v>
      </c>
      <c r="G16" s="475" t="s">
        <v>167</v>
      </c>
      <c r="H16" s="476"/>
      <c r="I16" s="102"/>
      <c r="J16" s="102"/>
      <c r="K16" s="102"/>
      <c r="L16" s="102"/>
      <c r="M16" s="102"/>
      <c r="N16" s="102"/>
      <c r="O16" s="102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100"/>
    </row>
    <row r="17" spans="1:28" s="101" customFormat="1" ht="16.5" customHeight="1" thickBot="1" thickTop="1">
      <c r="A17" s="97"/>
      <c r="B17" s="98"/>
      <c r="C17" s="97"/>
      <c r="D17" s="97"/>
      <c r="E17" s="97"/>
      <c r="F17" s="474" t="s">
        <v>172</v>
      </c>
      <c r="G17" s="475">
        <v>177.5022</v>
      </c>
      <c r="H17" s="783"/>
      <c r="I17" s="97"/>
      <c r="K17" s="103" t="s">
        <v>46</v>
      </c>
      <c r="L17" s="104">
        <f>30*'TOT-0514'!B13</f>
        <v>30</v>
      </c>
      <c r="M17" s="238" t="str">
        <f>IF(L17=30," ",IF(L17=60,"Coeficiente duplicado por tasa de falla &gt;4 Sal. x año/100 km.","REVISAR COEFICIENTE"))</f>
        <v> </v>
      </c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100"/>
    </row>
    <row r="18" spans="1:28" s="707" customFormat="1" ht="14.25" thickBot="1" thickTop="1">
      <c r="A18" s="703"/>
      <c r="B18" s="704"/>
      <c r="C18" s="705">
        <v>3</v>
      </c>
      <c r="D18" s="705">
        <v>4</v>
      </c>
      <c r="E18" s="705">
        <v>5</v>
      </c>
      <c r="F18" s="705">
        <v>6</v>
      </c>
      <c r="G18" s="705">
        <v>7</v>
      </c>
      <c r="H18" s="705">
        <v>8</v>
      </c>
      <c r="I18" s="705">
        <v>9</v>
      </c>
      <c r="J18" s="705">
        <v>10</v>
      </c>
      <c r="K18" s="705">
        <v>11</v>
      </c>
      <c r="L18" s="705">
        <v>12</v>
      </c>
      <c r="M18" s="705">
        <v>13</v>
      </c>
      <c r="N18" s="705">
        <v>14</v>
      </c>
      <c r="O18" s="705">
        <v>15</v>
      </c>
      <c r="P18" s="705">
        <v>16</v>
      </c>
      <c r="Q18" s="705">
        <v>17</v>
      </c>
      <c r="R18" s="705">
        <v>18</v>
      </c>
      <c r="S18" s="705">
        <v>19</v>
      </c>
      <c r="T18" s="705">
        <v>20</v>
      </c>
      <c r="U18" s="705">
        <v>21</v>
      </c>
      <c r="V18" s="705">
        <v>22</v>
      </c>
      <c r="W18" s="705">
        <v>23</v>
      </c>
      <c r="X18" s="705">
        <v>24</v>
      </c>
      <c r="Y18" s="705">
        <v>25</v>
      </c>
      <c r="Z18" s="705">
        <v>26</v>
      </c>
      <c r="AA18" s="705">
        <v>27</v>
      </c>
      <c r="AB18" s="706"/>
    </row>
    <row r="19" spans="1:28" s="114" customFormat="1" ht="33.75" customHeight="1" thickBot="1" thickTop="1">
      <c r="A19" s="105"/>
      <c r="B19" s="106"/>
      <c r="C19" s="107" t="s">
        <v>47</v>
      </c>
      <c r="D19" s="107" t="s">
        <v>139</v>
      </c>
      <c r="E19" s="107" t="s">
        <v>138</v>
      </c>
      <c r="F19" s="108" t="s">
        <v>19</v>
      </c>
      <c r="G19" s="109" t="s">
        <v>48</v>
      </c>
      <c r="H19" s="110" t="s">
        <v>49</v>
      </c>
      <c r="I19" s="266" t="s">
        <v>50</v>
      </c>
      <c r="J19" s="108" t="s">
        <v>51</v>
      </c>
      <c r="K19" s="108" t="s">
        <v>52</v>
      </c>
      <c r="L19" s="109" t="s">
        <v>53</v>
      </c>
      <c r="M19" s="109" t="s">
        <v>54</v>
      </c>
      <c r="N19" s="111" t="s">
        <v>55</v>
      </c>
      <c r="O19" s="109" t="s">
        <v>56</v>
      </c>
      <c r="P19" s="291" t="s">
        <v>57</v>
      </c>
      <c r="Q19" s="293" t="s">
        <v>58</v>
      </c>
      <c r="R19" s="295" t="s">
        <v>59</v>
      </c>
      <c r="S19" s="296"/>
      <c r="T19" s="297"/>
      <c r="U19" s="302" t="s">
        <v>60</v>
      </c>
      <c r="V19" s="303"/>
      <c r="W19" s="304"/>
      <c r="X19" s="309" t="s">
        <v>61</v>
      </c>
      <c r="Y19" s="311" t="s">
        <v>62</v>
      </c>
      <c r="Z19" s="112" t="s">
        <v>63</v>
      </c>
      <c r="AA19" s="112" t="s">
        <v>64</v>
      </c>
      <c r="AB19" s="113"/>
    </row>
    <row r="20" spans="1:28" ht="16.5" customHeight="1" thickTop="1">
      <c r="A20" s="1"/>
      <c r="B20" s="2"/>
      <c r="C20" s="48"/>
      <c r="D20" s="678"/>
      <c r="E20" s="678"/>
      <c r="F20" s="378"/>
      <c r="G20" s="50"/>
      <c r="H20" s="50"/>
      <c r="I20" s="367"/>
      <c r="J20" s="50"/>
      <c r="K20" s="51"/>
      <c r="L20" s="51"/>
      <c r="M20" s="51"/>
      <c r="N20" s="49"/>
      <c r="O20" s="50"/>
      <c r="P20" s="292"/>
      <c r="Q20" s="294"/>
      <c r="R20" s="298"/>
      <c r="S20" s="299"/>
      <c r="T20" s="300"/>
      <c r="U20" s="305"/>
      <c r="V20" s="306"/>
      <c r="W20" s="307"/>
      <c r="X20" s="310"/>
      <c r="Y20" s="312"/>
      <c r="Z20" s="301"/>
      <c r="AA20" s="379"/>
      <c r="AB20" s="3"/>
    </row>
    <row r="21" spans="1:28" ht="16.5" customHeight="1">
      <c r="A21" s="1"/>
      <c r="B21" s="2"/>
      <c r="C21" s="499"/>
      <c r="D21" s="676"/>
      <c r="E21" s="676"/>
      <c r="F21" s="499"/>
      <c r="G21" s="500"/>
      <c r="H21" s="500"/>
      <c r="I21" s="368"/>
      <c r="J21" s="499"/>
      <c r="K21" s="501"/>
      <c r="L21" s="96"/>
      <c r="M21" s="96"/>
      <c r="N21" s="502"/>
      <c r="O21" s="499"/>
      <c r="P21" s="503"/>
      <c r="Q21" s="504"/>
      <c r="R21" s="505"/>
      <c r="S21" s="506"/>
      <c r="T21" s="507"/>
      <c r="U21" s="508"/>
      <c r="V21" s="509"/>
      <c r="W21" s="510"/>
      <c r="X21" s="511"/>
      <c r="Y21" s="512"/>
      <c r="Z21" s="513"/>
      <c r="AA21" s="96"/>
      <c r="AB21" s="3"/>
    </row>
    <row r="22" spans="1:28" ht="16.5" customHeight="1">
      <c r="A22" s="1"/>
      <c r="B22" s="2"/>
      <c r="C22" s="477">
        <v>5</v>
      </c>
      <c r="D22" s="477">
        <v>275087</v>
      </c>
      <c r="E22" s="477">
        <v>5352</v>
      </c>
      <c r="F22" s="478" t="s">
        <v>174</v>
      </c>
      <c r="G22" s="479">
        <v>220</v>
      </c>
      <c r="H22" s="480">
        <v>128</v>
      </c>
      <c r="I22" s="369">
        <f aca="true" t="shared" si="0" ref="I22:I38">IF(H22&gt;25,H22,25)*IF(G22=330,$G$16,$G$17)/100</f>
        <v>227.20281599999998</v>
      </c>
      <c r="J22" s="485">
        <v>41769.035416666666</v>
      </c>
      <c r="K22" s="485">
        <v>41770.67152777778</v>
      </c>
      <c r="L22" s="14">
        <f aca="true" t="shared" si="1" ref="L22:L38">IF(F22="","",(K22-J22)*24)</f>
        <v>39.266666666662786</v>
      </c>
      <c r="M22" s="15">
        <f aca="true" t="shared" si="2" ref="M22:M38">IF(F22="","",ROUND((K22-J22)*24*60,0))</f>
        <v>2356</v>
      </c>
      <c r="N22" s="486" t="s">
        <v>144</v>
      </c>
      <c r="O22" s="698" t="s">
        <v>146</v>
      </c>
      <c r="P22" s="683">
        <f aca="true" t="shared" si="3" ref="P22:P38">IF(N22="P",ROUND(M22/60,2)*I22*$L$17*0.01,"--")</f>
        <v>2676.676375296</v>
      </c>
      <c r="Q22" s="684" t="str">
        <f aca="true" t="shared" si="4" ref="Q22:Q38">IF(N22="RP",ROUND(M22/60,2)*I22*$L$17*0.01*O22/100,"--")</f>
        <v>--</v>
      </c>
      <c r="R22" s="685" t="str">
        <f aca="true" t="shared" si="5" ref="R22:R38">IF(N22="F",I22*$L$17,"--")</f>
        <v>--</v>
      </c>
      <c r="S22" s="686" t="str">
        <f aca="true" t="shared" si="6" ref="S22:S38">IF(AND(M22&gt;10,N22="F"),I22*$L$17*IF(M22&gt;180,3,ROUND(M22/60,2)),"--")</f>
        <v>--</v>
      </c>
      <c r="T22" s="687" t="str">
        <f aca="true" t="shared" si="7" ref="T22:T38">IF(AND(M22&gt;180,N22="F"),(ROUND(M22/60,2)-3)*I22*$L$17*0.1,"--")</f>
        <v>--</v>
      </c>
      <c r="U22" s="688" t="str">
        <f aca="true" t="shared" si="8" ref="U22:U38">IF(N22="R",I22*$L$17*O22/100,"--")</f>
        <v>--</v>
      </c>
      <c r="V22" s="689" t="str">
        <f aca="true" t="shared" si="9" ref="V22:V38">IF(AND(M22&gt;10,N22="R"),I22*$L$17*O22/100*IF(M22&gt;180,3,ROUND(M22/60,2)),"--")</f>
        <v>--</v>
      </c>
      <c r="W22" s="690" t="str">
        <f aca="true" t="shared" si="10" ref="W22:W38">IF(AND(M22&gt;180,N22="R"),(ROUND(M22/60,2)-3)*O22/100*I22*$L$17*0.1,"--")</f>
        <v>--</v>
      </c>
      <c r="X22" s="691" t="str">
        <f aca="true" t="shared" si="11" ref="X22:X38">IF(N22="RF",ROUND(M22/60,2)*I22*$L$17*0.1,"--")</f>
        <v>--</v>
      </c>
      <c r="Y22" s="692" t="str">
        <f aca="true" t="shared" si="12" ref="Y22:Y38">IF(N22="RR",ROUND(M22/60,2)*O22/100*I22*$L$17*0.1,"--")</f>
        <v>--</v>
      </c>
      <c r="Z22" s="693" t="s">
        <v>145</v>
      </c>
      <c r="AA22" s="52">
        <f aca="true" t="shared" si="13" ref="AA22:AA38">IF(F22="","",SUM(P22:Y22)*IF(Z22="SI",1,2))</f>
        <v>2676.676375296</v>
      </c>
      <c r="AB22" s="3"/>
    </row>
    <row r="23" spans="1:28" ht="16.5" customHeight="1">
      <c r="A23" s="1"/>
      <c r="B23" s="2"/>
      <c r="C23" s="477"/>
      <c r="D23" s="477"/>
      <c r="E23" s="477"/>
      <c r="F23" s="478"/>
      <c r="G23" s="479"/>
      <c r="H23" s="480"/>
      <c r="I23" s="369">
        <f t="shared" si="0"/>
        <v>44.37555</v>
      </c>
      <c r="J23" s="485"/>
      <c r="K23" s="485"/>
      <c r="L23" s="14">
        <f t="shared" si="1"/>
      </c>
      <c r="M23" s="15">
        <f t="shared" si="2"/>
      </c>
      <c r="N23" s="486"/>
      <c r="O23" s="698"/>
      <c r="P23" s="683" t="str">
        <f t="shared" si="3"/>
        <v>--</v>
      </c>
      <c r="Q23" s="684" t="str">
        <f t="shared" si="4"/>
        <v>--</v>
      </c>
      <c r="R23" s="685" t="str">
        <f t="shared" si="5"/>
        <v>--</v>
      </c>
      <c r="S23" s="686" t="str">
        <f t="shared" si="6"/>
        <v>--</v>
      </c>
      <c r="T23" s="687" t="str">
        <f t="shared" si="7"/>
        <v>--</v>
      </c>
      <c r="U23" s="688" t="str">
        <f t="shared" si="8"/>
        <v>--</v>
      </c>
      <c r="V23" s="689" t="str">
        <f t="shared" si="9"/>
        <v>--</v>
      </c>
      <c r="W23" s="690" t="str">
        <f t="shared" si="10"/>
        <v>--</v>
      </c>
      <c r="X23" s="691" t="str">
        <f t="shared" si="11"/>
        <v>--</v>
      </c>
      <c r="Y23" s="692" t="str">
        <f t="shared" si="12"/>
        <v>--</v>
      </c>
      <c r="Z23" s="693"/>
      <c r="AA23" s="52">
        <f t="shared" si="13"/>
      </c>
      <c r="AB23" s="3"/>
    </row>
    <row r="24" spans="1:28" ht="16.5" customHeight="1">
      <c r="A24" s="1"/>
      <c r="B24" s="2"/>
      <c r="C24" s="477"/>
      <c r="D24" s="477"/>
      <c r="E24" s="477"/>
      <c r="F24" s="478"/>
      <c r="G24" s="479"/>
      <c r="H24" s="480"/>
      <c r="I24" s="369">
        <f t="shared" si="0"/>
        <v>44.37555</v>
      </c>
      <c r="J24" s="485"/>
      <c r="K24" s="485"/>
      <c r="L24" s="14">
        <f t="shared" si="1"/>
      </c>
      <c r="M24" s="15">
        <f t="shared" si="2"/>
      </c>
      <c r="N24" s="486"/>
      <c r="O24" s="698"/>
      <c r="P24" s="683" t="str">
        <f t="shared" si="3"/>
        <v>--</v>
      </c>
      <c r="Q24" s="684" t="str">
        <f t="shared" si="4"/>
        <v>--</v>
      </c>
      <c r="R24" s="685" t="str">
        <f t="shared" si="5"/>
        <v>--</v>
      </c>
      <c r="S24" s="686" t="str">
        <f t="shared" si="6"/>
        <v>--</v>
      </c>
      <c r="T24" s="687" t="str">
        <f t="shared" si="7"/>
        <v>--</v>
      </c>
      <c r="U24" s="688" t="str">
        <f t="shared" si="8"/>
        <v>--</v>
      </c>
      <c r="V24" s="689" t="str">
        <f t="shared" si="9"/>
        <v>--</v>
      </c>
      <c r="W24" s="690" t="str">
        <f t="shared" si="10"/>
        <v>--</v>
      </c>
      <c r="X24" s="691" t="str">
        <f t="shared" si="11"/>
        <v>--</v>
      </c>
      <c r="Y24" s="692" t="str">
        <f t="shared" si="12"/>
        <v>--</v>
      </c>
      <c r="Z24" s="693"/>
      <c r="AA24" s="52">
        <f t="shared" si="13"/>
      </c>
      <c r="AB24" s="3"/>
    </row>
    <row r="25" spans="1:28" ht="16.5" customHeight="1">
      <c r="A25" s="1"/>
      <c r="B25" s="2"/>
      <c r="C25" s="477"/>
      <c r="D25" s="477"/>
      <c r="E25" s="477"/>
      <c r="F25" s="478"/>
      <c r="G25" s="479"/>
      <c r="H25" s="480"/>
      <c r="I25" s="369">
        <f t="shared" si="0"/>
        <v>44.37555</v>
      </c>
      <c r="J25" s="485"/>
      <c r="K25" s="485"/>
      <c r="L25" s="14">
        <f t="shared" si="1"/>
      </c>
      <c r="M25" s="15">
        <f t="shared" si="2"/>
      </c>
      <c r="N25" s="486"/>
      <c r="O25" s="698"/>
      <c r="P25" s="683" t="str">
        <f t="shared" si="3"/>
        <v>--</v>
      </c>
      <c r="Q25" s="684" t="str">
        <f t="shared" si="4"/>
        <v>--</v>
      </c>
      <c r="R25" s="685" t="str">
        <f t="shared" si="5"/>
        <v>--</v>
      </c>
      <c r="S25" s="686" t="str">
        <f t="shared" si="6"/>
        <v>--</v>
      </c>
      <c r="T25" s="687" t="str">
        <f t="shared" si="7"/>
        <v>--</v>
      </c>
      <c r="U25" s="688" t="str">
        <f t="shared" si="8"/>
        <v>--</v>
      </c>
      <c r="V25" s="689" t="str">
        <f t="shared" si="9"/>
        <v>--</v>
      </c>
      <c r="W25" s="690" t="str">
        <f t="shared" si="10"/>
        <v>--</v>
      </c>
      <c r="X25" s="691" t="str">
        <f t="shared" si="11"/>
        <v>--</v>
      </c>
      <c r="Y25" s="692" t="str">
        <f t="shared" si="12"/>
        <v>--</v>
      </c>
      <c r="Z25" s="693"/>
      <c r="AA25" s="52">
        <f t="shared" si="13"/>
      </c>
      <c r="AB25" s="3"/>
    </row>
    <row r="26" spans="1:28" ht="16.5" customHeight="1">
      <c r="A26" s="1"/>
      <c r="B26" s="2"/>
      <c r="C26" s="477"/>
      <c r="D26" s="477"/>
      <c r="E26" s="477"/>
      <c r="F26" s="478"/>
      <c r="G26" s="479"/>
      <c r="H26" s="480"/>
      <c r="I26" s="369">
        <f t="shared" si="0"/>
        <v>44.37555</v>
      </c>
      <c r="J26" s="485"/>
      <c r="K26" s="485"/>
      <c r="L26" s="14">
        <f t="shared" si="1"/>
      </c>
      <c r="M26" s="15">
        <f t="shared" si="2"/>
      </c>
      <c r="N26" s="486"/>
      <c r="O26" s="682">
        <f aca="true" t="shared" si="14" ref="O26:O38">IF(F26="","","--")</f>
      </c>
      <c r="P26" s="683" t="str">
        <f t="shared" si="3"/>
        <v>--</v>
      </c>
      <c r="Q26" s="684" t="str">
        <f t="shared" si="4"/>
        <v>--</v>
      </c>
      <c r="R26" s="685" t="str">
        <f t="shared" si="5"/>
        <v>--</v>
      </c>
      <c r="S26" s="686" t="str">
        <f t="shared" si="6"/>
        <v>--</v>
      </c>
      <c r="T26" s="687" t="str">
        <f t="shared" si="7"/>
        <v>--</v>
      </c>
      <c r="U26" s="688" t="str">
        <f t="shared" si="8"/>
        <v>--</v>
      </c>
      <c r="V26" s="689" t="str">
        <f t="shared" si="9"/>
        <v>--</v>
      </c>
      <c r="W26" s="690" t="str">
        <f t="shared" si="10"/>
        <v>--</v>
      </c>
      <c r="X26" s="691" t="str">
        <f t="shared" si="11"/>
        <v>--</v>
      </c>
      <c r="Y26" s="692" t="str">
        <f t="shared" si="12"/>
        <v>--</v>
      </c>
      <c r="Z26" s="693">
        <f aca="true" t="shared" si="15" ref="Z26:Z38">IF(F26="","","SI")</f>
      </c>
      <c r="AA26" s="52">
        <f t="shared" si="13"/>
      </c>
      <c r="AB26" s="3"/>
    </row>
    <row r="27" spans="1:28" ht="16.5" customHeight="1">
      <c r="A27" s="1"/>
      <c r="B27" s="2"/>
      <c r="C27" s="477"/>
      <c r="D27" s="477"/>
      <c r="E27" s="477"/>
      <c r="F27" s="478"/>
      <c r="G27" s="479"/>
      <c r="H27" s="480"/>
      <c r="I27" s="369">
        <f t="shared" si="0"/>
        <v>44.37555</v>
      </c>
      <c r="J27" s="485"/>
      <c r="K27" s="485"/>
      <c r="L27" s="14">
        <f t="shared" si="1"/>
      </c>
      <c r="M27" s="15">
        <f t="shared" si="2"/>
      </c>
      <c r="N27" s="486"/>
      <c r="O27" s="682">
        <f t="shared" si="14"/>
      </c>
      <c r="P27" s="683" t="str">
        <f t="shared" si="3"/>
        <v>--</v>
      </c>
      <c r="Q27" s="684" t="str">
        <f t="shared" si="4"/>
        <v>--</v>
      </c>
      <c r="R27" s="685" t="str">
        <f t="shared" si="5"/>
        <v>--</v>
      </c>
      <c r="S27" s="686" t="str">
        <f t="shared" si="6"/>
        <v>--</v>
      </c>
      <c r="T27" s="687" t="str">
        <f t="shared" si="7"/>
        <v>--</v>
      </c>
      <c r="U27" s="688" t="str">
        <f t="shared" si="8"/>
        <v>--</v>
      </c>
      <c r="V27" s="689" t="str">
        <f t="shared" si="9"/>
        <v>--</v>
      </c>
      <c r="W27" s="690" t="str">
        <f t="shared" si="10"/>
        <v>--</v>
      </c>
      <c r="X27" s="691" t="str">
        <f t="shared" si="11"/>
        <v>--</v>
      </c>
      <c r="Y27" s="692" t="str">
        <f t="shared" si="12"/>
        <v>--</v>
      </c>
      <c r="Z27" s="693">
        <f t="shared" si="15"/>
      </c>
      <c r="AA27" s="52">
        <f t="shared" si="13"/>
      </c>
      <c r="AB27" s="3"/>
    </row>
    <row r="28" spans="1:28" ht="16.5" customHeight="1">
      <c r="A28" s="1"/>
      <c r="B28" s="2"/>
      <c r="C28" s="477"/>
      <c r="D28" s="477"/>
      <c r="E28" s="477"/>
      <c r="F28" s="478"/>
      <c r="G28" s="479"/>
      <c r="H28" s="480"/>
      <c r="I28" s="369">
        <f t="shared" si="0"/>
        <v>44.37555</v>
      </c>
      <c r="J28" s="485"/>
      <c r="K28" s="485"/>
      <c r="L28" s="14">
        <f t="shared" si="1"/>
      </c>
      <c r="M28" s="15">
        <f t="shared" si="2"/>
      </c>
      <c r="N28" s="486"/>
      <c r="O28" s="682">
        <f t="shared" si="14"/>
      </c>
      <c r="P28" s="683" t="str">
        <f t="shared" si="3"/>
        <v>--</v>
      </c>
      <c r="Q28" s="684" t="str">
        <f t="shared" si="4"/>
        <v>--</v>
      </c>
      <c r="R28" s="685" t="str">
        <f t="shared" si="5"/>
        <v>--</v>
      </c>
      <c r="S28" s="686" t="str">
        <f t="shared" si="6"/>
        <v>--</v>
      </c>
      <c r="T28" s="687" t="str">
        <f t="shared" si="7"/>
        <v>--</v>
      </c>
      <c r="U28" s="688" t="str">
        <f t="shared" si="8"/>
        <v>--</v>
      </c>
      <c r="V28" s="689" t="str">
        <f t="shared" si="9"/>
        <v>--</v>
      </c>
      <c r="W28" s="690" t="str">
        <f t="shared" si="10"/>
        <v>--</v>
      </c>
      <c r="X28" s="691" t="str">
        <f t="shared" si="11"/>
        <v>--</v>
      </c>
      <c r="Y28" s="692" t="str">
        <f t="shared" si="12"/>
        <v>--</v>
      </c>
      <c r="Z28" s="693">
        <f t="shared" si="15"/>
      </c>
      <c r="AA28" s="52">
        <f t="shared" si="13"/>
      </c>
      <c r="AB28" s="3"/>
    </row>
    <row r="29" spans="1:28" ht="16.5" customHeight="1">
      <c r="A29" s="1"/>
      <c r="B29" s="2"/>
      <c r="C29" s="477"/>
      <c r="D29" s="477"/>
      <c r="E29" s="477"/>
      <c r="F29" s="478"/>
      <c r="G29" s="479"/>
      <c r="H29" s="480"/>
      <c r="I29" s="369">
        <f t="shared" si="0"/>
        <v>44.37555</v>
      </c>
      <c r="J29" s="485"/>
      <c r="K29" s="485"/>
      <c r="L29" s="14">
        <f t="shared" si="1"/>
      </c>
      <c r="M29" s="15">
        <f t="shared" si="2"/>
      </c>
      <c r="N29" s="486"/>
      <c r="O29" s="682">
        <f t="shared" si="14"/>
      </c>
      <c r="P29" s="683" t="str">
        <f t="shared" si="3"/>
        <v>--</v>
      </c>
      <c r="Q29" s="684" t="str">
        <f t="shared" si="4"/>
        <v>--</v>
      </c>
      <c r="R29" s="685" t="str">
        <f t="shared" si="5"/>
        <v>--</v>
      </c>
      <c r="S29" s="686" t="str">
        <f t="shared" si="6"/>
        <v>--</v>
      </c>
      <c r="T29" s="687" t="str">
        <f t="shared" si="7"/>
        <v>--</v>
      </c>
      <c r="U29" s="688" t="str">
        <f t="shared" si="8"/>
        <v>--</v>
      </c>
      <c r="V29" s="689" t="str">
        <f t="shared" si="9"/>
        <v>--</v>
      </c>
      <c r="W29" s="690" t="str">
        <f t="shared" si="10"/>
        <v>--</v>
      </c>
      <c r="X29" s="691" t="str">
        <f t="shared" si="11"/>
        <v>--</v>
      </c>
      <c r="Y29" s="692" t="str">
        <f t="shared" si="12"/>
        <v>--</v>
      </c>
      <c r="Z29" s="693">
        <f t="shared" si="15"/>
      </c>
      <c r="AA29" s="52">
        <f t="shared" si="13"/>
      </c>
      <c r="AB29" s="3"/>
    </row>
    <row r="30" spans="1:28" ht="16.5" customHeight="1">
      <c r="A30" s="1"/>
      <c r="B30" s="2"/>
      <c r="C30" s="477"/>
      <c r="D30" s="477"/>
      <c r="E30" s="477"/>
      <c r="F30" s="478"/>
      <c r="G30" s="479"/>
      <c r="H30" s="480"/>
      <c r="I30" s="369"/>
      <c r="J30" s="485"/>
      <c r="K30" s="485"/>
      <c r="L30" s="14"/>
      <c r="M30" s="15"/>
      <c r="N30" s="486"/>
      <c r="O30" s="682"/>
      <c r="P30" s="683"/>
      <c r="Q30" s="684"/>
      <c r="R30" s="685"/>
      <c r="S30" s="686"/>
      <c r="T30" s="687"/>
      <c r="U30" s="688"/>
      <c r="V30" s="689"/>
      <c r="W30" s="690"/>
      <c r="X30" s="691"/>
      <c r="Y30" s="692"/>
      <c r="Z30" s="693"/>
      <c r="AA30" s="52"/>
      <c r="AB30" s="3"/>
    </row>
    <row r="31" spans="1:28" ht="16.5" customHeight="1">
      <c r="A31" s="1"/>
      <c r="B31" s="2"/>
      <c r="C31" s="477"/>
      <c r="D31" s="477"/>
      <c r="E31" s="477"/>
      <c r="F31" s="478"/>
      <c r="G31" s="479"/>
      <c r="H31" s="480"/>
      <c r="I31" s="369"/>
      <c r="J31" s="485"/>
      <c r="K31" s="485"/>
      <c r="L31" s="14"/>
      <c r="M31" s="15"/>
      <c r="N31" s="486"/>
      <c r="O31" s="682"/>
      <c r="P31" s="683"/>
      <c r="Q31" s="684"/>
      <c r="R31" s="685"/>
      <c r="S31" s="686"/>
      <c r="T31" s="687"/>
      <c r="U31" s="688"/>
      <c r="V31" s="689"/>
      <c r="W31" s="690"/>
      <c r="X31" s="691"/>
      <c r="Y31" s="692"/>
      <c r="Z31" s="693"/>
      <c r="AA31" s="52"/>
      <c r="AB31" s="3"/>
    </row>
    <row r="32" spans="1:28" ht="16.5" customHeight="1">
      <c r="A32" s="1"/>
      <c r="B32" s="2"/>
      <c r="C32" s="477"/>
      <c r="D32" s="477"/>
      <c r="E32" s="477"/>
      <c r="F32" s="478"/>
      <c r="G32" s="479"/>
      <c r="H32" s="480"/>
      <c r="I32" s="369"/>
      <c r="J32" s="485"/>
      <c r="K32" s="485"/>
      <c r="L32" s="14"/>
      <c r="M32" s="15"/>
      <c r="N32" s="486"/>
      <c r="O32" s="682"/>
      <c r="P32" s="683"/>
      <c r="Q32" s="684"/>
      <c r="R32" s="685"/>
      <c r="S32" s="686"/>
      <c r="T32" s="687"/>
      <c r="U32" s="688"/>
      <c r="V32" s="689"/>
      <c r="W32" s="690"/>
      <c r="X32" s="691"/>
      <c r="Y32" s="692"/>
      <c r="Z32" s="693"/>
      <c r="AA32" s="52"/>
      <c r="AB32" s="3"/>
    </row>
    <row r="33" spans="1:28" ht="16.5" customHeight="1">
      <c r="A33" s="1"/>
      <c r="B33" s="2"/>
      <c r="C33" s="477"/>
      <c r="D33" s="477"/>
      <c r="E33" s="477"/>
      <c r="F33" s="478"/>
      <c r="G33" s="479"/>
      <c r="H33" s="480"/>
      <c r="I33" s="369">
        <f t="shared" si="0"/>
        <v>44.37555</v>
      </c>
      <c r="J33" s="485"/>
      <c r="K33" s="485"/>
      <c r="L33" s="14">
        <f t="shared" si="1"/>
      </c>
      <c r="M33" s="15">
        <f t="shared" si="2"/>
      </c>
      <c r="N33" s="486"/>
      <c r="O33" s="682">
        <f t="shared" si="14"/>
      </c>
      <c r="P33" s="683" t="str">
        <f t="shared" si="3"/>
        <v>--</v>
      </c>
      <c r="Q33" s="684" t="str">
        <f t="shared" si="4"/>
        <v>--</v>
      </c>
      <c r="R33" s="685" t="str">
        <f t="shared" si="5"/>
        <v>--</v>
      </c>
      <c r="S33" s="686" t="str">
        <f t="shared" si="6"/>
        <v>--</v>
      </c>
      <c r="T33" s="687" t="str">
        <f t="shared" si="7"/>
        <v>--</v>
      </c>
      <c r="U33" s="688" t="str">
        <f t="shared" si="8"/>
        <v>--</v>
      </c>
      <c r="V33" s="689" t="str">
        <f t="shared" si="9"/>
        <v>--</v>
      </c>
      <c r="W33" s="690" t="str">
        <f t="shared" si="10"/>
        <v>--</v>
      </c>
      <c r="X33" s="691" t="str">
        <f t="shared" si="11"/>
        <v>--</v>
      </c>
      <c r="Y33" s="692" t="str">
        <f t="shared" si="12"/>
        <v>--</v>
      </c>
      <c r="Z33" s="693">
        <f t="shared" si="15"/>
      </c>
      <c r="AA33" s="52">
        <f t="shared" si="13"/>
      </c>
      <c r="AB33" s="3"/>
    </row>
    <row r="34" spans="1:28" ht="16.5" customHeight="1">
      <c r="A34" s="1"/>
      <c r="B34" s="2"/>
      <c r="C34" s="477"/>
      <c r="D34" s="477"/>
      <c r="E34" s="477"/>
      <c r="F34" s="478"/>
      <c r="G34" s="479"/>
      <c r="H34" s="480"/>
      <c r="I34" s="369">
        <f t="shared" si="0"/>
        <v>44.37555</v>
      </c>
      <c r="J34" s="485"/>
      <c r="K34" s="485"/>
      <c r="L34" s="14">
        <f t="shared" si="1"/>
      </c>
      <c r="M34" s="15">
        <f t="shared" si="2"/>
      </c>
      <c r="N34" s="486"/>
      <c r="O34" s="682">
        <f t="shared" si="14"/>
      </c>
      <c r="P34" s="683" t="str">
        <f t="shared" si="3"/>
        <v>--</v>
      </c>
      <c r="Q34" s="684" t="str">
        <f t="shared" si="4"/>
        <v>--</v>
      </c>
      <c r="R34" s="685" t="str">
        <f t="shared" si="5"/>
        <v>--</v>
      </c>
      <c r="S34" s="686" t="str">
        <f t="shared" si="6"/>
        <v>--</v>
      </c>
      <c r="T34" s="687" t="str">
        <f t="shared" si="7"/>
        <v>--</v>
      </c>
      <c r="U34" s="688" t="str">
        <f t="shared" si="8"/>
        <v>--</v>
      </c>
      <c r="V34" s="689" t="str">
        <f t="shared" si="9"/>
        <v>--</v>
      </c>
      <c r="W34" s="690" t="str">
        <f t="shared" si="10"/>
        <v>--</v>
      </c>
      <c r="X34" s="691" t="str">
        <f t="shared" si="11"/>
        <v>--</v>
      </c>
      <c r="Y34" s="692" t="str">
        <f t="shared" si="12"/>
        <v>--</v>
      </c>
      <c r="Z34" s="693">
        <f t="shared" si="15"/>
      </c>
      <c r="AA34" s="52">
        <f t="shared" si="13"/>
      </c>
      <c r="AB34" s="3"/>
    </row>
    <row r="35" spans="1:28" ht="16.5" customHeight="1">
      <c r="A35" s="1"/>
      <c r="B35" s="2"/>
      <c r="C35" s="477"/>
      <c r="D35" s="477"/>
      <c r="E35" s="477"/>
      <c r="F35" s="478"/>
      <c r="G35" s="479"/>
      <c r="H35" s="480"/>
      <c r="I35" s="369">
        <f t="shared" si="0"/>
        <v>44.37555</v>
      </c>
      <c r="J35" s="485"/>
      <c r="K35" s="485"/>
      <c r="L35" s="14">
        <f t="shared" si="1"/>
      </c>
      <c r="M35" s="15">
        <f t="shared" si="2"/>
      </c>
      <c r="N35" s="486"/>
      <c r="O35" s="682">
        <f t="shared" si="14"/>
      </c>
      <c r="P35" s="683" t="str">
        <f t="shared" si="3"/>
        <v>--</v>
      </c>
      <c r="Q35" s="684" t="str">
        <f t="shared" si="4"/>
        <v>--</v>
      </c>
      <c r="R35" s="685" t="str">
        <f t="shared" si="5"/>
        <v>--</v>
      </c>
      <c r="S35" s="686" t="str">
        <f t="shared" si="6"/>
        <v>--</v>
      </c>
      <c r="T35" s="687" t="str">
        <f t="shared" si="7"/>
        <v>--</v>
      </c>
      <c r="U35" s="688" t="str">
        <f t="shared" si="8"/>
        <v>--</v>
      </c>
      <c r="V35" s="689" t="str">
        <f t="shared" si="9"/>
        <v>--</v>
      </c>
      <c r="W35" s="690" t="str">
        <f t="shared" si="10"/>
        <v>--</v>
      </c>
      <c r="X35" s="691" t="str">
        <f t="shared" si="11"/>
        <v>--</v>
      </c>
      <c r="Y35" s="692" t="str">
        <f t="shared" si="12"/>
        <v>--</v>
      </c>
      <c r="Z35" s="693">
        <f t="shared" si="15"/>
      </c>
      <c r="AA35" s="52">
        <f t="shared" si="13"/>
      </c>
      <c r="AB35" s="3"/>
    </row>
    <row r="36" spans="1:28" ht="16.5" customHeight="1">
      <c r="A36" s="1"/>
      <c r="B36" s="2"/>
      <c r="C36" s="477"/>
      <c r="D36" s="477"/>
      <c r="E36" s="477"/>
      <c r="F36" s="478"/>
      <c r="G36" s="479"/>
      <c r="H36" s="480"/>
      <c r="I36" s="369">
        <f t="shared" si="0"/>
        <v>44.37555</v>
      </c>
      <c r="J36" s="485"/>
      <c r="K36" s="485"/>
      <c r="L36" s="14">
        <f t="shared" si="1"/>
      </c>
      <c r="M36" s="15">
        <f t="shared" si="2"/>
      </c>
      <c r="N36" s="486"/>
      <c r="O36" s="682">
        <f t="shared" si="14"/>
      </c>
      <c r="P36" s="683" t="str">
        <f t="shared" si="3"/>
        <v>--</v>
      </c>
      <c r="Q36" s="684" t="str">
        <f t="shared" si="4"/>
        <v>--</v>
      </c>
      <c r="R36" s="685" t="str">
        <f t="shared" si="5"/>
        <v>--</v>
      </c>
      <c r="S36" s="686" t="str">
        <f t="shared" si="6"/>
        <v>--</v>
      </c>
      <c r="T36" s="687" t="str">
        <f t="shared" si="7"/>
        <v>--</v>
      </c>
      <c r="U36" s="688" t="str">
        <f t="shared" si="8"/>
        <v>--</v>
      </c>
      <c r="V36" s="689" t="str">
        <f t="shared" si="9"/>
        <v>--</v>
      </c>
      <c r="W36" s="690" t="str">
        <f t="shared" si="10"/>
        <v>--</v>
      </c>
      <c r="X36" s="691" t="str">
        <f t="shared" si="11"/>
        <v>--</v>
      </c>
      <c r="Y36" s="692" t="str">
        <f t="shared" si="12"/>
        <v>--</v>
      </c>
      <c r="Z36" s="693">
        <f t="shared" si="15"/>
      </c>
      <c r="AA36" s="52">
        <f t="shared" si="13"/>
      </c>
      <c r="AB36" s="3"/>
    </row>
    <row r="37" spans="1:28" ht="16.5" customHeight="1">
      <c r="A37" s="1"/>
      <c r="B37" s="2"/>
      <c r="C37" s="477"/>
      <c r="D37" s="477"/>
      <c r="E37" s="477"/>
      <c r="F37" s="478"/>
      <c r="G37" s="479"/>
      <c r="H37" s="480"/>
      <c r="I37" s="369">
        <f t="shared" si="0"/>
        <v>44.37555</v>
      </c>
      <c r="J37" s="485"/>
      <c r="K37" s="485"/>
      <c r="L37" s="14">
        <f t="shared" si="1"/>
      </c>
      <c r="M37" s="15">
        <f t="shared" si="2"/>
      </c>
      <c r="N37" s="486"/>
      <c r="O37" s="682">
        <f t="shared" si="14"/>
      </c>
      <c r="P37" s="683" t="str">
        <f t="shared" si="3"/>
        <v>--</v>
      </c>
      <c r="Q37" s="684" t="str">
        <f t="shared" si="4"/>
        <v>--</v>
      </c>
      <c r="R37" s="685" t="str">
        <f t="shared" si="5"/>
        <v>--</v>
      </c>
      <c r="S37" s="686" t="str">
        <f t="shared" si="6"/>
        <v>--</v>
      </c>
      <c r="T37" s="687" t="str">
        <f t="shared" si="7"/>
        <v>--</v>
      </c>
      <c r="U37" s="688" t="str">
        <f t="shared" si="8"/>
        <v>--</v>
      </c>
      <c r="V37" s="689" t="str">
        <f t="shared" si="9"/>
        <v>--</v>
      </c>
      <c r="W37" s="690" t="str">
        <f t="shared" si="10"/>
        <v>--</v>
      </c>
      <c r="X37" s="691" t="str">
        <f t="shared" si="11"/>
        <v>--</v>
      </c>
      <c r="Y37" s="692" t="str">
        <f t="shared" si="12"/>
        <v>--</v>
      </c>
      <c r="Z37" s="693">
        <f t="shared" si="15"/>
      </c>
      <c r="AA37" s="52">
        <f t="shared" si="13"/>
      </c>
      <c r="AB37" s="3"/>
    </row>
    <row r="38" spans="2:28" ht="16.5" customHeight="1">
      <c r="B38" s="53"/>
      <c r="C38" s="477"/>
      <c r="D38" s="477"/>
      <c r="E38" s="477"/>
      <c r="F38" s="478"/>
      <c r="G38" s="479"/>
      <c r="H38" s="480"/>
      <c r="I38" s="369">
        <f t="shared" si="0"/>
        <v>44.37555</v>
      </c>
      <c r="J38" s="485"/>
      <c r="K38" s="485"/>
      <c r="L38" s="14">
        <f t="shared" si="1"/>
      </c>
      <c r="M38" s="15">
        <f t="shared" si="2"/>
      </c>
      <c r="N38" s="486"/>
      <c r="O38" s="682">
        <f t="shared" si="14"/>
      </c>
      <c r="P38" s="683" t="str">
        <f t="shared" si="3"/>
        <v>--</v>
      </c>
      <c r="Q38" s="684" t="str">
        <f t="shared" si="4"/>
        <v>--</v>
      </c>
      <c r="R38" s="685" t="str">
        <f t="shared" si="5"/>
        <v>--</v>
      </c>
      <c r="S38" s="686" t="str">
        <f t="shared" si="6"/>
        <v>--</v>
      </c>
      <c r="T38" s="687" t="str">
        <f t="shared" si="7"/>
        <v>--</v>
      </c>
      <c r="U38" s="688" t="str">
        <f t="shared" si="8"/>
        <v>--</v>
      </c>
      <c r="V38" s="689" t="str">
        <f t="shared" si="9"/>
        <v>--</v>
      </c>
      <c r="W38" s="690" t="str">
        <f t="shared" si="10"/>
        <v>--</v>
      </c>
      <c r="X38" s="691" t="str">
        <f t="shared" si="11"/>
        <v>--</v>
      </c>
      <c r="Y38" s="692" t="str">
        <f t="shared" si="12"/>
        <v>--</v>
      </c>
      <c r="Z38" s="693">
        <f t="shared" si="15"/>
      </c>
      <c r="AA38" s="52">
        <f t="shared" si="13"/>
      </c>
      <c r="AB38" s="3"/>
    </row>
    <row r="39" spans="2:28" ht="16.5" customHeight="1">
      <c r="B39" s="53"/>
      <c r="C39" s="477"/>
      <c r="D39" s="477"/>
      <c r="E39" s="477"/>
      <c r="F39" s="478"/>
      <c r="G39" s="479"/>
      <c r="H39" s="480"/>
      <c r="I39" s="369">
        <f>IF(H39&gt;25,H39,25)*IF(G39=330,$G$16,$G$17)/100</f>
        <v>44.37555</v>
      </c>
      <c r="J39" s="485"/>
      <c r="K39" s="485"/>
      <c r="L39" s="14">
        <f>IF(F39="","",(K39-J39)*24)</f>
      </c>
      <c r="M39" s="15">
        <f>IF(F39="","",ROUND((K39-J39)*24*60,0))</f>
      </c>
      <c r="N39" s="486"/>
      <c r="O39" s="682">
        <f>IF(F39="","","--")</f>
      </c>
      <c r="P39" s="683" t="str">
        <f>IF(N39="P",ROUND(M39/60,2)*I39*$L$17*0.01,"--")</f>
        <v>--</v>
      </c>
      <c r="Q39" s="684" t="str">
        <f>IF(N39="RP",ROUND(M39/60,2)*I39*$L$17*0.01*O39/100,"--")</f>
        <v>--</v>
      </c>
      <c r="R39" s="685" t="str">
        <f>IF(N39="F",I39*$L$17,"--")</f>
        <v>--</v>
      </c>
      <c r="S39" s="686" t="str">
        <f>IF(AND(M39&gt;10,N39="F"),I39*$L$17*IF(M39&gt;180,3,ROUND(M39/60,2)),"--")</f>
        <v>--</v>
      </c>
      <c r="T39" s="687" t="str">
        <f>IF(AND(M39&gt;180,N39="F"),(ROUND(M39/60,2)-3)*I39*$L$17*0.1,"--")</f>
        <v>--</v>
      </c>
      <c r="U39" s="688" t="str">
        <f>IF(N39="R",I39*$L$17*O39/100,"--")</f>
        <v>--</v>
      </c>
      <c r="V39" s="689" t="str">
        <f>IF(AND(M39&gt;10,N39="R"),I39*$L$17*O39/100*IF(M39&gt;180,3,ROUND(M39/60,2)),"--")</f>
        <v>--</v>
      </c>
      <c r="W39" s="690" t="str">
        <f>IF(AND(M39&gt;180,N39="R"),(ROUND(M39/60,2)-3)*O39/100*I39*$L$17*0.1,"--")</f>
        <v>--</v>
      </c>
      <c r="X39" s="691" t="str">
        <f>IF(N39="RF",ROUND(M39/60,2)*I39*$L$17*0.1,"--")</f>
        <v>--</v>
      </c>
      <c r="Y39" s="692" t="str">
        <f>IF(N39="RR",ROUND(M39/60,2)*O39/100*I39*$L$17*0.1,"--")</f>
        <v>--</v>
      </c>
      <c r="Z39" s="693">
        <f>IF(F39="","","SI")</f>
      </c>
      <c r="AA39" s="52">
        <f>IF(F39="","",SUM(P39:Y39)*IF(Z39="SI",1,2))</f>
      </c>
      <c r="AB39" s="3"/>
    </row>
    <row r="40" spans="2:28" ht="16.5" customHeight="1">
      <c r="B40" s="53"/>
      <c r="C40" s="477"/>
      <c r="D40" s="477"/>
      <c r="E40" s="477"/>
      <c r="F40" s="478"/>
      <c r="G40" s="479"/>
      <c r="H40" s="480"/>
      <c r="I40" s="369">
        <f>IF(H40&gt;25,H40,25)*IF(G40=330,$G$16,$G$17)/100</f>
        <v>44.37555</v>
      </c>
      <c r="J40" s="485"/>
      <c r="K40" s="485"/>
      <c r="L40" s="14">
        <f>IF(F40="","",(K40-J40)*24)</f>
      </c>
      <c r="M40" s="15">
        <f>IF(F40="","",ROUND((K40-J40)*24*60,0))</f>
      </c>
      <c r="N40" s="486"/>
      <c r="O40" s="682">
        <f>IF(F40="","","--")</f>
      </c>
      <c r="P40" s="683" t="str">
        <f>IF(N40="P",ROUND(M40/60,2)*I40*$L$17*0.01,"--")</f>
        <v>--</v>
      </c>
      <c r="Q40" s="684" t="str">
        <f>IF(N40="RP",ROUND(M40/60,2)*I40*$L$17*0.01*O40/100,"--")</f>
        <v>--</v>
      </c>
      <c r="R40" s="685" t="str">
        <f>IF(N40="F",I40*$L$17,"--")</f>
        <v>--</v>
      </c>
      <c r="S40" s="686" t="str">
        <f>IF(AND(M40&gt;10,N40="F"),I40*$L$17*IF(M40&gt;180,3,ROUND(M40/60,2)),"--")</f>
        <v>--</v>
      </c>
      <c r="T40" s="687" t="str">
        <f>IF(AND(M40&gt;180,N40="F"),(ROUND(M40/60,2)-3)*I40*$L$17*0.1,"--")</f>
        <v>--</v>
      </c>
      <c r="U40" s="688" t="str">
        <f>IF(N40="R",I40*$L$17*O40/100,"--")</f>
        <v>--</v>
      </c>
      <c r="V40" s="689" t="str">
        <f>IF(AND(M40&gt;10,N40="R"),I40*$L$17*O40/100*IF(M40&gt;180,3,ROUND(M40/60,2)),"--")</f>
        <v>--</v>
      </c>
      <c r="W40" s="690" t="str">
        <f>IF(AND(M40&gt;180,N40="R"),(ROUND(M40/60,2)-3)*O40/100*I40*$L$17*0.1,"--")</f>
        <v>--</v>
      </c>
      <c r="X40" s="691" t="str">
        <f>IF(N40="RF",ROUND(M40/60,2)*I40*$L$17*0.1,"--")</f>
        <v>--</v>
      </c>
      <c r="Y40" s="692" t="str">
        <f>IF(N40="RR",ROUND(M40/60,2)*O40/100*I40*$L$17*0.1,"--")</f>
        <v>--</v>
      </c>
      <c r="Z40" s="693">
        <f>IF(F40="","","SI")</f>
      </c>
      <c r="AA40" s="52">
        <f>IF(F40="","",SUM(P40:Y40)*IF(Z40="SI",1,2))</f>
      </c>
      <c r="AB40" s="3"/>
    </row>
    <row r="41" spans="2:28" ht="16.5" customHeight="1">
      <c r="B41" s="53"/>
      <c r="C41" s="477"/>
      <c r="D41" s="477"/>
      <c r="E41" s="477"/>
      <c r="F41" s="478"/>
      <c r="G41" s="479"/>
      <c r="H41" s="480"/>
      <c r="I41" s="369">
        <f>IF(H41&gt;25,H41,25)*IF(G41=330,$G$16,$G$17)/100</f>
        <v>44.37555</v>
      </c>
      <c r="J41" s="485"/>
      <c r="K41" s="485"/>
      <c r="L41" s="14">
        <f>IF(F41="","",(K41-J41)*24)</f>
      </c>
      <c r="M41" s="15">
        <f>IF(F41="","",ROUND((K41-J41)*24*60,0))</f>
      </c>
      <c r="N41" s="486"/>
      <c r="O41" s="682">
        <f>IF(F41="","","--")</f>
      </c>
      <c r="P41" s="683" t="str">
        <f>IF(N41="P",ROUND(M41/60,2)*I41*$L$17*0.01,"--")</f>
        <v>--</v>
      </c>
      <c r="Q41" s="684" t="str">
        <f>IF(N41="RP",ROUND(M41/60,2)*I41*$L$17*0.01*O41/100,"--")</f>
        <v>--</v>
      </c>
      <c r="R41" s="685" t="str">
        <f>IF(N41="F",I41*$L$17,"--")</f>
        <v>--</v>
      </c>
      <c r="S41" s="686" t="str">
        <f>IF(AND(M41&gt;10,N41="F"),I41*$L$17*IF(M41&gt;180,3,ROUND(M41/60,2)),"--")</f>
        <v>--</v>
      </c>
      <c r="T41" s="687" t="str">
        <f>IF(AND(M41&gt;180,N41="F"),(ROUND(M41/60,2)-3)*I41*$L$17*0.1,"--")</f>
        <v>--</v>
      </c>
      <c r="U41" s="688" t="str">
        <f>IF(N41="R",I41*$L$17*O41/100,"--")</f>
        <v>--</v>
      </c>
      <c r="V41" s="689" t="str">
        <f>IF(AND(M41&gt;10,N41="R"),I41*$L$17*O41/100*IF(M41&gt;180,3,ROUND(M41/60,2)),"--")</f>
        <v>--</v>
      </c>
      <c r="W41" s="690" t="str">
        <f>IF(AND(M41&gt;180,N41="R"),(ROUND(M41/60,2)-3)*O41/100*I41*$L$17*0.1,"--")</f>
        <v>--</v>
      </c>
      <c r="X41" s="691" t="str">
        <f>IF(N41="RF",ROUND(M41/60,2)*I41*$L$17*0.1,"--")</f>
        <v>--</v>
      </c>
      <c r="Y41" s="692" t="str">
        <f>IF(N41="RR",ROUND(M41/60,2)*O41/100*I41*$L$17*0.1,"--")</f>
        <v>--</v>
      </c>
      <c r="Z41" s="693">
        <f>IF(F41="","","SI")</f>
      </c>
      <c r="AA41" s="52">
        <f>IF(F41="","",SUM(P41:Y41)*IF(Z41="SI",1,2))</f>
      </c>
      <c r="AB41" s="3"/>
    </row>
    <row r="42" spans="1:28" ht="16.5" customHeight="1" thickBot="1">
      <c r="A42" s="1"/>
      <c r="B42" s="2"/>
      <c r="C42" s="481"/>
      <c r="D42" s="481"/>
      <c r="E42" s="481"/>
      <c r="F42" s="482"/>
      <c r="G42" s="483"/>
      <c r="H42" s="484"/>
      <c r="I42" s="370"/>
      <c r="J42" s="484"/>
      <c r="K42" s="484"/>
      <c r="L42" s="16"/>
      <c r="M42" s="16"/>
      <c r="N42" s="484"/>
      <c r="O42" s="487"/>
      <c r="P42" s="488"/>
      <c r="Q42" s="489"/>
      <c r="R42" s="490"/>
      <c r="S42" s="491"/>
      <c r="T42" s="492"/>
      <c r="U42" s="493"/>
      <c r="V42" s="494"/>
      <c r="W42" s="495"/>
      <c r="X42" s="496"/>
      <c r="Y42" s="497"/>
      <c r="Z42" s="498"/>
      <c r="AA42" s="54"/>
      <c r="AB42" s="3"/>
    </row>
    <row r="43" spans="1:28" ht="16.5" customHeight="1" thickBot="1" thickTop="1">
      <c r="A43" s="1"/>
      <c r="B43" s="2"/>
      <c r="C43" s="241" t="s">
        <v>65</v>
      </c>
      <c r="D43" s="718" t="s">
        <v>182</v>
      </c>
      <c r="E43" s="677"/>
      <c r="F43" s="242"/>
      <c r="G43" s="17"/>
      <c r="H43" s="18"/>
      <c r="I43" s="55"/>
      <c r="J43" s="55"/>
      <c r="K43" s="55"/>
      <c r="L43" s="55"/>
      <c r="M43" s="55"/>
      <c r="N43" s="55"/>
      <c r="O43" s="56"/>
      <c r="P43" s="313">
        <f aca="true" t="shared" si="16" ref="P43:Y43">ROUND(SUM(P20:P42),2)</f>
        <v>2676.68</v>
      </c>
      <c r="Q43" s="314">
        <f t="shared" si="16"/>
        <v>0</v>
      </c>
      <c r="R43" s="315">
        <f t="shared" si="16"/>
        <v>0</v>
      </c>
      <c r="S43" s="315">
        <f t="shared" si="16"/>
        <v>0</v>
      </c>
      <c r="T43" s="316">
        <f t="shared" si="16"/>
        <v>0</v>
      </c>
      <c r="U43" s="317">
        <f t="shared" si="16"/>
        <v>0</v>
      </c>
      <c r="V43" s="317">
        <f t="shared" si="16"/>
        <v>0</v>
      </c>
      <c r="W43" s="318">
        <f t="shared" si="16"/>
        <v>0</v>
      </c>
      <c r="X43" s="319">
        <f t="shared" si="16"/>
        <v>0</v>
      </c>
      <c r="Y43" s="320">
        <f t="shared" si="16"/>
        <v>0</v>
      </c>
      <c r="Z43" s="57"/>
      <c r="AA43" s="681">
        <f>ROUND(SUM(AA20:AA42),2)</f>
        <v>2676.68</v>
      </c>
      <c r="AB43" s="58"/>
    </row>
    <row r="44" spans="1:28" s="256" customFormat="1" ht="9.75" thickTop="1">
      <c r="A44" s="245"/>
      <c r="B44" s="246"/>
      <c r="C44" s="243"/>
      <c r="D44" s="243"/>
      <c r="E44" s="243"/>
      <c r="F44" s="244"/>
      <c r="G44" s="247"/>
      <c r="H44" s="248"/>
      <c r="I44" s="249"/>
      <c r="J44" s="249"/>
      <c r="K44" s="249"/>
      <c r="L44" s="249"/>
      <c r="M44" s="249"/>
      <c r="N44" s="249"/>
      <c r="O44" s="250"/>
      <c r="P44" s="251"/>
      <c r="Q44" s="251"/>
      <c r="R44" s="252"/>
      <c r="S44" s="252"/>
      <c r="T44" s="253"/>
      <c r="U44" s="253"/>
      <c r="V44" s="253"/>
      <c r="W44" s="253"/>
      <c r="X44" s="253"/>
      <c r="Y44" s="253"/>
      <c r="Z44" s="253"/>
      <c r="AA44" s="254"/>
      <c r="AB44" s="255"/>
    </row>
    <row r="45" spans="1:28" s="11" customFormat="1" ht="16.5" customHeight="1" thickBot="1">
      <c r="A45" s="9"/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="75" zoomScaleNormal="75" zoomScalePageLayoutView="0" workbookViewId="0" topLeftCell="A1">
      <selection activeCell="A24" sqref="A24:IV24"/>
    </sheetView>
  </sheetViews>
  <sheetFormatPr defaultColWidth="11.421875" defaultRowHeight="12.75"/>
  <cols>
    <col min="1" max="2" width="4.140625" style="610" customWidth="1"/>
    <col min="3" max="3" width="5.57421875" style="610" customWidth="1"/>
    <col min="4" max="5" width="13.7109375" style="610" customWidth="1"/>
    <col min="6" max="7" width="25.7109375" style="610" customWidth="1"/>
    <col min="8" max="8" width="7.7109375" style="610" customWidth="1"/>
    <col min="9" max="9" width="12.7109375" style="610" customWidth="1"/>
    <col min="10" max="10" width="11.8515625" style="610" hidden="1" customWidth="1"/>
    <col min="11" max="12" width="15.7109375" style="610" customWidth="1"/>
    <col min="13" max="15" width="9.7109375" style="610" customWidth="1"/>
    <col min="16" max="16" width="5.8515625" style="610" customWidth="1"/>
    <col min="17" max="18" width="7.00390625" style="610" customWidth="1"/>
    <col min="19" max="19" width="11.7109375" style="610" hidden="1" customWidth="1"/>
    <col min="20" max="21" width="14.00390625" style="610" hidden="1" customWidth="1"/>
    <col min="22" max="22" width="14.28125" style="610" hidden="1" customWidth="1"/>
    <col min="23" max="27" width="14.140625" style="610" hidden="1" customWidth="1"/>
    <col min="28" max="28" width="9.00390625" style="610" customWidth="1"/>
    <col min="29" max="29" width="15.7109375" style="610" customWidth="1"/>
    <col min="30" max="30" width="4.140625" style="610" customWidth="1"/>
    <col min="31" max="16384" width="11.421875" style="610" customWidth="1"/>
  </cols>
  <sheetData>
    <row r="1" spans="1:30" s="516" customFormat="1" ht="26.25">
      <c r="A1" s="115"/>
      <c r="B1" s="115"/>
      <c r="C1" s="115"/>
      <c r="D1" s="115"/>
      <c r="E1" s="115"/>
      <c r="F1" s="115"/>
      <c r="G1" s="115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5"/>
    </row>
    <row r="2" spans="1:30" s="516" customFormat="1" ht="26.25">
      <c r="A2" s="115"/>
      <c r="B2" s="116" t="str">
        <f>+'TOT-0514'!B2</f>
        <v>ANEXO V al Memorándum  D.T.E.E.  N°       34    / 2014.-</v>
      </c>
      <c r="C2" s="117"/>
      <c r="D2" s="117"/>
      <c r="E2" s="117"/>
      <c r="F2" s="117"/>
      <c r="G2" s="1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</row>
    <row r="3" spans="1:30" s="519" customFormat="1" ht="12.75">
      <c r="A3" s="11"/>
      <c r="B3" s="11"/>
      <c r="C3" s="11"/>
      <c r="D3" s="11"/>
      <c r="E3" s="11"/>
      <c r="F3" s="11"/>
      <c r="G3" s="11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</row>
    <row r="4" spans="1:30" s="521" customFormat="1" ht="11.25">
      <c r="A4" s="680" t="s">
        <v>16</v>
      </c>
      <c r="B4" s="118"/>
      <c r="C4" s="679"/>
      <c r="D4" s="679"/>
      <c r="E4" s="679"/>
      <c r="F4" s="118"/>
      <c r="G4" s="118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</row>
    <row r="5" spans="1:30" s="521" customFormat="1" ht="11.25">
      <c r="A5" s="680" t="s">
        <v>140</v>
      </c>
      <c r="B5" s="118"/>
      <c r="C5" s="679"/>
      <c r="D5" s="679"/>
      <c r="E5" s="679"/>
      <c r="F5" s="118"/>
      <c r="G5" s="118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0"/>
      <c r="AA5" s="520"/>
      <c r="AB5" s="520"/>
      <c r="AC5" s="520"/>
      <c r="AD5" s="520"/>
    </row>
    <row r="6" spans="1:30" s="519" customFormat="1" ht="13.5" thickBot="1">
      <c r="A6" s="518"/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</row>
    <row r="7" spans="1:30" s="519" customFormat="1" ht="13.5" thickTop="1">
      <c r="A7" s="518"/>
      <c r="B7" s="522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4"/>
    </row>
    <row r="8" spans="1:30" s="528" customFormat="1" ht="20.25">
      <c r="A8" s="525"/>
      <c r="B8" s="526"/>
      <c r="C8" s="187"/>
      <c r="D8" s="187"/>
      <c r="E8" s="187"/>
      <c r="F8" s="527" t="s">
        <v>41</v>
      </c>
      <c r="H8" s="187"/>
      <c r="I8" s="525"/>
      <c r="J8" s="525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529"/>
    </row>
    <row r="9" spans="1:30" s="519" customFormat="1" ht="12.75">
      <c r="A9" s="518"/>
      <c r="B9" s="530"/>
      <c r="C9" s="181"/>
      <c r="D9" s="181"/>
      <c r="E9" s="181"/>
      <c r="F9" s="181"/>
      <c r="G9" s="181"/>
      <c r="H9" s="181"/>
      <c r="I9" s="518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531"/>
    </row>
    <row r="10" spans="1:30" s="528" customFormat="1" ht="20.25">
      <c r="A10" s="525"/>
      <c r="B10" s="526"/>
      <c r="C10" s="187"/>
      <c r="D10" s="187"/>
      <c r="E10" s="187"/>
      <c r="F10" s="527" t="s">
        <v>66</v>
      </c>
      <c r="G10" s="187"/>
      <c r="H10" s="187"/>
      <c r="I10" s="525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529"/>
    </row>
    <row r="11" spans="1:30" s="519" customFormat="1" ht="12.75">
      <c r="A11" s="518"/>
      <c r="B11" s="530"/>
      <c r="C11" s="181"/>
      <c r="D11" s="181"/>
      <c r="E11" s="181"/>
      <c r="F11" s="532"/>
      <c r="G11" s="181"/>
      <c r="H11" s="181"/>
      <c r="I11" s="518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531"/>
    </row>
    <row r="12" spans="1:30" s="528" customFormat="1" ht="20.25">
      <c r="A12" s="525"/>
      <c r="B12" s="526"/>
      <c r="C12" s="187"/>
      <c r="D12" s="187"/>
      <c r="E12" s="187"/>
      <c r="F12" s="527" t="s">
        <v>67</v>
      </c>
      <c r="G12" s="533"/>
      <c r="H12" s="525"/>
      <c r="I12" s="525"/>
      <c r="J12" s="187"/>
      <c r="K12" s="187"/>
      <c r="L12" s="525"/>
      <c r="M12" s="525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529"/>
    </row>
    <row r="13" spans="1:30" s="519" customFormat="1" ht="12.75">
      <c r="A13" s="518"/>
      <c r="B13" s="530"/>
      <c r="C13" s="181"/>
      <c r="D13" s="181"/>
      <c r="E13" s="181"/>
      <c r="F13" s="534"/>
      <c r="G13" s="535"/>
      <c r="H13" s="518"/>
      <c r="I13" s="518"/>
      <c r="J13" s="181"/>
      <c r="K13" s="181"/>
      <c r="L13" s="518"/>
      <c r="M13" s="518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531"/>
    </row>
    <row r="14" spans="1:30" s="528" customFormat="1" ht="20.25">
      <c r="A14" s="525"/>
      <c r="B14" s="526"/>
      <c r="C14" s="187"/>
      <c r="D14" s="187"/>
      <c r="E14" s="187"/>
      <c r="F14" s="527" t="s">
        <v>68</v>
      </c>
      <c r="G14" s="188"/>
      <c r="H14" s="188"/>
      <c r="I14" s="189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529"/>
    </row>
    <row r="15" spans="1:30" s="519" customFormat="1" ht="12.75">
      <c r="A15" s="518"/>
      <c r="B15" s="530"/>
      <c r="C15" s="181"/>
      <c r="D15" s="181"/>
      <c r="E15" s="181"/>
      <c r="F15" s="536"/>
      <c r="G15" s="182"/>
      <c r="H15" s="182"/>
      <c r="I15" s="183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531"/>
    </row>
    <row r="16" spans="1:30" s="542" customFormat="1" ht="19.5">
      <c r="A16" s="537"/>
      <c r="B16" s="95" t="str">
        <f>+'TOT-0514'!B14</f>
        <v>Desde el 01 al 31 de mayo de 2014</v>
      </c>
      <c r="C16" s="538"/>
      <c r="D16" s="538"/>
      <c r="E16" s="538"/>
      <c r="F16" s="538"/>
      <c r="G16" s="538"/>
      <c r="H16" s="538"/>
      <c r="I16" s="539"/>
      <c r="J16" s="538"/>
      <c r="K16" s="540"/>
      <c r="L16" s="540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41"/>
    </row>
    <row r="17" spans="1:30" s="519" customFormat="1" ht="14.25" thickBot="1">
      <c r="A17" s="518"/>
      <c r="B17" s="530"/>
      <c r="C17" s="181"/>
      <c r="D17" s="181"/>
      <c r="E17" s="181"/>
      <c r="F17" s="181"/>
      <c r="G17" s="181"/>
      <c r="H17" s="181"/>
      <c r="I17" s="34"/>
      <c r="J17" s="181"/>
      <c r="K17" s="543"/>
      <c r="L17" s="544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531"/>
    </row>
    <row r="18" spans="1:30" s="519" customFormat="1" ht="16.5" customHeight="1" thickBot="1" thickTop="1">
      <c r="A18" s="518"/>
      <c r="B18" s="530"/>
      <c r="C18" s="181"/>
      <c r="D18" s="181"/>
      <c r="E18" s="181"/>
      <c r="F18" s="191" t="s">
        <v>69</v>
      </c>
      <c r="G18" s="192"/>
      <c r="H18" s="545"/>
      <c r="I18" s="546">
        <v>0.975</v>
      </c>
      <c r="J18" s="518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531"/>
    </row>
    <row r="19" spans="1:30" s="519" customFormat="1" ht="16.5" customHeight="1" thickBot="1" thickTop="1">
      <c r="A19" s="518"/>
      <c r="B19" s="530"/>
      <c r="C19" s="181"/>
      <c r="D19" s="181"/>
      <c r="E19" s="181"/>
      <c r="F19" s="193" t="s">
        <v>70</v>
      </c>
      <c r="G19" s="194"/>
      <c r="H19" s="194"/>
      <c r="I19" s="195">
        <v>30</v>
      </c>
      <c r="J19" s="181"/>
      <c r="K19" s="238" t="str">
        <f>IF(I19=30," ",IF(I19=60,"Coeficiente duplicado por tasa de falla &gt;4 Sal. x año/100 km.","REVISAR COEFICIENTE"))</f>
        <v> </v>
      </c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547"/>
      <c r="X19" s="547"/>
      <c r="Y19" s="547"/>
      <c r="Z19" s="547"/>
      <c r="AA19" s="547"/>
      <c r="AB19" s="547"/>
      <c r="AC19" s="547"/>
      <c r="AD19" s="531"/>
    </row>
    <row r="20" spans="1:30" s="712" customFormat="1" ht="16.5" customHeight="1" thickBot="1" thickTop="1">
      <c r="A20" s="708"/>
      <c r="B20" s="709"/>
      <c r="C20" s="710">
        <v>3</v>
      </c>
      <c r="D20" s="710">
        <v>4</v>
      </c>
      <c r="E20" s="710">
        <v>5</v>
      </c>
      <c r="F20" s="710">
        <v>6</v>
      </c>
      <c r="G20" s="710">
        <v>7</v>
      </c>
      <c r="H20" s="710">
        <v>8</v>
      </c>
      <c r="I20" s="710">
        <v>9</v>
      </c>
      <c r="J20" s="710">
        <v>10</v>
      </c>
      <c r="K20" s="710">
        <v>11</v>
      </c>
      <c r="L20" s="710">
        <v>12</v>
      </c>
      <c r="M20" s="710">
        <v>13</v>
      </c>
      <c r="N20" s="710">
        <v>14</v>
      </c>
      <c r="O20" s="710">
        <v>15</v>
      </c>
      <c r="P20" s="710">
        <v>16</v>
      </c>
      <c r="Q20" s="710">
        <v>17</v>
      </c>
      <c r="R20" s="710">
        <v>18</v>
      </c>
      <c r="S20" s="710">
        <v>19</v>
      </c>
      <c r="T20" s="710">
        <v>20</v>
      </c>
      <c r="U20" s="710">
        <v>21</v>
      </c>
      <c r="V20" s="710">
        <v>22</v>
      </c>
      <c r="W20" s="710">
        <v>23</v>
      </c>
      <c r="X20" s="710">
        <v>24</v>
      </c>
      <c r="Y20" s="710">
        <v>25</v>
      </c>
      <c r="Z20" s="710">
        <v>26</v>
      </c>
      <c r="AA20" s="710">
        <v>27</v>
      </c>
      <c r="AB20" s="710">
        <v>28</v>
      </c>
      <c r="AC20" s="710">
        <v>29</v>
      </c>
      <c r="AD20" s="711"/>
    </row>
    <row r="21" spans="1:30" s="557" customFormat="1" ht="33.75" customHeight="1" thickBot="1" thickTop="1">
      <c r="A21" s="548"/>
      <c r="B21" s="549"/>
      <c r="C21" s="201" t="s">
        <v>47</v>
      </c>
      <c r="D21" s="107" t="s">
        <v>139</v>
      </c>
      <c r="E21" s="107" t="s">
        <v>138</v>
      </c>
      <c r="F21" s="200" t="s">
        <v>71</v>
      </c>
      <c r="G21" s="196" t="s">
        <v>14</v>
      </c>
      <c r="H21" s="197" t="s">
        <v>72</v>
      </c>
      <c r="I21" s="200" t="s">
        <v>48</v>
      </c>
      <c r="J21" s="266" t="s">
        <v>50</v>
      </c>
      <c r="K21" s="199" t="s">
        <v>73</v>
      </c>
      <c r="L21" s="199" t="s">
        <v>74</v>
      </c>
      <c r="M21" s="200" t="s">
        <v>75</v>
      </c>
      <c r="N21" s="200" t="s">
        <v>76</v>
      </c>
      <c r="O21" s="111" t="s">
        <v>55</v>
      </c>
      <c r="P21" s="201" t="s">
        <v>77</v>
      </c>
      <c r="Q21" s="200" t="s">
        <v>78</v>
      </c>
      <c r="R21" s="196" t="s">
        <v>79</v>
      </c>
      <c r="S21" s="321" t="s">
        <v>80</v>
      </c>
      <c r="T21" s="550" t="s">
        <v>57</v>
      </c>
      <c r="U21" s="551" t="s">
        <v>58</v>
      </c>
      <c r="V21" s="324" t="s">
        <v>81</v>
      </c>
      <c r="W21" s="552"/>
      <c r="X21" s="327" t="s">
        <v>81</v>
      </c>
      <c r="Y21" s="553"/>
      <c r="Z21" s="554" t="s">
        <v>61</v>
      </c>
      <c r="AA21" s="555" t="s">
        <v>62</v>
      </c>
      <c r="AB21" s="200" t="s">
        <v>63</v>
      </c>
      <c r="AC21" s="200" t="s">
        <v>64</v>
      </c>
      <c r="AD21" s="556"/>
    </row>
    <row r="22" spans="1:30" s="519" customFormat="1" ht="16.5" customHeight="1" thickTop="1">
      <c r="A22" s="518"/>
      <c r="B22" s="530"/>
      <c r="C22" s="558"/>
      <c r="D22" s="558"/>
      <c r="E22" s="558"/>
      <c r="F22" s="559"/>
      <c r="G22" s="560"/>
      <c r="H22" s="560"/>
      <c r="I22" s="560"/>
      <c r="J22" s="561"/>
      <c r="K22" s="559"/>
      <c r="L22" s="560"/>
      <c r="M22" s="559"/>
      <c r="N22" s="559"/>
      <c r="O22" s="560"/>
      <c r="P22" s="560"/>
      <c r="Q22" s="560"/>
      <c r="R22" s="560"/>
      <c r="S22" s="562"/>
      <c r="T22" s="563"/>
      <c r="U22" s="564"/>
      <c r="V22" s="565"/>
      <c r="W22" s="566"/>
      <c r="X22" s="567"/>
      <c r="Y22" s="568"/>
      <c r="Z22" s="569"/>
      <c r="AA22" s="570"/>
      <c r="AB22" s="560"/>
      <c r="AC22" s="571"/>
      <c r="AD22" s="531"/>
    </row>
    <row r="23" spans="1:30" s="519" customFormat="1" ht="16.5" customHeight="1">
      <c r="A23" s="518"/>
      <c r="B23" s="530"/>
      <c r="C23" s="558"/>
      <c r="D23" s="558"/>
      <c r="E23" s="558"/>
      <c r="F23" s="572"/>
      <c r="G23" s="572"/>
      <c r="H23" s="572"/>
      <c r="I23" s="572"/>
      <c r="J23" s="573"/>
      <c r="K23" s="574"/>
      <c r="L23" s="572"/>
      <c r="M23" s="574"/>
      <c r="N23" s="574"/>
      <c r="O23" s="572"/>
      <c r="P23" s="572"/>
      <c r="Q23" s="572"/>
      <c r="R23" s="572"/>
      <c r="S23" s="575"/>
      <c r="T23" s="576"/>
      <c r="U23" s="577"/>
      <c r="V23" s="578"/>
      <c r="W23" s="579"/>
      <c r="X23" s="580"/>
      <c r="Y23" s="581"/>
      <c r="Z23" s="582"/>
      <c r="AA23" s="583"/>
      <c r="AB23" s="572"/>
      <c r="AC23" s="584"/>
      <c r="AD23" s="531"/>
    </row>
    <row r="24" spans="1:30" s="519" customFormat="1" ht="16.5" customHeight="1">
      <c r="A24" s="518"/>
      <c r="B24" s="530"/>
      <c r="C24" s="613">
        <v>6</v>
      </c>
      <c r="D24" s="613">
        <v>275089</v>
      </c>
      <c r="E24" s="613">
        <v>3518</v>
      </c>
      <c r="F24" s="478" t="s">
        <v>151</v>
      </c>
      <c r="G24" s="477" t="s">
        <v>8</v>
      </c>
      <c r="H24" s="614">
        <v>15</v>
      </c>
      <c r="I24" s="673" t="s">
        <v>152</v>
      </c>
      <c r="J24" s="267">
        <f aca="true" t="shared" si="0" ref="J24:J39">H24*$I$18</f>
        <v>14.625</v>
      </c>
      <c r="K24" s="617">
        <v>41769.584027777775</v>
      </c>
      <c r="L24" s="617">
        <v>41769.618055555555</v>
      </c>
      <c r="M24" s="24">
        <f aca="true" t="shared" si="1" ref="M24:M39">IF(F24="","",(L24-K24)*24)</f>
        <v>0.8166666667093523</v>
      </c>
      <c r="N24" s="25">
        <f aca="true" t="shared" si="2" ref="N24:N39">IF(F24="","",ROUND((L24-K24)*24*60,0))</f>
        <v>49</v>
      </c>
      <c r="O24" s="618" t="s">
        <v>144</v>
      </c>
      <c r="P24" s="23" t="str">
        <f aca="true" t="shared" si="3" ref="P24:P43">IF(F24="","",IF(OR(O24="P",O24="RP"),"--","NO"))</f>
        <v>--</v>
      </c>
      <c r="Q24" s="694" t="str">
        <f aca="true" t="shared" si="4" ref="Q24:Q43">IF(F24="","","--")</f>
        <v>--</v>
      </c>
      <c r="R24" s="23" t="s">
        <v>145</v>
      </c>
      <c r="S24" s="322">
        <f aca="true" t="shared" si="5" ref="S24:S39">$I$19*IF(OR(O24="P",O24="RP"),0.1,1)*IF(R24="SI",1,0.1)</f>
        <v>3</v>
      </c>
      <c r="T24" s="695">
        <f aca="true" t="shared" si="6" ref="T24:T39">IF(O24="P",J24*S24*ROUND(N24/60,2),"--")</f>
        <v>35.9775</v>
      </c>
      <c r="U24" s="696" t="str">
        <f aca="true" t="shared" si="7" ref="U24:U39">IF(O24="RP",J24*S24*ROUND(N24/60,2)*Q24/100,"--")</f>
        <v>--</v>
      </c>
      <c r="V24" s="325" t="str">
        <f aca="true" t="shared" si="8" ref="V24:V39">IF(AND(O24="F",P24="NO"),J24*S24,"--")</f>
        <v>--</v>
      </c>
      <c r="W24" s="326" t="str">
        <f aca="true" t="shared" si="9" ref="W24:W39">IF(O24="F",J24*S24*ROUND(N24/60,2),"--")</f>
        <v>--</v>
      </c>
      <c r="X24" s="329" t="str">
        <f aca="true" t="shared" si="10" ref="X24:X39">IF(AND(O24="R",P24="NO"),J24*S24*Q24/100,"--")</f>
        <v>--</v>
      </c>
      <c r="Y24" s="330" t="str">
        <f aca="true" t="shared" si="11" ref="Y24:Y39">IF(O24="R",J24*S24*ROUND(N24/60,2)*Q24/100,"--")</f>
        <v>--</v>
      </c>
      <c r="Z24" s="331" t="str">
        <f aca="true" t="shared" si="12" ref="Z24:Z39">IF(O24="RF",J24*S24*ROUND(N24/60,2),"--")</f>
        <v>--</v>
      </c>
      <c r="AA24" s="332" t="str">
        <f aca="true" t="shared" si="13" ref="AA24:AA39">IF(O24="RR",J24*S24*ROUND(N24/60,2)*Q24/100,"--")</f>
        <v>--</v>
      </c>
      <c r="AB24" s="23" t="s">
        <v>145</v>
      </c>
      <c r="AC24" s="585">
        <f aca="true" t="shared" si="14" ref="AC24:AC39">IF(F24="","",SUM(T24:AA24)*IF(AB24="SI",1,2))</f>
        <v>35.9775</v>
      </c>
      <c r="AD24" s="586"/>
    </row>
    <row r="25" spans="1:30" s="519" customFormat="1" ht="16.5" customHeight="1">
      <c r="A25" s="518"/>
      <c r="B25" s="530"/>
      <c r="C25" s="613"/>
      <c r="D25" s="613"/>
      <c r="E25" s="613"/>
      <c r="F25" s="478"/>
      <c r="G25" s="477"/>
      <c r="H25" s="614"/>
      <c r="I25" s="615"/>
      <c r="J25" s="267">
        <f t="shared" si="0"/>
        <v>0</v>
      </c>
      <c r="K25" s="617"/>
      <c r="L25" s="617"/>
      <c r="M25" s="24">
        <f t="shared" si="1"/>
      </c>
      <c r="N25" s="25">
        <f t="shared" si="2"/>
      </c>
      <c r="O25" s="618"/>
      <c r="P25" s="23">
        <f t="shared" si="3"/>
      </c>
      <c r="Q25" s="694">
        <f t="shared" si="4"/>
      </c>
      <c r="R25" s="23">
        <f aca="true" t="shared" si="15" ref="R25:R43">IF(F25="","","NO")</f>
      </c>
      <c r="S25" s="322">
        <f t="shared" si="5"/>
        <v>3</v>
      </c>
      <c r="T25" s="695" t="str">
        <f t="shared" si="6"/>
        <v>--</v>
      </c>
      <c r="U25" s="696" t="str">
        <f t="shared" si="7"/>
        <v>--</v>
      </c>
      <c r="V25" s="325" t="str">
        <f t="shared" si="8"/>
        <v>--</v>
      </c>
      <c r="W25" s="326" t="str">
        <f t="shared" si="9"/>
        <v>--</v>
      </c>
      <c r="X25" s="329" t="str">
        <f t="shared" si="10"/>
        <v>--</v>
      </c>
      <c r="Y25" s="330" t="str">
        <f t="shared" si="11"/>
        <v>--</v>
      </c>
      <c r="Z25" s="331" t="str">
        <f t="shared" si="12"/>
        <v>--</v>
      </c>
      <c r="AA25" s="332" t="str">
        <f t="shared" si="13"/>
        <v>--</v>
      </c>
      <c r="AB25" s="23">
        <f aca="true" t="shared" si="16" ref="AB25:AB39">IF(F25="","","SI")</f>
      </c>
      <c r="AC25" s="585">
        <f t="shared" si="14"/>
      </c>
      <c r="AD25" s="586"/>
    </row>
    <row r="26" spans="1:30" s="519" customFormat="1" ht="16.5" customHeight="1">
      <c r="A26" s="518"/>
      <c r="B26" s="530"/>
      <c r="C26" s="613"/>
      <c r="D26" s="613"/>
      <c r="E26" s="613"/>
      <c r="F26" s="478"/>
      <c r="G26" s="477"/>
      <c r="H26" s="614"/>
      <c r="I26" s="615"/>
      <c r="J26" s="267">
        <f t="shared" si="0"/>
        <v>0</v>
      </c>
      <c r="K26" s="617"/>
      <c r="L26" s="617"/>
      <c r="M26" s="24">
        <f t="shared" si="1"/>
      </c>
      <c r="N26" s="25">
        <f t="shared" si="2"/>
      </c>
      <c r="O26" s="618"/>
      <c r="P26" s="23">
        <f t="shared" si="3"/>
      </c>
      <c r="Q26" s="694">
        <f t="shared" si="4"/>
      </c>
      <c r="R26" s="23">
        <f t="shared" si="15"/>
      </c>
      <c r="S26" s="322">
        <f t="shared" si="5"/>
        <v>3</v>
      </c>
      <c r="T26" s="695" t="str">
        <f t="shared" si="6"/>
        <v>--</v>
      </c>
      <c r="U26" s="696" t="str">
        <f t="shared" si="7"/>
        <v>--</v>
      </c>
      <c r="V26" s="325" t="str">
        <f t="shared" si="8"/>
        <v>--</v>
      </c>
      <c r="W26" s="326" t="str">
        <f t="shared" si="9"/>
        <v>--</v>
      </c>
      <c r="X26" s="329" t="str">
        <f t="shared" si="10"/>
        <v>--</v>
      </c>
      <c r="Y26" s="330" t="str">
        <f t="shared" si="11"/>
        <v>--</v>
      </c>
      <c r="Z26" s="331" t="str">
        <f t="shared" si="12"/>
        <v>--</v>
      </c>
      <c r="AA26" s="332" t="str">
        <f t="shared" si="13"/>
        <v>--</v>
      </c>
      <c r="AB26" s="23">
        <f t="shared" si="16"/>
      </c>
      <c r="AC26" s="585">
        <f t="shared" si="14"/>
      </c>
      <c r="AD26" s="531"/>
    </row>
    <row r="27" spans="1:30" s="519" customFormat="1" ht="16.5" customHeight="1">
      <c r="A27" s="518"/>
      <c r="B27" s="530"/>
      <c r="C27" s="613"/>
      <c r="D27" s="613"/>
      <c r="E27" s="613"/>
      <c r="F27" s="478"/>
      <c r="G27" s="477"/>
      <c r="H27" s="614"/>
      <c r="I27" s="615"/>
      <c r="J27" s="267"/>
      <c r="K27" s="617"/>
      <c r="L27" s="617"/>
      <c r="M27" s="24"/>
      <c r="N27" s="25"/>
      <c r="O27" s="618"/>
      <c r="P27" s="23"/>
      <c r="Q27" s="694"/>
      <c r="R27" s="23"/>
      <c r="S27" s="322"/>
      <c r="T27" s="695"/>
      <c r="U27" s="696"/>
      <c r="V27" s="325"/>
      <c r="W27" s="326"/>
      <c r="X27" s="329"/>
      <c r="Y27" s="330"/>
      <c r="Z27" s="331"/>
      <c r="AA27" s="332"/>
      <c r="AB27" s="23"/>
      <c r="AC27" s="585"/>
      <c r="AD27" s="531"/>
    </row>
    <row r="28" spans="1:30" s="519" customFormat="1" ht="16.5" customHeight="1">
      <c r="A28" s="518"/>
      <c r="B28" s="530"/>
      <c r="C28" s="613"/>
      <c r="D28" s="613"/>
      <c r="E28" s="613"/>
      <c r="F28" s="478"/>
      <c r="G28" s="477"/>
      <c r="H28" s="614"/>
      <c r="I28" s="615"/>
      <c r="J28" s="267"/>
      <c r="K28" s="617"/>
      <c r="L28" s="617"/>
      <c r="M28" s="24"/>
      <c r="N28" s="25"/>
      <c r="O28" s="618"/>
      <c r="P28" s="23"/>
      <c r="Q28" s="694"/>
      <c r="R28" s="23"/>
      <c r="S28" s="322"/>
      <c r="T28" s="695"/>
      <c r="U28" s="696"/>
      <c r="V28" s="325"/>
      <c r="W28" s="326"/>
      <c r="X28" s="329"/>
      <c r="Y28" s="330"/>
      <c r="Z28" s="331"/>
      <c r="AA28" s="332"/>
      <c r="AB28" s="23"/>
      <c r="AC28" s="585"/>
      <c r="AD28" s="531"/>
    </row>
    <row r="29" spans="1:30" s="519" customFormat="1" ht="16.5" customHeight="1">
      <c r="A29" s="518"/>
      <c r="B29" s="530"/>
      <c r="C29" s="613"/>
      <c r="D29" s="613"/>
      <c r="E29" s="613"/>
      <c r="F29" s="478"/>
      <c r="G29" s="477"/>
      <c r="H29" s="614"/>
      <c r="I29" s="615"/>
      <c r="J29" s="267"/>
      <c r="K29" s="617"/>
      <c r="L29" s="617"/>
      <c r="M29" s="24"/>
      <c r="N29" s="25"/>
      <c r="O29" s="618"/>
      <c r="P29" s="23"/>
      <c r="Q29" s="694"/>
      <c r="R29" s="23"/>
      <c r="S29" s="322"/>
      <c r="T29" s="695"/>
      <c r="U29" s="696"/>
      <c r="V29" s="325"/>
      <c r="W29" s="326"/>
      <c r="X29" s="329"/>
      <c r="Y29" s="330"/>
      <c r="Z29" s="331"/>
      <c r="AA29" s="332"/>
      <c r="AB29" s="23"/>
      <c r="AC29" s="585"/>
      <c r="AD29" s="531"/>
    </row>
    <row r="30" spans="1:30" s="519" customFormat="1" ht="16.5" customHeight="1">
      <c r="A30" s="518"/>
      <c r="B30" s="530"/>
      <c r="C30" s="613"/>
      <c r="D30" s="613"/>
      <c r="E30" s="613"/>
      <c r="F30" s="478"/>
      <c r="G30" s="477"/>
      <c r="H30" s="614"/>
      <c r="I30" s="615"/>
      <c r="J30" s="267"/>
      <c r="K30" s="617"/>
      <c r="L30" s="617"/>
      <c r="M30" s="24"/>
      <c r="N30" s="25"/>
      <c r="O30" s="618"/>
      <c r="P30" s="23"/>
      <c r="Q30" s="694"/>
      <c r="R30" s="23"/>
      <c r="S30" s="322"/>
      <c r="T30" s="695"/>
      <c r="U30" s="696"/>
      <c r="V30" s="325"/>
      <c r="W30" s="326"/>
      <c r="X30" s="329"/>
      <c r="Y30" s="330"/>
      <c r="Z30" s="331"/>
      <c r="AA30" s="332"/>
      <c r="AB30" s="23"/>
      <c r="AC30" s="585"/>
      <c r="AD30" s="531"/>
    </row>
    <row r="31" spans="1:30" s="519" customFormat="1" ht="16.5" customHeight="1">
      <c r="A31" s="518"/>
      <c r="B31" s="530"/>
      <c r="C31" s="613"/>
      <c r="D31" s="613"/>
      <c r="E31" s="613"/>
      <c r="F31" s="478"/>
      <c r="G31" s="477"/>
      <c r="H31" s="614"/>
      <c r="I31" s="615"/>
      <c r="J31" s="267"/>
      <c r="K31" s="617"/>
      <c r="L31" s="617"/>
      <c r="M31" s="24"/>
      <c r="N31" s="25"/>
      <c r="O31" s="618"/>
      <c r="P31" s="23"/>
      <c r="Q31" s="694"/>
      <c r="R31" s="23"/>
      <c r="S31" s="322"/>
      <c r="T31" s="695"/>
      <c r="U31" s="696"/>
      <c r="V31" s="325"/>
      <c r="W31" s="326"/>
      <c r="X31" s="329"/>
      <c r="Y31" s="330"/>
      <c r="Z31" s="331"/>
      <c r="AA31" s="332"/>
      <c r="AB31" s="23"/>
      <c r="AC31" s="585"/>
      <c r="AD31" s="531"/>
    </row>
    <row r="32" spans="1:30" s="519" customFormat="1" ht="16.5" customHeight="1">
      <c r="A32" s="518"/>
      <c r="B32" s="530"/>
      <c r="C32" s="613"/>
      <c r="D32" s="613"/>
      <c r="E32" s="613"/>
      <c r="F32" s="478"/>
      <c r="G32" s="477"/>
      <c r="H32" s="614"/>
      <c r="I32" s="615"/>
      <c r="J32" s="267"/>
      <c r="K32" s="617"/>
      <c r="L32" s="617"/>
      <c r="M32" s="24"/>
      <c r="N32" s="25"/>
      <c r="O32" s="618"/>
      <c r="P32" s="23"/>
      <c r="Q32" s="694"/>
      <c r="R32" s="23"/>
      <c r="S32" s="322"/>
      <c r="T32" s="695"/>
      <c r="U32" s="696"/>
      <c r="V32" s="325"/>
      <c r="W32" s="326"/>
      <c r="X32" s="329"/>
      <c r="Y32" s="330"/>
      <c r="Z32" s="331"/>
      <c r="AA32" s="332"/>
      <c r="AB32" s="23"/>
      <c r="AC32" s="585"/>
      <c r="AD32" s="531"/>
    </row>
    <row r="33" spans="1:30" s="519" customFormat="1" ht="16.5" customHeight="1">
      <c r="A33" s="518"/>
      <c r="B33" s="530"/>
      <c r="C33" s="613"/>
      <c r="D33" s="613"/>
      <c r="E33" s="613"/>
      <c r="F33" s="478"/>
      <c r="G33" s="477"/>
      <c r="H33" s="614"/>
      <c r="I33" s="615"/>
      <c r="J33" s="267">
        <f t="shared" si="0"/>
        <v>0</v>
      </c>
      <c r="K33" s="617"/>
      <c r="L33" s="617"/>
      <c r="M33" s="24">
        <f t="shared" si="1"/>
      </c>
      <c r="N33" s="25">
        <f t="shared" si="2"/>
      </c>
      <c r="O33" s="618"/>
      <c r="P33" s="23">
        <f t="shared" si="3"/>
      </c>
      <c r="Q33" s="694">
        <f t="shared" si="4"/>
      </c>
      <c r="R33" s="23">
        <f t="shared" si="15"/>
      </c>
      <c r="S33" s="322">
        <f t="shared" si="5"/>
        <v>3</v>
      </c>
      <c r="T33" s="695" t="str">
        <f t="shared" si="6"/>
        <v>--</v>
      </c>
      <c r="U33" s="696" t="str">
        <f t="shared" si="7"/>
        <v>--</v>
      </c>
      <c r="V33" s="325" t="str">
        <f t="shared" si="8"/>
        <v>--</v>
      </c>
      <c r="W33" s="326" t="str">
        <f t="shared" si="9"/>
        <v>--</v>
      </c>
      <c r="X33" s="329" t="str">
        <f t="shared" si="10"/>
        <v>--</v>
      </c>
      <c r="Y33" s="330" t="str">
        <f t="shared" si="11"/>
        <v>--</v>
      </c>
      <c r="Z33" s="331" t="str">
        <f t="shared" si="12"/>
        <v>--</v>
      </c>
      <c r="AA33" s="332" t="str">
        <f t="shared" si="13"/>
        <v>--</v>
      </c>
      <c r="AB33" s="23">
        <f t="shared" si="16"/>
      </c>
      <c r="AC33" s="585">
        <f t="shared" si="14"/>
      </c>
      <c r="AD33" s="531"/>
    </row>
    <row r="34" spans="1:30" s="519" customFormat="1" ht="16.5" customHeight="1">
      <c r="A34" s="518"/>
      <c r="B34" s="530"/>
      <c r="C34" s="613"/>
      <c r="D34" s="613"/>
      <c r="E34" s="613"/>
      <c r="F34" s="478"/>
      <c r="G34" s="477"/>
      <c r="H34" s="614"/>
      <c r="I34" s="615"/>
      <c r="J34" s="267">
        <f t="shared" si="0"/>
        <v>0</v>
      </c>
      <c r="K34" s="617"/>
      <c r="L34" s="617"/>
      <c r="M34" s="24">
        <f t="shared" si="1"/>
      </c>
      <c r="N34" s="25">
        <f t="shared" si="2"/>
      </c>
      <c r="O34" s="618"/>
      <c r="P34" s="23">
        <f t="shared" si="3"/>
      </c>
      <c r="Q34" s="694">
        <f t="shared" si="4"/>
      </c>
      <c r="R34" s="23">
        <f t="shared" si="15"/>
      </c>
      <c r="S34" s="322">
        <f t="shared" si="5"/>
        <v>3</v>
      </c>
      <c r="T34" s="695" t="str">
        <f t="shared" si="6"/>
        <v>--</v>
      </c>
      <c r="U34" s="696" t="str">
        <f t="shared" si="7"/>
        <v>--</v>
      </c>
      <c r="V34" s="325" t="str">
        <f t="shared" si="8"/>
        <v>--</v>
      </c>
      <c r="W34" s="326" t="str">
        <f t="shared" si="9"/>
        <v>--</v>
      </c>
      <c r="X34" s="329" t="str">
        <f t="shared" si="10"/>
        <v>--</v>
      </c>
      <c r="Y34" s="330" t="str">
        <f t="shared" si="11"/>
        <v>--</v>
      </c>
      <c r="Z34" s="331" t="str">
        <f t="shared" si="12"/>
        <v>--</v>
      </c>
      <c r="AA34" s="332" t="str">
        <f t="shared" si="13"/>
        <v>--</v>
      </c>
      <c r="AB34" s="23">
        <f t="shared" si="16"/>
      </c>
      <c r="AC34" s="585">
        <f t="shared" si="14"/>
      </c>
      <c r="AD34" s="531"/>
    </row>
    <row r="35" spans="1:30" s="519" customFormat="1" ht="16.5" customHeight="1">
      <c r="A35" s="518"/>
      <c r="B35" s="530"/>
      <c r="C35" s="613"/>
      <c r="D35" s="613"/>
      <c r="E35" s="613"/>
      <c r="F35" s="478"/>
      <c r="G35" s="477"/>
      <c r="H35" s="614"/>
      <c r="I35" s="615"/>
      <c r="J35" s="267">
        <f t="shared" si="0"/>
        <v>0</v>
      </c>
      <c r="K35" s="617"/>
      <c r="L35" s="617"/>
      <c r="M35" s="24">
        <f t="shared" si="1"/>
      </c>
      <c r="N35" s="25">
        <f t="shared" si="2"/>
      </c>
      <c r="O35" s="618"/>
      <c r="P35" s="23">
        <f t="shared" si="3"/>
      </c>
      <c r="Q35" s="694">
        <f t="shared" si="4"/>
      </c>
      <c r="R35" s="23">
        <f t="shared" si="15"/>
      </c>
      <c r="S35" s="322">
        <f t="shared" si="5"/>
        <v>3</v>
      </c>
      <c r="T35" s="695" t="str">
        <f t="shared" si="6"/>
        <v>--</v>
      </c>
      <c r="U35" s="696" t="str">
        <f t="shared" si="7"/>
        <v>--</v>
      </c>
      <c r="V35" s="325" t="str">
        <f t="shared" si="8"/>
        <v>--</v>
      </c>
      <c r="W35" s="326" t="str">
        <f t="shared" si="9"/>
        <v>--</v>
      </c>
      <c r="X35" s="329" t="str">
        <f t="shared" si="10"/>
        <v>--</v>
      </c>
      <c r="Y35" s="330" t="str">
        <f t="shared" si="11"/>
        <v>--</v>
      </c>
      <c r="Z35" s="331" t="str">
        <f t="shared" si="12"/>
        <v>--</v>
      </c>
      <c r="AA35" s="332" t="str">
        <f t="shared" si="13"/>
        <v>--</v>
      </c>
      <c r="AB35" s="23">
        <f t="shared" si="16"/>
      </c>
      <c r="AC35" s="585">
        <f t="shared" si="14"/>
      </c>
      <c r="AD35" s="531"/>
    </row>
    <row r="36" spans="1:30" s="519" customFormat="1" ht="16.5" customHeight="1">
      <c r="A36" s="518"/>
      <c r="B36" s="530"/>
      <c r="C36" s="613"/>
      <c r="D36" s="613"/>
      <c r="E36" s="613"/>
      <c r="F36" s="478"/>
      <c r="G36" s="477"/>
      <c r="H36" s="614"/>
      <c r="I36" s="615"/>
      <c r="J36" s="267">
        <f t="shared" si="0"/>
        <v>0</v>
      </c>
      <c r="K36" s="617"/>
      <c r="L36" s="617"/>
      <c r="M36" s="24">
        <f t="shared" si="1"/>
      </c>
      <c r="N36" s="25">
        <f t="shared" si="2"/>
      </c>
      <c r="O36" s="618"/>
      <c r="P36" s="23">
        <f t="shared" si="3"/>
      </c>
      <c r="Q36" s="694">
        <f t="shared" si="4"/>
      </c>
      <c r="R36" s="23">
        <f t="shared" si="15"/>
      </c>
      <c r="S36" s="322">
        <f t="shared" si="5"/>
        <v>3</v>
      </c>
      <c r="T36" s="695" t="str">
        <f t="shared" si="6"/>
        <v>--</v>
      </c>
      <c r="U36" s="696" t="str">
        <f t="shared" si="7"/>
        <v>--</v>
      </c>
      <c r="V36" s="325" t="str">
        <f t="shared" si="8"/>
        <v>--</v>
      </c>
      <c r="W36" s="326" t="str">
        <f t="shared" si="9"/>
        <v>--</v>
      </c>
      <c r="X36" s="329" t="str">
        <f t="shared" si="10"/>
        <v>--</v>
      </c>
      <c r="Y36" s="330" t="str">
        <f t="shared" si="11"/>
        <v>--</v>
      </c>
      <c r="Z36" s="331" t="str">
        <f t="shared" si="12"/>
        <v>--</v>
      </c>
      <c r="AA36" s="332" t="str">
        <f t="shared" si="13"/>
        <v>--</v>
      </c>
      <c r="AB36" s="23">
        <f t="shared" si="16"/>
      </c>
      <c r="AC36" s="585">
        <f t="shared" si="14"/>
      </c>
      <c r="AD36" s="531"/>
    </row>
    <row r="37" spans="1:30" s="519" customFormat="1" ht="16.5" customHeight="1">
      <c r="A37" s="518"/>
      <c r="B37" s="530"/>
      <c r="C37" s="613"/>
      <c r="D37" s="613"/>
      <c r="E37" s="613"/>
      <c r="F37" s="478"/>
      <c r="G37" s="477"/>
      <c r="H37" s="614"/>
      <c r="I37" s="615"/>
      <c r="J37" s="267">
        <f t="shared" si="0"/>
        <v>0</v>
      </c>
      <c r="K37" s="617"/>
      <c r="L37" s="617"/>
      <c r="M37" s="24">
        <f t="shared" si="1"/>
      </c>
      <c r="N37" s="25">
        <f t="shared" si="2"/>
      </c>
      <c r="O37" s="618"/>
      <c r="P37" s="23">
        <f t="shared" si="3"/>
      </c>
      <c r="Q37" s="694">
        <f t="shared" si="4"/>
      </c>
      <c r="R37" s="23">
        <f t="shared" si="15"/>
      </c>
      <c r="S37" s="322">
        <f t="shared" si="5"/>
        <v>3</v>
      </c>
      <c r="T37" s="695" t="str">
        <f t="shared" si="6"/>
        <v>--</v>
      </c>
      <c r="U37" s="696" t="str">
        <f t="shared" si="7"/>
        <v>--</v>
      </c>
      <c r="V37" s="325" t="str">
        <f t="shared" si="8"/>
        <v>--</v>
      </c>
      <c r="W37" s="326" t="str">
        <f t="shared" si="9"/>
        <v>--</v>
      </c>
      <c r="X37" s="329" t="str">
        <f t="shared" si="10"/>
        <v>--</v>
      </c>
      <c r="Y37" s="330" t="str">
        <f t="shared" si="11"/>
        <v>--</v>
      </c>
      <c r="Z37" s="331" t="str">
        <f t="shared" si="12"/>
        <v>--</v>
      </c>
      <c r="AA37" s="332" t="str">
        <f t="shared" si="13"/>
        <v>--</v>
      </c>
      <c r="AB37" s="23">
        <f t="shared" si="16"/>
      </c>
      <c r="AC37" s="585">
        <f t="shared" si="14"/>
      </c>
      <c r="AD37" s="531"/>
    </row>
    <row r="38" spans="1:30" s="519" customFormat="1" ht="16.5" customHeight="1">
      <c r="A38" s="518"/>
      <c r="B38" s="530"/>
      <c r="C38" s="613"/>
      <c r="D38" s="613"/>
      <c r="E38" s="613"/>
      <c r="F38" s="478"/>
      <c r="G38" s="477"/>
      <c r="H38" s="614"/>
      <c r="I38" s="615"/>
      <c r="J38" s="267">
        <f t="shared" si="0"/>
        <v>0</v>
      </c>
      <c r="K38" s="617"/>
      <c r="L38" s="617"/>
      <c r="M38" s="24">
        <f t="shared" si="1"/>
      </c>
      <c r="N38" s="25">
        <f t="shared" si="2"/>
      </c>
      <c r="O38" s="618"/>
      <c r="P38" s="23">
        <f t="shared" si="3"/>
      </c>
      <c r="Q38" s="694">
        <f t="shared" si="4"/>
      </c>
      <c r="R38" s="23">
        <f t="shared" si="15"/>
      </c>
      <c r="S38" s="322">
        <f t="shared" si="5"/>
        <v>3</v>
      </c>
      <c r="T38" s="695" t="str">
        <f t="shared" si="6"/>
        <v>--</v>
      </c>
      <c r="U38" s="696" t="str">
        <f t="shared" si="7"/>
        <v>--</v>
      </c>
      <c r="V38" s="325" t="str">
        <f t="shared" si="8"/>
        <v>--</v>
      </c>
      <c r="W38" s="326" t="str">
        <f t="shared" si="9"/>
        <v>--</v>
      </c>
      <c r="X38" s="329" t="str">
        <f t="shared" si="10"/>
        <v>--</v>
      </c>
      <c r="Y38" s="330" t="str">
        <f t="shared" si="11"/>
        <v>--</v>
      </c>
      <c r="Z38" s="331" t="str">
        <f t="shared" si="12"/>
        <v>--</v>
      </c>
      <c r="AA38" s="332" t="str">
        <f t="shared" si="13"/>
        <v>--</v>
      </c>
      <c r="AB38" s="23">
        <f t="shared" si="16"/>
      </c>
      <c r="AC38" s="585">
        <f t="shared" si="14"/>
      </c>
      <c r="AD38" s="531"/>
    </row>
    <row r="39" spans="1:30" s="519" customFormat="1" ht="16.5" customHeight="1">
      <c r="A39" s="518"/>
      <c r="B39" s="530"/>
      <c r="C39" s="613"/>
      <c r="D39" s="613"/>
      <c r="E39" s="613"/>
      <c r="F39" s="478"/>
      <c r="G39" s="477"/>
      <c r="H39" s="614"/>
      <c r="I39" s="615"/>
      <c r="J39" s="267">
        <f t="shared" si="0"/>
        <v>0</v>
      </c>
      <c r="K39" s="617"/>
      <c r="L39" s="617"/>
      <c r="M39" s="24">
        <f t="shared" si="1"/>
      </c>
      <c r="N39" s="25">
        <f t="shared" si="2"/>
      </c>
      <c r="O39" s="618"/>
      <c r="P39" s="23">
        <f t="shared" si="3"/>
      </c>
      <c r="Q39" s="694">
        <f t="shared" si="4"/>
      </c>
      <c r="R39" s="23">
        <f t="shared" si="15"/>
      </c>
      <c r="S39" s="322">
        <f t="shared" si="5"/>
        <v>3</v>
      </c>
      <c r="T39" s="695" t="str">
        <f t="shared" si="6"/>
        <v>--</v>
      </c>
      <c r="U39" s="696" t="str">
        <f t="shared" si="7"/>
        <v>--</v>
      </c>
      <c r="V39" s="325" t="str">
        <f t="shared" si="8"/>
        <v>--</v>
      </c>
      <c r="W39" s="326" t="str">
        <f t="shared" si="9"/>
        <v>--</v>
      </c>
      <c r="X39" s="329" t="str">
        <f t="shared" si="10"/>
        <v>--</v>
      </c>
      <c r="Y39" s="330" t="str">
        <f t="shared" si="11"/>
        <v>--</v>
      </c>
      <c r="Z39" s="331" t="str">
        <f t="shared" si="12"/>
        <v>--</v>
      </c>
      <c r="AA39" s="332" t="str">
        <f t="shared" si="13"/>
        <v>--</v>
      </c>
      <c r="AB39" s="23">
        <f t="shared" si="16"/>
      </c>
      <c r="AC39" s="585">
        <f t="shared" si="14"/>
      </c>
      <c r="AD39" s="531"/>
    </row>
    <row r="40" spans="1:30" s="519" customFormat="1" ht="16.5" customHeight="1">
      <c r="A40" s="518"/>
      <c r="B40" s="530"/>
      <c r="C40" s="613"/>
      <c r="D40" s="613"/>
      <c r="E40" s="613"/>
      <c r="F40" s="478"/>
      <c r="G40" s="477"/>
      <c r="H40" s="614"/>
      <c r="I40" s="615"/>
      <c r="J40" s="267">
        <f>H40*$I$18</f>
        <v>0</v>
      </c>
      <c r="K40" s="617"/>
      <c r="L40" s="617"/>
      <c r="M40" s="24">
        <f>IF(F40="","",(L40-K40)*24)</f>
      </c>
      <c r="N40" s="25">
        <f>IF(F40="","",ROUND((L40-K40)*24*60,0))</f>
      </c>
      <c r="O40" s="618"/>
      <c r="P40" s="23">
        <f t="shared" si="3"/>
      </c>
      <c r="Q40" s="694">
        <f t="shared" si="4"/>
      </c>
      <c r="R40" s="23">
        <f t="shared" si="15"/>
      </c>
      <c r="S40" s="322">
        <f>$I$19*IF(OR(O40="P",O40="RP"),0.1,1)*IF(R40="SI",1,0.1)</f>
        <v>3</v>
      </c>
      <c r="T40" s="695" t="str">
        <f>IF(O40="P",J40*S40*ROUND(N40/60,2),"--")</f>
        <v>--</v>
      </c>
      <c r="U40" s="696" t="str">
        <f>IF(O40="RP",J40*S40*ROUND(N40/60,2)*Q40/100,"--")</f>
        <v>--</v>
      </c>
      <c r="V40" s="325" t="str">
        <f>IF(AND(O40="F",P40="NO"),J40*S40,"--")</f>
        <v>--</v>
      </c>
      <c r="W40" s="326" t="str">
        <f>IF(O40="F",J40*S40*ROUND(N40/60,2),"--")</f>
        <v>--</v>
      </c>
      <c r="X40" s="329" t="str">
        <f>IF(AND(O40="R",P40="NO"),J40*S40*Q40/100,"--")</f>
        <v>--</v>
      </c>
      <c r="Y40" s="330" t="str">
        <f>IF(O40="R",J40*S40*ROUND(N40/60,2)*Q40/100,"--")</f>
        <v>--</v>
      </c>
      <c r="Z40" s="331" t="str">
        <f>IF(O40="RF",J40*S40*ROUND(N40/60,2),"--")</f>
        <v>--</v>
      </c>
      <c r="AA40" s="332" t="str">
        <f>IF(O40="RR",J40*S40*ROUND(N40/60,2)*Q40/100,"--")</f>
        <v>--</v>
      </c>
      <c r="AB40" s="23">
        <f>IF(F40="","","SI")</f>
      </c>
      <c r="AC40" s="585">
        <f>IF(F40="","",SUM(T40:AA40)*IF(AB40="SI",1,2))</f>
      </c>
      <c r="AD40" s="531"/>
    </row>
    <row r="41" spans="1:30" s="519" customFormat="1" ht="16.5" customHeight="1">
      <c r="A41" s="518"/>
      <c r="B41" s="530"/>
      <c r="C41" s="613"/>
      <c r="D41" s="613"/>
      <c r="E41" s="613"/>
      <c r="F41" s="478"/>
      <c r="G41" s="477"/>
      <c r="H41" s="614"/>
      <c r="I41" s="615"/>
      <c r="J41" s="267">
        <f>H41*$I$18</f>
        <v>0</v>
      </c>
      <c r="K41" s="617"/>
      <c r="L41" s="617"/>
      <c r="M41" s="24">
        <f>IF(F41="","",(L41-K41)*24)</f>
      </c>
      <c r="N41" s="25">
        <f>IF(F41="","",ROUND((L41-K41)*24*60,0))</f>
      </c>
      <c r="O41" s="618"/>
      <c r="P41" s="23">
        <f t="shared" si="3"/>
      </c>
      <c r="Q41" s="694">
        <f t="shared" si="4"/>
      </c>
      <c r="R41" s="23">
        <f t="shared" si="15"/>
      </c>
      <c r="S41" s="322">
        <f>$I$19*IF(OR(O41="P",O41="RP"),0.1,1)*IF(R41="SI",1,0.1)</f>
        <v>3</v>
      </c>
      <c r="T41" s="695" t="str">
        <f>IF(O41="P",J41*S41*ROUND(N41/60,2),"--")</f>
        <v>--</v>
      </c>
      <c r="U41" s="696" t="str">
        <f>IF(O41="RP",J41*S41*ROUND(N41/60,2)*Q41/100,"--")</f>
        <v>--</v>
      </c>
      <c r="V41" s="325" t="str">
        <f>IF(AND(O41="F",P41="NO"),J41*S41,"--")</f>
        <v>--</v>
      </c>
      <c r="W41" s="326" t="str">
        <f>IF(O41="F",J41*S41*ROUND(N41/60,2),"--")</f>
        <v>--</v>
      </c>
      <c r="X41" s="329" t="str">
        <f>IF(AND(O41="R",P41="NO"),J41*S41*Q41/100,"--")</f>
        <v>--</v>
      </c>
      <c r="Y41" s="330" t="str">
        <f>IF(O41="R",J41*S41*ROUND(N41/60,2)*Q41/100,"--")</f>
        <v>--</v>
      </c>
      <c r="Z41" s="331" t="str">
        <f>IF(O41="RF",J41*S41*ROUND(N41/60,2),"--")</f>
        <v>--</v>
      </c>
      <c r="AA41" s="332" t="str">
        <f>IF(O41="RR",J41*S41*ROUND(N41/60,2)*Q41/100,"--")</f>
        <v>--</v>
      </c>
      <c r="AB41" s="23">
        <f>IF(F41="","","SI")</f>
      </c>
      <c r="AC41" s="585">
        <f>IF(F41="","",SUM(T41:AA41)*IF(AB41="SI",1,2))</f>
      </c>
      <c r="AD41" s="531"/>
    </row>
    <row r="42" spans="1:30" s="519" customFormat="1" ht="16.5" customHeight="1">
      <c r="A42" s="518"/>
      <c r="B42" s="530"/>
      <c r="C42" s="613"/>
      <c r="D42" s="613"/>
      <c r="E42" s="613"/>
      <c r="F42" s="478"/>
      <c r="G42" s="477"/>
      <c r="H42" s="614"/>
      <c r="I42" s="615"/>
      <c r="J42" s="267">
        <f>H42*$I$18</f>
        <v>0</v>
      </c>
      <c r="K42" s="617"/>
      <c r="L42" s="617"/>
      <c r="M42" s="24">
        <f>IF(F42="","",(L42-K42)*24)</f>
      </c>
      <c r="N42" s="25">
        <f>IF(F42="","",ROUND((L42-K42)*24*60,0))</f>
      </c>
      <c r="O42" s="618"/>
      <c r="P42" s="23">
        <f t="shared" si="3"/>
      </c>
      <c r="Q42" s="694">
        <f t="shared" si="4"/>
      </c>
      <c r="R42" s="23">
        <f t="shared" si="15"/>
      </c>
      <c r="S42" s="322">
        <f>$I$19*IF(OR(O42="P",O42="RP"),0.1,1)*IF(R42="SI",1,0.1)</f>
        <v>3</v>
      </c>
      <c r="T42" s="695" t="str">
        <f>IF(O42="P",J42*S42*ROUND(N42/60,2),"--")</f>
        <v>--</v>
      </c>
      <c r="U42" s="696" t="str">
        <f>IF(O42="RP",J42*S42*ROUND(N42/60,2)*Q42/100,"--")</f>
        <v>--</v>
      </c>
      <c r="V42" s="325" t="str">
        <f>IF(AND(O42="F",P42="NO"),J42*S42,"--")</f>
        <v>--</v>
      </c>
      <c r="W42" s="326" t="str">
        <f>IF(O42="F",J42*S42*ROUND(N42/60,2),"--")</f>
        <v>--</v>
      </c>
      <c r="X42" s="329" t="str">
        <f>IF(AND(O42="R",P42="NO"),J42*S42*Q42/100,"--")</f>
        <v>--</v>
      </c>
      <c r="Y42" s="330" t="str">
        <f>IF(O42="R",J42*S42*ROUND(N42/60,2)*Q42/100,"--")</f>
        <v>--</v>
      </c>
      <c r="Z42" s="331" t="str">
        <f>IF(O42="RF",J42*S42*ROUND(N42/60,2),"--")</f>
        <v>--</v>
      </c>
      <c r="AA42" s="332" t="str">
        <f>IF(O42="RR",J42*S42*ROUND(N42/60,2)*Q42/100,"--")</f>
        <v>--</v>
      </c>
      <c r="AB42" s="23">
        <f>IF(F42="","","SI")</f>
      </c>
      <c r="AC42" s="585">
        <f>IF(F42="","",SUM(T42:AA42)*IF(AB42="SI",1,2))</f>
      </c>
      <c r="AD42" s="531"/>
    </row>
    <row r="43" spans="1:30" s="519" customFormat="1" ht="16.5" customHeight="1">
      <c r="A43" s="518"/>
      <c r="B43" s="530"/>
      <c r="C43" s="613"/>
      <c r="D43" s="613"/>
      <c r="E43" s="613"/>
      <c r="F43" s="478"/>
      <c r="G43" s="477"/>
      <c r="H43" s="614"/>
      <c r="I43" s="615"/>
      <c r="J43" s="267">
        <f>H43*$I$18</f>
        <v>0</v>
      </c>
      <c r="K43" s="617"/>
      <c r="L43" s="617"/>
      <c r="M43" s="24">
        <f>IF(F43="","",(L43-K43)*24)</f>
      </c>
      <c r="N43" s="25">
        <f>IF(F43="","",ROUND((L43-K43)*24*60,0))</f>
      </c>
      <c r="O43" s="618"/>
      <c r="P43" s="23">
        <f t="shared" si="3"/>
      </c>
      <c r="Q43" s="694">
        <f t="shared" si="4"/>
      </c>
      <c r="R43" s="23">
        <f t="shared" si="15"/>
      </c>
      <c r="S43" s="322">
        <f>$I$19*IF(OR(O43="P",O43="RP"),0.1,1)*IF(R43="SI",1,0.1)</f>
        <v>3</v>
      </c>
      <c r="T43" s="695" t="str">
        <f>IF(O43="P",J43*S43*ROUND(N43/60,2),"--")</f>
        <v>--</v>
      </c>
      <c r="U43" s="696" t="str">
        <f>IF(O43="RP",J43*S43*ROUND(N43/60,2)*Q43/100,"--")</f>
        <v>--</v>
      </c>
      <c r="V43" s="325" t="str">
        <f>IF(AND(O43="F",P43="NO"),J43*S43,"--")</f>
        <v>--</v>
      </c>
      <c r="W43" s="326" t="str">
        <f>IF(O43="F",J43*S43*ROUND(N43/60,2),"--")</f>
        <v>--</v>
      </c>
      <c r="X43" s="329" t="str">
        <f>IF(AND(O43="R",P43="NO"),J43*S43*Q43/100,"--")</f>
        <v>--</v>
      </c>
      <c r="Y43" s="330" t="str">
        <f>IF(O43="R",J43*S43*ROUND(N43/60,2)*Q43/100,"--")</f>
        <v>--</v>
      </c>
      <c r="Z43" s="331" t="str">
        <f>IF(O43="RF",J43*S43*ROUND(N43/60,2),"--")</f>
        <v>--</v>
      </c>
      <c r="AA43" s="332" t="str">
        <f>IF(O43="RR",J43*S43*ROUND(N43/60,2)*Q43/100,"--")</f>
        <v>--</v>
      </c>
      <c r="AB43" s="23">
        <f>IF(F43="","","SI")</f>
      </c>
      <c r="AC43" s="585">
        <f>IF(F43="","",SUM(T43:AA43)*IF(AB43="SI",1,2))</f>
      </c>
      <c r="AD43" s="531"/>
    </row>
    <row r="44" spans="1:30" s="519" customFormat="1" ht="16.5" customHeight="1" thickBot="1">
      <c r="A44" s="518"/>
      <c r="B44" s="530"/>
      <c r="C44" s="616"/>
      <c r="D44" s="616"/>
      <c r="E44" s="616"/>
      <c r="F44" s="616"/>
      <c r="G44" s="616"/>
      <c r="H44" s="616"/>
      <c r="I44" s="616"/>
      <c r="J44" s="588"/>
      <c r="K44" s="616"/>
      <c r="L44" s="616"/>
      <c r="M44" s="587"/>
      <c r="N44" s="587"/>
      <c r="O44" s="616"/>
      <c r="P44" s="616"/>
      <c r="Q44" s="616"/>
      <c r="R44" s="616"/>
      <c r="S44" s="619"/>
      <c r="T44" s="620"/>
      <c r="U44" s="621"/>
      <c r="V44" s="622"/>
      <c r="W44" s="623"/>
      <c r="X44" s="624"/>
      <c r="Y44" s="625"/>
      <c r="Z44" s="626"/>
      <c r="AA44" s="627"/>
      <c r="AB44" s="616"/>
      <c r="AC44" s="589"/>
      <c r="AD44" s="531"/>
    </row>
    <row r="45" spans="1:30" s="519" customFormat="1" ht="16.5" customHeight="1" thickBot="1" thickTop="1">
      <c r="A45" s="518"/>
      <c r="B45" s="530"/>
      <c r="C45" s="590" t="s">
        <v>65</v>
      </c>
      <c r="D45" s="719" t="s">
        <v>182</v>
      </c>
      <c r="E45" s="247"/>
      <c r="F45" s="242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591">
        <f aca="true" t="shared" si="17" ref="T45:AA45">SUM(T22:T44)</f>
        <v>35.9775</v>
      </c>
      <c r="U45" s="592">
        <f t="shared" si="17"/>
        <v>0</v>
      </c>
      <c r="V45" s="593">
        <f t="shared" si="17"/>
        <v>0</v>
      </c>
      <c r="W45" s="593">
        <f t="shared" si="17"/>
        <v>0</v>
      </c>
      <c r="X45" s="594">
        <f t="shared" si="17"/>
        <v>0</v>
      </c>
      <c r="Y45" s="594">
        <f t="shared" si="17"/>
        <v>0</v>
      </c>
      <c r="Z45" s="595">
        <f t="shared" si="17"/>
        <v>0</v>
      </c>
      <c r="AA45" s="596">
        <f t="shared" si="17"/>
        <v>0</v>
      </c>
      <c r="AB45" s="597"/>
      <c r="AC45" s="598">
        <f>ROUND(SUM(AC22:AC44),2)</f>
        <v>35.98</v>
      </c>
      <c r="AD45" s="531"/>
    </row>
    <row r="46" spans="1:30" s="606" customFormat="1" ht="9.75" thickTop="1">
      <c r="A46" s="599"/>
      <c r="B46" s="600"/>
      <c r="C46" s="601"/>
      <c r="D46" s="601"/>
      <c r="E46" s="601"/>
      <c r="F46" s="244"/>
      <c r="G46" s="602"/>
      <c r="H46" s="602"/>
      <c r="I46" s="602"/>
      <c r="J46" s="602"/>
      <c r="K46" s="602"/>
      <c r="L46" s="602"/>
      <c r="M46" s="602"/>
      <c r="N46" s="602"/>
      <c r="O46" s="602"/>
      <c r="P46" s="602"/>
      <c r="Q46" s="602"/>
      <c r="R46" s="602"/>
      <c r="S46" s="602"/>
      <c r="T46" s="603"/>
      <c r="U46" s="603"/>
      <c r="V46" s="603"/>
      <c r="W46" s="603"/>
      <c r="X46" s="603"/>
      <c r="Y46" s="603"/>
      <c r="Z46" s="603"/>
      <c r="AA46" s="603"/>
      <c r="AB46" s="602"/>
      <c r="AC46" s="604"/>
      <c r="AD46" s="605"/>
    </row>
    <row r="47" spans="1:30" s="519" customFormat="1" ht="16.5" customHeight="1" thickBot="1">
      <c r="A47" s="518"/>
      <c r="B47" s="607"/>
      <c r="C47" s="608"/>
      <c r="D47" s="608"/>
      <c r="E47" s="608"/>
      <c r="F47" s="608"/>
      <c r="G47" s="608"/>
      <c r="H47" s="608"/>
      <c r="I47" s="608"/>
      <c r="J47" s="608"/>
      <c r="K47" s="608"/>
      <c r="L47" s="608"/>
      <c r="M47" s="608"/>
      <c r="N47" s="608"/>
      <c r="O47" s="608"/>
      <c r="P47" s="608"/>
      <c r="Q47" s="608"/>
      <c r="R47" s="608"/>
      <c r="S47" s="608"/>
      <c r="T47" s="608"/>
      <c r="U47" s="608"/>
      <c r="V47" s="608"/>
      <c r="W47" s="608"/>
      <c r="X47" s="608"/>
      <c r="Y47" s="608"/>
      <c r="Z47" s="608"/>
      <c r="AA47" s="608"/>
      <c r="AB47" s="608"/>
      <c r="AC47" s="608"/>
      <c r="AD47" s="609"/>
    </row>
    <row r="48" spans="2:30" ht="16.5" customHeight="1" thickTop="1">
      <c r="B48" s="611"/>
      <c r="C48" s="611"/>
      <c r="D48" s="611"/>
      <c r="E48" s="611"/>
      <c r="F48" s="611"/>
      <c r="G48" s="611"/>
      <c r="H48" s="611"/>
      <c r="I48" s="611"/>
      <c r="J48" s="611"/>
      <c r="K48" s="611"/>
      <c r="L48" s="611"/>
      <c r="M48" s="611"/>
      <c r="N48" s="611"/>
      <c r="O48" s="611"/>
      <c r="P48" s="611"/>
      <c r="Q48" s="611"/>
      <c r="R48" s="611"/>
      <c r="S48" s="611"/>
      <c r="T48" s="611"/>
      <c r="U48" s="611"/>
      <c r="V48" s="611"/>
      <c r="W48" s="611"/>
      <c r="X48" s="611"/>
      <c r="Y48" s="611"/>
      <c r="Z48" s="611"/>
      <c r="AA48" s="611"/>
      <c r="AB48" s="611"/>
      <c r="AC48" s="611"/>
      <c r="AD48" s="612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="75" zoomScaleNormal="75" zoomScalePageLayoutView="0" workbookViewId="0" topLeftCell="A1">
      <selection activeCell="I18" sqref="I18"/>
    </sheetView>
  </sheetViews>
  <sheetFormatPr defaultColWidth="11.421875" defaultRowHeight="12.75"/>
  <cols>
    <col min="1" max="2" width="4.140625" style="610" customWidth="1"/>
    <col min="3" max="3" width="5.57421875" style="610" customWidth="1"/>
    <col min="4" max="5" width="13.7109375" style="610" customWidth="1"/>
    <col min="6" max="7" width="25.7109375" style="610" customWidth="1"/>
    <col min="8" max="8" width="7.7109375" style="610" customWidth="1"/>
    <col min="9" max="9" width="12.7109375" style="610" customWidth="1"/>
    <col min="10" max="10" width="11.8515625" style="610" hidden="1" customWidth="1"/>
    <col min="11" max="12" width="15.7109375" style="610" customWidth="1"/>
    <col min="13" max="15" width="9.7109375" style="610" customWidth="1"/>
    <col min="16" max="16" width="5.8515625" style="610" customWidth="1"/>
    <col min="17" max="18" width="7.00390625" style="610" customWidth="1"/>
    <col min="19" max="19" width="11.7109375" style="610" hidden="1" customWidth="1"/>
    <col min="20" max="21" width="14.00390625" style="610" hidden="1" customWidth="1"/>
    <col min="22" max="22" width="14.28125" style="610" hidden="1" customWidth="1"/>
    <col min="23" max="27" width="14.140625" style="610" hidden="1" customWidth="1"/>
    <col min="28" max="28" width="9.00390625" style="610" customWidth="1"/>
    <col min="29" max="29" width="15.7109375" style="610" customWidth="1"/>
    <col min="30" max="30" width="4.140625" style="610" customWidth="1"/>
    <col min="31" max="16384" width="11.421875" style="610" customWidth="1"/>
  </cols>
  <sheetData>
    <row r="1" spans="1:30" s="516" customFormat="1" ht="26.25">
      <c r="A1" s="115"/>
      <c r="B1" s="115"/>
      <c r="C1" s="115"/>
      <c r="D1" s="115"/>
      <c r="E1" s="115"/>
      <c r="F1" s="115"/>
      <c r="G1" s="115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5"/>
    </row>
    <row r="2" spans="1:30" s="516" customFormat="1" ht="26.25">
      <c r="A2" s="115"/>
      <c r="B2" s="116" t="str">
        <f>+'TOT-0514'!B2</f>
        <v>ANEXO V al Memorándum  D.T.E.E.  N°       34    / 2014.-</v>
      </c>
      <c r="C2" s="117"/>
      <c r="D2" s="117"/>
      <c r="E2" s="117"/>
      <c r="F2" s="117"/>
      <c r="G2" s="1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</row>
    <row r="3" spans="1:30" s="519" customFormat="1" ht="12.75">
      <c r="A3" s="11"/>
      <c r="B3" s="11"/>
      <c r="C3" s="11"/>
      <c r="D3" s="11"/>
      <c r="E3" s="11"/>
      <c r="F3" s="11"/>
      <c r="G3" s="11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</row>
    <row r="4" spans="1:30" s="521" customFormat="1" ht="11.25">
      <c r="A4" s="680" t="s">
        <v>16</v>
      </c>
      <c r="B4" s="118"/>
      <c r="C4" s="679"/>
      <c r="D4" s="679"/>
      <c r="E4" s="679"/>
      <c r="F4" s="118"/>
      <c r="G4" s="118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</row>
    <row r="5" spans="1:30" s="521" customFormat="1" ht="11.25">
      <c r="A5" s="680" t="s">
        <v>140</v>
      </c>
      <c r="B5" s="118"/>
      <c r="C5" s="679"/>
      <c r="D5" s="679"/>
      <c r="E5" s="679"/>
      <c r="F5" s="118"/>
      <c r="G5" s="118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0"/>
      <c r="AA5" s="520"/>
      <c r="AB5" s="520"/>
      <c r="AC5" s="520"/>
      <c r="AD5" s="520"/>
    </row>
    <row r="6" spans="1:30" s="519" customFormat="1" ht="13.5" thickBot="1">
      <c r="A6" s="518"/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</row>
    <row r="7" spans="1:30" s="519" customFormat="1" ht="13.5" thickTop="1">
      <c r="A7" s="518"/>
      <c r="B7" s="522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4"/>
    </row>
    <row r="8" spans="1:30" s="528" customFormat="1" ht="20.25">
      <c r="A8" s="525"/>
      <c r="B8" s="526"/>
      <c r="C8" s="187"/>
      <c r="D8" s="187"/>
      <c r="E8" s="187"/>
      <c r="F8" s="527" t="s">
        <v>41</v>
      </c>
      <c r="H8" s="187"/>
      <c r="I8" s="525"/>
      <c r="J8" s="525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529"/>
    </row>
    <row r="9" spans="1:30" s="519" customFormat="1" ht="12.75">
      <c r="A9" s="518"/>
      <c r="B9" s="530"/>
      <c r="C9" s="181"/>
      <c r="D9" s="181"/>
      <c r="E9" s="181"/>
      <c r="F9" s="181"/>
      <c r="G9" s="181"/>
      <c r="H9" s="181"/>
      <c r="I9" s="518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531"/>
    </row>
    <row r="10" spans="1:30" s="528" customFormat="1" ht="20.25">
      <c r="A10" s="525"/>
      <c r="B10" s="526"/>
      <c r="C10" s="187"/>
      <c r="D10" s="187"/>
      <c r="E10" s="187"/>
      <c r="F10" s="527" t="s">
        <v>66</v>
      </c>
      <c r="G10" s="187"/>
      <c r="H10" s="187"/>
      <c r="I10" s="525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529"/>
    </row>
    <row r="11" spans="1:30" s="519" customFormat="1" ht="12.75">
      <c r="A11" s="518"/>
      <c r="B11" s="530"/>
      <c r="C11" s="181"/>
      <c r="D11" s="181"/>
      <c r="E11" s="181"/>
      <c r="F11" s="532"/>
      <c r="G11" s="181"/>
      <c r="H11" s="181"/>
      <c r="I11" s="518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531"/>
    </row>
    <row r="12" spans="1:30" s="528" customFormat="1" ht="20.25">
      <c r="A12" s="525"/>
      <c r="B12" s="526"/>
      <c r="C12" s="187"/>
      <c r="D12" s="187"/>
      <c r="E12" s="187"/>
      <c r="F12" s="527" t="s">
        <v>67</v>
      </c>
      <c r="G12" s="533"/>
      <c r="H12" s="525"/>
      <c r="I12" s="525"/>
      <c r="J12" s="187"/>
      <c r="K12" s="187"/>
      <c r="L12" s="525"/>
      <c r="M12" s="525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529"/>
    </row>
    <row r="13" spans="1:30" s="519" customFormat="1" ht="12.75">
      <c r="A13" s="518"/>
      <c r="B13" s="530"/>
      <c r="C13" s="181"/>
      <c r="D13" s="181"/>
      <c r="E13" s="181"/>
      <c r="F13" s="534"/>
      <c r="G13" s="535"/>
      <c r="H13" s="518"/>
      <c r="I13" s="518"/>
      <c r="J13" s="181"/>
      <c r="K13" s="181"/>
      <c r="L13" s="518"/>
      <c r="M13" s="518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531"/>
    </row>
    <row r="14" spans="1:30" s="528" customFormat="1" ht="20.25">
      <c r="A14" s="525"/>
      <c r="B14" s="526"/>
      <c r="C14" s="187"/>
      <c r="D14" s="187"/>
      <c r="E14" s="187"/>
      <c r="F14" s="21" t="s">
        <v>177</v>
      </c>
      <c r="G14" s="188"/>
      <c r="H14" s="188"/>
      <c r="I14" s="189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529"/>
    </row>
    <row r="15" spans="1:30" s="519" customFormat="1" ht="12.75">
      <c r="A15" s="518"/>
      <c r="B15" s="530"/>
      <c r="C15" s="181"/>
      <c r="D15" s="181"/>
      <c r="E15" s="181"/>
      <c r="F15" s="536"/>
      <c r="G15" s="182"/>
      <c r="H15" s="182"/>
      <c r="I15" s="183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531"/>
    </row>
    <row r="16" spans="1:30" s="542" customFormat="1" ht="19.5">
      <c r="A16" s="537"/>
      <c r="B16" s="95" t="str">
        <f>+'TOT-0514'!B14</f>
        <v>Desde el 01 al 31 de mayo de 2014</v>
      </c>
      <c r="C16" s="538"/>
      <c r="D16" s="538"/>
      <c r="E16" s="538"/>
      <c r="F16" s="538"/>
      <c r="G16" s="538"/>
      <c r="H16" s="538"/>
      <c r="I16" s="539"/>
      <c r="J16" s="538"/>
      <c r="K16" s="540"/>
      <c r="L16" s="540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41"/>
    </row>
    <row r="17" spans="1:30" s="519" customFormat="1" ht="14.25" thickBot="1">
      <c r="A17" s="518"/>
      <c r="B17" s="530"/>
      <c r="C17" s="181"/>
      <c r="D17" s="181"/>
      <c r="E17" s="181"/>
      <c r="F17" s="181"/>
      <c r="G17" s="181"/>
      <c r="H17" s="181"/>
      <c r="I17" s="34"/>
      <c r="J17" s="181"/>
      <c r="K17" s="543"/>
      <c r="L17" s="544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531"/>
    </row>
    <row r="18" spans="1:30" s="519" customFormat="1" ht="16.5" customHeight="1" thickBot="1" thickTop="1">
      <c r="A18" s="518"/>
      <c r="B18" s="530"/>
      <c r="C18" s="181"/>
      <c r="D18" s="181"/>
      <c r="E18" s="181"/>
      <c r="F18" s="191" t="s">
        <v>69</v>
      </c>
      <c r="G18" s="192"/>
      <c r="H18" s="545"/>
      <c r="I18" s="546">
        <v>0.585</v>
      </c>
      <c r="J18" s="518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531"/>
    </row>
    <row r="19" spans="1:30" s="519" customFormat="1" ht="16.5" customHeight="1" thickBot="1" thickTop="1">
      <c r="A19" s="518"/>
      <c r="B19" s="530"/>
      <c r="C19" s="181"/>
      <c r="D19" s="181"/>
      <c r="E19" s="181"/>
      <c r="F19" s="193" t="s">
        <v>70</v>
      </c>
      <c r="G19" s="194"/>
      <c r="H19" s="194"/>
      <c r="I19" s="195">
        <v>30</v>
      </c>
      <c r="J19" s="181"/>
      <c r="K19" s="238" t="str">
        <f>IF(I19=30," ",IF(I19=60,"Coeficiente duplicado por tasa de falla &gt;4 Sal. x año/100 km.","REVISAR COEFICIENTE"))</f>
        <v> </v>
      </c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547"/>
      <c r="X19" s="547"/>
      <c r="Y19" s="547"/>
      <c r="Z19" s="547"/>
      <c r="AA19" s="547"/>
      <c r="AB19" s="547"/>
      <c r="AC19" s="547"/>
      <c r="AD19" s="531"/>
    </row>
    <row r="20" spans="1:30" s="712" customFormat="1" ht="16.5" customHeight="1" thickBot="1" thickTop="1">
      <c r="A20" s="708"/>
      <c r="B20" s="709"/>
      <c r="C20" s="710">
        <v>3</v>
      </c>
      <c r="D20" s="710">
        <v>4</v>
      </c>
      <c r="E20" s="710">
        <v>5</v>
      </c>
      <c r="F20" s="710">
        <v>6</v>
      </c>
      <c r="G20" s="710">
        <v>7</v>
      </c>
      <c r="H20" s="710">
        <v>8</v>
      </c>
      <c r="I20" s="710">
        <v>9</v>
      </c>
      <c r="J20" s="710">
        <v>10</v>
      </c>
      <c r="K20" s="710">
        <v>11</v>
      </c>
      <c r="L20" s="710">
        <v>12</v>
      </c>
      <c r="M20" s="710">
        <v>13</v>
      </c>
      <c r="N20" s="710">
        <v>14</v>
      </c>
      <c r="O20" s="710">
        <v>15</v>
      </c>
      <c r="P20" s="710">
        <v>16</v>
      </c>
      <c r="Q20" s="710">
        <v>17</v>
      </c>
      <c r="R20" s="710">
        <v>18</v>
      </c>
      <c r="S20" s="710">
        <v>19</v>
      </c>
      <c r="T20" s="710">
        <v>20</v>
      </c>
      <c r="U20" s="710">
        <v>21</v>
      </c>
      <c r="V20" s="710">
        <v>22</v>
      </c>
      <c r="W20" s="710">
        <v>23</v>
      </c>
      <c r="X20" s="710">
        <v>24</v>
      </c>
      <c r="Y20" s="710">
        <v>25</v>
      </c>
      <c r="Z20" s="710">
        <v>26</v>
      </c>
      <c r="AA20" s="710">
        <v>27</v>
      </c>
      <c r="AB20" s="710">
        <v>28</v>
      </c>
      <c r="AC20" s="710">
        <v>29</v>
      </c>
      <c r="AD20" s="711"/>
    </row>
    <row r="21" spans="1:30" s="557" customFormat="1" ht="33.75" customHeight="1" thickBot="1" thickTop="1">
      <c r="A21" s="548"/>
      <c r="B21" s="549"/>
      <c r="C21" s="201" t="s">
        <v>47</v>
      </c>
      <c r="D21" s="107" t="s">
        <v>139</v>
      </c>
      <c r="E21" s="107" t="s">
        <v>138</v>
      </c>
      <c r="F21" s="200" t="s">
        <v>71</v>
      </c>
      <c r="G21" s="196" t="s">
        <v>14</v>
      </c>
      <c r="H21" s="197" t="s">
        <v>72</v>
      </c>
      <c r="I21" s="200" t="s">
        <v>48</v>
      </c>
      <c r="J21" s="266" t="s">
        <v>50</v>
      </c>
      <c r="K21" s="199" t="s">
        <v>73</v>
      </c>
      <c r="L21" s="199" t="s">
        <v>74</v>
      </c>
      <c r="M21" s="200" t="s">
        <v>75</v>
      </c>
      <c r="N21" s="200" t="s">
        <v>76</v>
      </c>
      <c r="O21" s="111" t="s">
        <v>55</v>
      </c>
      <c r="P21" s="201" t="s">
        <v>77</v>
      </c>
      <c r="Q21" s="200" t="s">
        <v>78</v>
      </c>
      <c r="R21" s="196" t="s">
        <v>79</v>
      </c>
      <c r="S21" s="321" t="s">
        <v>80</v>
      </c>
      <c r="T21" s="550" t="s">
        <v>57</v>
      </c>
      <c r="U21" s="551" t="s">
        <v>58</v>
      </c>
      <c r="V21" s="324" t="s">
        <v>81</v>
      </c>
      <c r="W21" s="552"/>
      <c r="X21" s="327" t="s">
        <v>81</v>
      </c>
      <c r="Y21" s="553"/>
      <c r="Z21" s="554" t="s">
        <v>61</v>
      </c>
      <c r="AA21" s="555" t="s">
        <v>62</v>
      </c>
      <c r="AB21" s="200" t="s">
        <v>63</v>
      </c>
      <c r="AC21" s="200" t="s">
        <v>64</v>
      </c>
      <c r="AD21" s="556"/>
    </row>
    <row r="22" spans="1:30" s="519" customFormat="1" ht="16.5" customHeight="1" thickTop="1">
      <c r="A22" s="518"/>
      <c r="B22" s="530"/>
      <c r="C22" s="558"/>
      <c r="D22" s="558"/>
      <c r="E22" s="558"/>
      <c r="F22" s="559"/>
      <c r="G22" s="560"/>
      <c r="H22" s="560"/>
      <c r="I22" s="560"/>
      <c r="J22" s="561"/>
      <c r="K22" s="559"/>
      <c r="L22" s="560"/>
      <c r="M22" s="559"/>
      <c r="N22" s="559"/>
      <c r="O22" s="560"/>
      <c r="P22" s="560"/>
      <c r="Q22" s="560"/>
      <c r="R22" s="560"/>
      <c r="S22" s="562"/>
      <c r="T22" s="563"/>
      <c r="U22" s="564"/>
      <c r="V22" s="565"/>
      <c r="W22" s="566"/>
      <c r="X22" s="567"/>
      <c r="Y22" s="568"/>
      <c r="Z22" s="569"/>
      <c r="AA22" s="570"/>
      <c r="AB22" s="560"/>
      <c r="AC22" s="571"/>
      <c r="AD22" s="531"/>
    </row>
    <row r="23" spans="1:30" s="519" customFormat="1" ht="16.5" customHeight="1">
      <c r="A23" s="518"/>
      <c r="B23" s="530"/>
      <c r="C23" s="558"/>
      <c r="D23" s="558"/>
      <c r="E23" s="558"/>
      <c r="F23" s="572"/>
      <c r="G23" s="572"/>
      <c r="H23" s="572"/>
      <c r="I23" s="572"/>
      <c r="J23" s="573"/>
      <c r="K23" s="574"/>
      <c r="L23" s="572"/>
      <c r="M23" s="574"/>
      <c r="N23" s="574"/>
      <c r="O23" s="572"/>
      <c r="P23" s="572"/>
      <c r="Q23" s="572"/>
      <c r="R23" s="572"/>
      <c r="S23" s="575"/>
      <c r="T23" s="576"/>
      <c r="U23" s="577"/>
      <c r="V23" s="578"/>
      <c r="W23" s="579"/>
      <c r="X23" s="580"/>
      <c r="Y23" s="581"/>
      <c r="Z23" s="582"/>
      <c r="AA23" s="583"/>
      <c r="AB23" s="572"/>
      <c r="AC23" s="584"/>
      <c r="AD23" s="531"/>
    </row>
    <row r="24" spans="1:30" s="519" customFormat="1" ht="16.5" customHeight="1">
      <c r="A24" s="518"/>
      <c r="B24" s="530"/>
      <c r="C24" s="613">
        <v>7</v>
      </c>
      <c r="D24" s="613">
        <v>275088</v>
      </c>
      <c r="E24" s="613">
        <v>5353</v>
      </c>
      <c r="F24" s="478" t="s">
        <v>161</v>
      </c>
      <c r="G24" s="477" t="s">
        <v>8</v>
      </c>
      <c r="H24" s="614">
        <v>100</v>
      </c>
      <c r="I24" s="673" t="s">
        <v>175</v>
      </c>
      <c r="J24" s="267">
        <f aca="true" t="shared" si="0" ref="J24:J39">H24*$I$18</f>
        <v>58.5</v>
      </c>
      <c r="K24" s="617">
        <v>41769.03472222222</v>
      </c>
      <c r="L24" s="617">
        <v>41769.67152777778</v>
      </c>
      <c r="M24" s="24">
        <f aca="true" t="shared" si="1" ref="M24:M39">IF(F24="","",(L24-K24)*24)</f>
        <v>15.28333333338378</v>
      </c>
      <c r="N24" s="25">
        <f aca="true" t="shared" si="2" ref="N24:N39">IF(F24="","",ROUND((L24-K24)*24*60,0))</f>
        <v>917</v>
      </c>
      <c r="O24" s="618" t="s">
        <v>144</v>
      </c>
      <c r="P24" s="23" t="str">
        <f aca="true" t="shared" si="3" ref="P24:P43">IF(F24="","",IF(OR(O24="P",O24="RP"),"--","NO"))</f>
        <v>--</v>
      </c>
      <c r="Q24" s="694" t="str">
        <f aca="true" t="shared" si="4" ref="Q24:Q43">IF(F24="","","--")</f>
        <v>--</v>
      </c>
      <c r="R24" s="23" t="s">
        <v>176</v>
      </c>
      <c r="S24" s="322">
        <f aca="true" t="shared" si="5" ref="S24:S39">$I$19*IF(OR(O24="P",O24="RP"),0.1,1)*IF(R24="SI",1,0.1)</f>
        <v>0.30000000000000004</v>
      </c>
      <c r="T24" s="695">
        <f aca="true" t="shared" si="6" ref="T24:T39">IF(O24="P",J24*S24*ROUND(N24/60,2),"--")</f>
        <v>268.16400000000004</v>
      </c>
      <c r="U24" s="696" t="str">
        <f aca="true" t="shared" si="7" ref="U24:U39">IF(O24="RP",J24*S24*ROUND(N24/60,2)*Q24/100,"--")</f>
        <v>--</v>
      </c>
      <c r="V24" s="325" t="str">
        <f aca="true" t="shared" si="8" ref="V24:V39">IF(AND(O24="F",P24="NO"),J24*S24,"--")</f>
        <v>--</v>
      </c>
      <c r="W24" s="326" t="str">
        <f aca="true" t="shared" si="9" ref="W24:W39">IF(O24="F",J24*S24*ROUND(N24/60,2),"--")</f>
        <v>--</v>
      </c>
      <c r="X24" s="329" t="str">
        <f aca="true" t="shared" si="10" ref="X24:X39">IF(AND(O24="R",P24="NO"),J24*S24*Q24/100,"--")</f>
        <v>--</v>
      </c>
      <c r="Y24" s="330" t="str">
        <f aca="true" t="shared" si="11" ref="Y24:Y39">IF(O24="R",J24*S24*ROUND(N24/60,2)*Q24/100,"--")</f>
        <v>--</v>
      </c>
      <c r="Z24" s="331" t="str">
        <f aca="true" t="shared" si="12" ref="Z24:Z39">IF(O24="RF",J24*S24*ROUND(N24/60,2),"--")</f>
        <v>--</v>
      </c>
      <c r="AA24" s="332" t="str">
        <f aca="true" t="shared" si="13" ref="AA24:AA39">IF(O24="RR",J24*S24*ROUND(N24/60,2)*Q24/100,"--")</f>
        <v>--</v>
      </c>
      <c r="AB24" s="23" t="s">
        <v>145</v>
      </c>
      <c r="AC24" s="585">
        <f aca="true" t="shared" si="14" ref="AC24:AC39">IF(F24="","",SUM(T24:AA24)*IF(AB24="SI",1,2))</f>
        <v>268.16400000000004</v>
      </c>
      <c r="AD24" s="586"/>
    </row>
    <row r="25" spans="1:30" s="519" customFormat="1" ht="16.5" customHeight="1">
      <c r="A25" s="518"/>
      <c r="B25" s="530"/>
      <c r="C25" s="613"/>
      <c r="D25" s="613"/>
      <c r="E25" s="613"/>
      <c r="F25" s="478"/>
      <c r="G25" s="477"/>
      <c r="H25" s="614"/>
      <c r="I25" s="615"/>
      <c r="J25" s="267">
        <f t="shared" si="0"/>
        <v>0</v>
      </c>
      <c r="K25" s="617"/>
      <c r="L25" s="617"/>
      <c r="M25" s="24">
        <f t="shared" si="1"/>
      </c>
      <c r="N25" s="25">
        <f t="shared" si="2"/>
      </c>
      <c r="O25" s="618"/>
      <c r="P25" s="23">
        <f t="shared" si="3"/>
      </c>
      <c r="Q25" s="694">
        <f t="shared" si="4"/>
      </c>
      <c r="R25" s="23">
        <f aca="true" t="shared" si="15" ref="R25:R43">IF(F25="","","NO")</f>
      </c>
      <c r="S25" s="322">
        <f t="shared" si="5"/>
        <v>3</v>
      </c>
      <c r="T25" s="695" t="str">
        <f t="shared" si="6"/>
        <v>--</v>
      </c>
      <c r="U25" s="696" t="str">
        <f t="shared" si="7"/>
        <v>--</v>
      </c>
      <c r="V25" s="325" t="str">
        <f t="shared" si="8"/>
        <v>--</v>
      </c>
      <c r="W25" s="326" t="str">
        <f t="shared" si="9"/>
        <v>--</v>
      </c>
      <c r="X25" s="329" t="str">
        <f t="shared" si="10"/>
        <v>--</v>
      </c>
      <c r="Y25" s="330" t="str">
        <f t="shared" si="11"/>
        <v>--</v>
      </c>
      <c r="Z25" s="331" t="str">
        <f t="shared" si="12"/>
        <v>--</v>
      </c>
      <c r="AA25" s="332" t="str">
        <f t="shared" si="13"/>
        <v>--</v>
      </c>
      <c r="AB25" s="23">
        <f aca="true" t="shared" si="16" ref="AB25:AB39">IF(F25="","","SI")</f>
      </c>
      <c r="AC25" s="585">
        <f t="shared" si="14"/>
      </c>
      <c r="AD25" s="586"/>
    </row>
    <row r="26" spans="1:30" s="519" customFormat="1" ht="16.5" customHeight="1">
      <c r="A26" s="518"/>
      <c r="B26" s="530"/>
      <c r="C26" s="613"/>
      <c r="D26" s="613"/>
      <c r="E26" s="613"/>
      <c r="F26" s="478"/>
      <c r="G26" s="477"/>
      <c r="H26" s="614"/>
      <c r="I26" s="615"/>
      <c r="J26" s="267">
        <f t="shared" si="0"/>
        <v>0</v>
      </c>
      <c r="K26" s="617"/>
      <c r="L26" s="617"/>
      <c r="M26" s="24">
        <f t="shared" si="1"/>
      </c>
      <c r="N26" s="25">
        <f t="shared" si="2"/>
      </c>
      <c r="O26" s="618"/>
      <c r="P26" s="23">
        <f t="shared" si="3"/>
      </c>
      <c r="Q26" s="694">
        <f t="shared" si="4"/>
      </c>
      <c r="R26" s="23">
        <f t="shared" si="15"/>
      </c>
      <c r="S26" s="322">
        <f t="shared" si="5"/>
        <v>3</v>
      </c>
      <c r="T26" s="695" t="str">
        <f t="shared" si="6"/>
        <v>--</v>
      </c>
      <c r="U26" s="696" t="str">
        <f t="shared" si="7"/>
        <v>--</v>
      </c>
      <c r="V26" s="325" t="str">
        <f t="shared" si="8"/>
        <v>--</v>
      </c>
      <c r="W26" s="326" t="str">
        <f t="shared" si="9"/>
        <v>--</v>
      </c>
      <c r="X26" s="329" t="str">
        <f t="shared" si="10"/>
        <v>--</v>
      </c>
      <c r="Y26" s="330" t="str">
        <f t="shared" si="11"/>
        <v>--</v>
      </c>
      <c r="Z26" s="331" t="str">
        <f t="shared" si="12"/>
        <v>--</v>
      </c>
      <c r="AA26" s="332" t="str">
        <f t="shared" si="13"/>
        <v>--</v>
      </c>
      <c r="AB26" s="23">
        <f t="shared" si="16"/>
      </c>
      <c r="AC26" s="585">
        <f t="shared" si="14"/>
      </c>
      <c r="AD26" s="531"/>
    </row>
    <row r="27" spans="1:30" s="519" customFormat="1" ht="16.5" customHeight="1">
      <c r="A27" s="518"/>
      <c r="B27" s="530"/>
      <c r="C27" s="613"/>
      <c r="D27" s="613"/>
      <c r="E27" s="613"/>
      <c r="F27" s="478"/>
      <c r="G27" s="477"/>
      <c r="H27" s="614"/>
      <c r="I27" s="615"/>
      <c r="J27" s="267"/>
      <c r="K27" s="617"/>
      <c r="L27" s="617"/>
      <c r="M27" s="24"/>
      <c r="N27" s="25"/>
      <c r="O27" s="618"/>
      <c r="P27" s="23"/>
      <c r="Q27" s="694"/>
      <c r="R27" s="23"/>
      <c r="S27" s="322"/>
      <c r="T27" s="695"/>
      <c r="U27" s="696"/>
      <c r="V27" s="325"/>
      <c r="W27" s="326"/>
      <c r="X27" s="329"/>
      <c r="Y27" s="330"/>
      <c r="Z27" s="331"/>
      <c r="AA27" s="332"/>
      <c r="AB27" s="23"/>
      <c r="AC27" s="585"/>
      <c r="AD27" s="531"/>
    </row>
    <row r="28" spans="1:30" s="519" customFormat="1" ht="16.5" customHeight="1">
      <c r="A28" s="518"/>
      <c r="B28" s="530"/>
      <c r="C28" s="613"/>
      <c r="D28" s="613"/>
      <c r="E28" s="613"/>
      <c r="F28" s="478"/>
      <c r="G28" s="477"/>
      <c r="H28" s="614"/>
      <c r="I28" s="615"/>
      <c r="J28" s="267"/>
      <c r="K28" s="617"/>
      <c r="L28" s="617"/>
      <c r="M28" s="24"/>
      <c r="N28" s="25"/>
      <c r="O28" s="618"/>
      <c r="P28" s="23"/>
      <c r="Q28" s="694"/>
      <c r="R28" s="23"/>
      <c r="S28" s="322"/>
      <c r="T28" s="695"/>
      <c r="U28" s="696"/>
      <c r="V28" s="325"/>
      <c r="W28" s="326"/>
      <c r="X28" s="329"/>
      <c r="Y28" s="330"/>
      <c r="Z28" s="331"/>
      <c r="AA28" s="332"/>
      <c r="AB28" s="23"/>
      <c r="AC28" s="585"/>
      <c r="AD28" s="531"/>
    </row>
    <row r="29" spans="1:30" s="519" customFormat="1" ht="16.5" customHeight="1">
      <c r="A29" s="518"/>
      <c r="B29" s="530"/>
      <c r="C29" s="613"/>
      <c r="D29" s="613"/>
      <c r="E29" s="613"/>
      <c r="F29" s="478"/>
      <c r="G29" s="477"/>
      <c r="H29" s="614"/>
      <c r="I29" s="615"/>
      <c r="J29" s="267"/>
      <c r="K29" s="617"/>
      <c r="L29" s="617"/>
      <c r="M29" s="24"/>
      <c r="N29" s="25"/>
      <c r="O29" s="618"/>
      <c r="P29" s="23"/>
      <c r="Q29" s="694"/>
      <c r="R29" s="23"/>
      <c r="S29" s="322"/>
      <c r="T29" s="695"/>
      <c r="U29" s="696"/>
      <c r="V29" s="325"/>
      <c r="W29" s="326"/>
      <c r="X29" s="329"/>
      <c r="Y29" s="330"/>
      <c r="Z29" s="331"/>
      <c r="AA29" s="332"/>
      <c r="AB29" s="23"/>
      <c r="AC29" s="585"/>
      <c r="AD29" s="531"/>
    </row>
    <row r="30" spans="1:30" s="519" customFormat="1" ht="16.5" customHeight="1">
      <c r="A30" s="518"/>
      <c r="B30" s="530"/>
      <c r="C30" s="613"/>
      <c r="D30" s="613"/>
      <c r="E30" s="613"/>
      <c r="F30" s="478"/>
      <c r="G30" s="477"/>
      <c r="H30" s="614"/>
      <c r="I30" s="615"/>
      <c r="J30" s="267"/>
      <c r="K30" s="617"/>
      <c r="L30" s="617"/>
      <c r="M30" s="24"/>
      <c r="N30" s="25"/>
      <c r="O30" s="618"/>
      <c r="P30" s="23"/>
      <c r="Q30" s="694"/>
      <c r="R30" s="23"/>
      <c r="S30" s="322"/>
      <c r="T30" s="695"/>
      <c r="U30" s="696"/>
      <c r="V30" s="325"/>
      <c r="W30" s="326"/>
      <c r="X30" s="329"/>
      <c r="Y30" s="330"/>
      <c r="Z30" s="331"/>
      <c r="AA30" s="332"/>
      <c r="AB30" s="23"/>
      <c r="AC30" s="585"/>
      <c r="AD30" s="531"/>
    </row>
    <row r="31" spans="1:30" s="519" customFormat="1" ht="16.5" customHeight="1">
      <c r="A31" s="518"/>
      <c r="B31" s="530"/>
      <c r="C31" s="613"/>
      <c r="D31" s="613"/>
      <c r="E31" s="613"/>
      <c r="F31" s="478"/>
      <c r="G31" s="477"/>
      <c r="H31" s="614"/>
      <c r="I31" s="615"/>
      <c r="J31" s="267"/>
      <c r="K31" s="617"/>
      <c r="L31" s="617"/>
      <c r="M31" s="24"/>
      <c r="N31" s="25"/>
      <c r="O31" s="618"/>
      <c r="P31" s="23"/>
      <c r="Q31" s="694"/>
      <c r="R31" s="23"/>
      <c r="S31" s="322"/>
      <c r="T31" s="695"/>
      <c r="U31" s="696"/>
      <c r="V31" s="325"/>
      <c r="W31" s="326"/>
      <c r="X31" s="329"/>
      <c r="Y31" s="330"/>
      <c r="Z31" s="331"/>
      <c r="AA31" s="332"/>
      <c r="AB31" s="23"/>
      <c r="AC31" s="585"/>
      <c r="AD31" s="531"/>
    </row>
    <row r="32" spans="1:30" s="519" customFormat="1" ht="16.5" customHeight="1">
      <c r="A32" s="518"/>
      <c r="B32" s="530"/>
      <c r="C32" s="613"/>
      <c r="D32" s="613"/>
      <c r="E32" s="613"/>
      <c r="F32" s="478"/>
      <c r="G32" s="477"/>
      <c r="H32" s="614"/>
      <c r="I32" s="615"/>
      <c r="J32" s="267"/>
      <c r="K32" s="617"/>
      <c r="L32" s="617"/>
      <c r="M32" s="24"/>
      <c r="N32" s="25"/>
      <c r="O32" s="618"/>
      <c r="P32" s="23"/>
      <c r="Q32" s="694"/>
      <c r="R32" s="23"/>
      <c r="S32" s="322"/>
      <c r="T32" s="695"/>
      <c r="U32" s="696"/>
      <c r="V32" s="325"/>
      <c r="W32" s="326"/>
      <c r="X32" s="329"/>
      <c r="Y32" s="330"/>
      <c r="Z32" s="331"/>
      <c r="AA32" s="332"/>
      <c r="AB32" s="23"/>
      <c r="AC32" s="585"/>
      <c r="AD32" s="531"/>
    </row>
    <row r="33" spans="1:30" s="519" customFormat="1" ht="16.5" customHeight="1">
      <c r="A33" s="518"/>
      <c r="B33" s="530"/>
      <c r="C33" s="613"/>
      <c r="D33" s="613"/>
      <c r="E33" s="613"/>
      <c r="F33" s="478"/>
      <c r="G33" s="477"/>
      <c r="H33" s="614"/>
      <c r="I33" s="615"/>
      <c r="J33" s="267">
        <f t="shared" si="0"/>
        <v>0</v>
      </c>
      <c r="K33" s="617"/>
      <c r="L33" s="617"/>
      <c r="M33" s="24">
        <f t="shared" si="1"/>
      </c>
      <c r="N33" s="25">
        <f t="shared" si="2"/>
      </c>
      <c r="O33" s="618"/>
      <c r="P33" s="23">
        <f t="shared" si="3"/>
      </c>
      <c r="Q33" s="694">
        <f t="shared" si="4"/>
      </c>
      <c r="R33" s="23">
        <f t="shared" si="15"/>
      </c>
      <c r="S33" s="322">
        <f t="shared" si="5"/>
        <v>3</v>
      </c>
      <c r="T33" s="695" t="str">
        <f t="shared" si="6"/>
        <v>--</v>
      </c>
      <c r="U33" s="696" t="str">
        <f t="shared" si="7"/>
        <v>--</v>
      </c>
      <c r="V33" s="325" t="str">
        <f t="shared" si="8"/>
        <v>--</v>
      </c>
      <c r="W33" s="326" t="str">
        <f t="shared" si="9"/>
        <v>--</v>
      </c>
      <c r="X33" s="329" t="str">
        <f t="shared" si="10"/>
        <v>--</v>
      </c>
      <c r="Y33" s="330" t="str">
        <f t="shared" si="11"/>
        <v>--</v>
      </c>
      <c r="Z33" s="331" t="str">
        <f t="shared" si="12"/>
        <v>--</v>
      </c>
      <c r="AA33" s="332" t="str">
        <f t="shared" si="13"/>
        <v>--</v>
      </c>
      <c r="AB33" s="23">
        <f t="shared" si="16"/>
      </c>
      <c r="AC33" s="585">
        <f t="shared" si="14"/>
      </c>
      <c r="AD33" s="531"/>
    </row>
    <row r="34" spans="1:30" s="519" customFormat="1" ht="16.5" customHeight="1">
      <c r="A34" s="518"/>
      <c r="B34" s="530"/>
      <c r="C34" s="613"/>
      <c r="D34" s="613"/>
      <c r="E34" s="613"/>
      <c r="F34" s="478"/>
      <c r="G34" s="477"/>
      <c r="H34" s="614"/>
      <c r="I34" s="615"/>
      <c r="J34" s="267">
        <f t="shared" si="0"/>
        <v>0</v>
      </c>
      <c r="K34" s="617"/>
      <c r="L34" s="617"/>
      <c r="M34" s="24">
        <f t="shared" si="1"/>
      </c>
      <c r="N34" s="25">
        <f t="shared" si="2"/>
      </c>
      <c r="O34" s="618"/>
      <c r="P34" s="23">
        <f t="shared" si="3"/>
      </c>
      <c r="Q34" s="694">
        <f t="shared" si="4"/>
      </c>
      <c r="R34" s="23">
        <f t="shared" si="15"/>
      </c>
      <c r="S34" s="322">
        <f t="shared" si="5"/>
        <v>3</v>
      </c>
      <c r="T34" s="695" t="str">
        <f t="shared" si="6"/>
        <v>--</v>
      </c>
      <c r="U34" s="696" t="str">
        <f t="shared" si="7"/>
        <v>--</v>
      </c>
      <c r="V34" s="325" t="str">
        <f t="shared" si="8"/>
        <v>--</v>
      </c>
      <c r="W34" s="326" t="str">
        <f t="shared" si="9"/>
        <v>--</v>
      </c>
      <c r="X34" s="329" t="str">
        <f t="shared" si="10"/>
        <v>--</v>
      </c>
      <c r="Y34" s="330" t="str">
        <f t="shared" si="11"/>
        <v>--</v>
      </c>
      <c r="Z34" s="331" t="str">
        <f t="shared" si="12"/>
        <v>--</v>
      </c>
      <c r="AA34" s="332" t="str">
        <f t="shared" si="13"/>
        <v>--</v>
      </c>
      <c r="AB34" s="23">
        <f t="shared" si="16"/>
      </c>
      <c r="AC34" s="585">
        <f t="shared" si="14"/>
      </c>
      <c r="AD34" s="531"/>
    </row>
    <row r="35" spans="1:30" s="519" customFormat="1" ht="16.5" customHeight="1">
      <c r="A35" s="518"/>
      <c r="B35" s="530"/>
      <c r="C35" s="613"/>
      <c r="D35" s="613"/>
      <c r="E35" s="613"/>
      <c r="F35" s="478"/>
      <c r="G35" s="477"/>
      <c r="H35" s="614"/>
      <c r="I35" s="615"/>
      <c r="J35" s="267">
        <f t="shared" si="0"/>
        <v>0</v>
      </c>
      <c r="K35" s="617"/>
      <c r="L35" s="617"/>
      <c r="M35" s="24">
        <f t="shared" si="1"/>
      </c>
      <c r="N35" s="25">
        <f t="shared" si="2"/>
      </c>
      <c r="O35" s="618"/>
      <c r="P35" s="23">
        <f t="shared" si="3"/>
      </c>
      <c r="Q35" s="694">
        <f t="shared" si="4"/>
      </c>
      <c r="R35" s="23">
        <f t="shared" si="15"/>
      </c>
      <c r="S35" s="322">
        <f t="shared" si="5"/>
        <v>3</v>
      </c>
      <c r="T35" s="695" t="str">
        <f t="shared" si="6"/>
        <v>--</v>
      </c>
      <c r="U35" s="696" t="str">
        <f t="shared" si="7"/>
        <v>--</v>
      </c>
      <c r="V35" s="325" t="str">
        <f t="shared" si="8"/>
        <v>--</v>
      </c>
      <c r="W35" s="326" t="str">
        <f t="shared" si="9"/>
        <v>--</v>
      </c>
      <c r="X35" s="329" t="str">
        <f t="shared" si="10"/>
        <v>--</v>
      </c>
      <c r="Y35" s="330" t="str">
        <f t="shared" si="11"/>
        <v>--</v>
      </c>
      <c r="Z35" s="331" t="str">
        <f t="shared" si="12"/>
        <v>--</v>
      </c>
      <c r="AA35" s="332" t="str">
        <f t="shared" si="13"/>
        <v>--</v>
      </c>
      <c r="AB35" s="23">
        <f t="shared" si="16"/>
      </c>
      <c r="AC35" s="585">
        <f t="shared" si="14"/>
      </c>
      <c r="AD35" s="531"/>
    </row>
    <row r="36" spans="1:30" s="519" customFormat="1" ht="16.5" customHeight="1">
      <c r="A36" s="518"/>
      <c r="B36" s="530"/>
      <c r="C36" s="613"/>
      <c r="D36" s="613"/>
      <c r="E36" s="613"/>
      <c r="F36" s="478"/>
      <c r="G36" s="477"/>
      <c r="H36" s="614"/>
      <c r="I36" s="615"/>
      <c r="J36" s="267">
        <f t="shared" si="0"/>
        <v>0</v>
      </c>
      <c r="K36" s="617"/>
      <c r="L36" s="617"/>
      <c r="M36" s="24">
        <f t="shared" si="1"/>
      </c>
      <c r="N36" s="25">
        <f t="shared" si="2"/>
      </c>
      <c r="O36" s="618"/>
      <c r="P36" s="23">
        <f t="shared" si="3"/>
      </c>
      <c r="Q36" s="694">
        <f t="shared" si="4"/>
      </c>
      <c r="R36" s="23">
        <f t="shared" si="15"/>
      </c>
      <c r="S36" s="322">
        <f t="shared" si="5"/>
        <v>3</v>
      </c>
      <c r="T36" s="695" t="str">
        <f t="shared" si="6"/>
        <v>--</v>
      </c>
      <c r="U36" s="696" t="str">
        <f t="shared" si="7"/>
        <v>--</v>
      </c>
      <c r="V36" s="325" t="str">
        <f t="shared" si="8"/>
        <v>--</v>
      </c>
      <c r="W36" s="326" t="str">
        <f t="shared" si="9"/>
        <v>--</v>
      </c>
      <c r="X36" s="329" t="str">
        <f t="shared" si="10"/>
        <v>--</v>
      </c>
      <c r="Y36" s="330" t="str">
        <f t="shared" si="11"/>
        <v>--</v>
      </c>
      <c r="Z36" s="331" t="str">
        <f t="shared" si="12"/>
        <v>--</v>
      </c>
      <c r="AA36" s="332" t="str">
        <f t="shared" si="13"/>
        <v>--</v>
      </c>
      <c r="AB36" s="23">
        <f t="shared" si="16"/>
      </c>
      <c r="AC36" s="585">
        <f t="shared" si="14"/>
      </c>
      <c r="AD36" s="531"/>
    </row>
    <row r="37" spans="1:30" s="519" customFormat="1" ht="16.5" customHeight="1">
      <c r="A37" s="518"/>
      <c r="B37" s="530"/>
      <c r="C37" s="613"/>
      <c r="D37" s="613"/>
      <c r="E37" s="613"/>
      <c r="F37" s="478"/>
      <c r="G37" s="477"/>
      <c r="H37" s="614"/>
      <c r="I37" s="615"/>
      <c r="J37" s="267">
        <f t="shared" si="0"/>
        <v>0</v>
      </c>
      <c r="K37" s="617"/>
      <c r="L37" s="617"/>
      <c r="M37" s="24">
        <f t="shared" si="1"/>
      </c>
      <c r="N37" s="25">
        <f t="shared" si="2"/>
      </c>
      <c r="O37" s="618"/>
      <c r="P37" s="23">
        <f t="shared" si="3"/>
      </c>
      <c r="Q37" s="694">
        <f t="shared" si="4"/>
      </c>
      <c r="R37" s="23">
        <f t="shared" si="15"/>
      </c>
      <c r="S37" s="322">
        <f t="shared" si="5"/>
        <v>3</v>
      </c>
      <c r="T37" s="695" t="str">
        <f t="shared" si="6"/>
        <v>--</v>
      </c>
      <c r="U37" s="696" t="str">
        <f t="shared" si="7"/>
        <v>--</v>
      </c>
      <c r="V37" s="325" t="str">
        <f t="shared" si="8"/>
        <v>--</v>
      </c>
      <c r="W37" s="326" t="str">
        <f t="shared" si="9"/>
        <v>--</v>
      </c>
      <c r="X37" s="329" t="str">
        <f t="shared" si="10"/>
        <v>--</v>
      </c>
      <c r="Y37" s="330" t="str">
        <f t="shared" si="11"/>
        <v>--</v>
      </c>
      <c r="Z37" s="331" t="str">
        <f t="shared" si="12"/>
        <v>--</v>
      </c>
      <c r="AA37" s="332" t="str">
        <f t="shared" si="13"/>
        <v>--</v>
      </c>
      <c r="AB37" s="23">
        <f t="shared" si="16"/>
      </c>
      <c r="AC37" s="585">
        <f t="shared" si="14"/>
      </c>
      <c r="AD37" s="531"/>
    </row>
    <row r="38" spans="1:30" s="519" customFormat="1" ht="16.5" customHeight="1">
      <c r="A38" s="518"/>
      <c r="B38" s="530"/>
      <c r="C38" s="613"/>
      <c r="D38" s="613"/>
      <c r="E38" s="613"/>
      <c r="F38" s="478"/>
      <c r="G38" s="477"/>
      <c r="H38" s="614"/>
      <c r="I38" s="615"/>
      <c r="J38" s="267">
        <f t="shared" si="0"/>
        <v>0</v>
      </c>
      <c r="K38" s="617"/>
      <c r="L38" s="617"/>
      <c r="M38" s="24">
        <f t="shared" si="1"/>
      </c>
      <c r="N38" s="25">
        <f t="shared" si="2"/>
      </c>
      <c r="O38" s="618"/>
      <c r="P38" s="23">
        <f t="shared" si="3"/>
      </c>
      <c r="Q38" s="694">
        <f t="shared" si="4"/>
      </c>
      <c r="R38" s="23">
        <f t="shared" si="15"/>
      </c>
      <c r="S38" s="322">
        <f t="shared" si="5"/>
        <v>3</v>
      </c>
      <c r="T38" s="695" t="str">
        <f t="shared" si="6"/>
        <v>--</v>
      </c>
      <c r="U38" s="696" t="str">
        <f t="shared" si="7"/>
        <v>--</v>
      </c>
      <c r="V38" s="325" t="str">
        <f t="shared" si="8"/>
        <v>--</v>
      </c>
      <c r="W38" s="326" t="str">
        <f t="shared" si="9"/>
        <v>--</v>
      </c>
      <c r="X38" s="329" t="str">
        <f t="shared" si="10"/>
        <v>--</v>
      </c>
      <c r="Y38" s="330" t="str">
        <f t="shared" si="11"/>
        <v>--</v>
      </c>
      <c r="Z38" s="331" t="str">
        <f t="shared" si="12"/>
        <v>--</v>
      </c>
      <c r="AA38" s="332" t="str">
        <f t="shared" si="13"/>
        <v>--</v>
      </c>
      <c r="AB38" s="23">
        <f t="shared" si="16"/>
      </c>
      <c r="AC38" s="585">
        <f t="shared" si="14"/>
      </c>
      <c r="AD38" s="531"/>
    </row>
    <row r="39" spans="1:30" s="519" customFormat="1" ht="16.5" customHeight="1">
      <c r="A39" s="518"/>
      <c r="B39" s="530"/>
      <c r="C39" s="613"/>
      <c r="D39" s="613"/>
      <c r="E39" s="613"/>
      <c r="F39" s="478"/>
      <c r="G39" s="477"/>
      <c r="H39" s="614"/>
      <c r="I39" s="615"/>
      <c r="J39" s="267">
        <f t="shared" si="0"/>
        <v>0</v>
      </c>
      <c r="K39" s="617"/>
      <c r="L39" s="617"/>
      <c r="M39" s="24">
        <f t="shared" si="1"/>
      </c>
      <c r="N39" s="25">
        <f t="shared" si="2"/>
      </c>
      <c r="O39" s="618"/>
      <c r="P39" s="23">
        <f t="shared" si="3"/>
      </c>
      <c r="Q39" s="694">
        <f t="shared" si="4"/>
      </c>
      <c r="R39" s="23">
        <f t="shared" si="15"/>
      </c>
      <c r="S39" s="322">
        <f t="shared" si="5"/>
        <v>3</v>
      </c>
      <c r="T39" s="695" t="str">
        <f t="shared" si="6"/>
        <v>--</v>
      </c>
      <c r="U39" s="696" t="str">
        <f t="shared" si="7"/>
        <v>--</v>
      </c>
      <c r="V39" s="325" t="str">
        <f t="shared" si="8"/>
        <v>--</v>
      </c>
      <c r="W39" s="326" t="str">
        <f t="shared" si="9"/>
        <v>--</v>
      </c>
      <c r="X39" s="329" t="str">
        <f t="shared" si="10"/>
        <v>--</v>
      </c>
      <c r="Y39" s="330" t="str">
        <f t="shared" si="11"/>
        <v>--</v>
      </c>
      <c r="Z39" s="331" t="str">
        <f t="shared" si="12"/>
        <v>--</v>
      </c>
      <c r="AA39" s="332" t="str">
        <f t="shared" si="13"/>
        <v>--</v>
      </c>
      <c r="AB39" s="23">
        <f t="shared" si="16"/>
      </c>
      <c r="AC39" s="585">
        <f t="shared" si="14"/>
      </c>
      <c r="AD39" s="531"/>
    </row>
    <row r="40" spans="1:30" s="519" customFormat="1" ht="16.5" customHeight="1">
      <c r="A40" s="518"/>
      <c r="B40" s="530"/>
      <c r="C40" s="613"/>
      <c r="D40" s="613"/>
      <c r="E40" s="613"/>
      <c r="F40" s="478"/>
      <c r="G40" s="477"/>
      <c r="H40" s="614"/>
      <c r="I40" s="615"/>
      <c r="J40" s="267">
        <f>H40*$I$18</f>
        <v>0</v>
      </c>
      <c r="K40" s="617"/>
      <c r="L40" s="617"/>
      <c r="M40" s="24">
        <f>IF(F40="","",(L40-K40)*24)</f>
      </c>
      <c r="N40" s="25">
        <f>IF(F40="","",ROUND((L40-K40)*24*60,0))</f>
      </c>
      <c r="O40" s="618"/>
      <c r="P40" s="23">
        <f t="shared" si="3"/>
      </c>
      <c r="Q40" s="694">
        <f t="shared" si="4"/>
      </c>
      <c r="R40" s="23">
        <f t="shared" si="15"/>
      </c>
      <c r="S40" s="322">
        <f>$I$19*IF(OR(O40="P",O40="RP"),0.1,1)*IF(R40="SI",1,0.1)</f>
        <v>3</v>
      </c>
      <c r="T40" s="695" t="str">
        <f>IF(O40="P",J40*S40*ROUND(N40/60,2),"--")</f>
        <v>--</v>
      </c>
      <c r="U40" s="696" t="str">
        <f>IF(O40="RP",J40*S40*ROUND(N40/60,2)*Q40/100,"--")</f>
        <v>--</v>
      </c>
      <c r="V40" s="325" t="str">
        <f>IF(AND(O40="F",P40="NO"),J40*S40,"--")</f>
        <v>--</v>
      </c>
      <c r="W40" s="326" t="str">
        <f>IF(O40="F",J40*S40*ROUND(N40/60,2),"--")</f>
        <v>--</v>
      </c>
      <c r="X40" s="329" t="str">
        <f>IF(AND(O40="R",P40="NO"),J40*S40*Q40/100,"--")</f>
        <v>--</v>
      </c>
      <c r="Y40" s="330" t="str">
        <f>IF(O40="R",J40*S40*ROUND(N40/60,2)*Q40/100,"--")</f>
        <v>--</v>
      </c>
      <c r="Z40" s="331" t="str">
        <f>IF(O40="RF",J40*S40*ROUND(N40/60,2),"--")</f>
        <v>--</v>
      </c>
      <c r="AA40" s="332" t="str">
        <f>IF(O40="RR",J40*S40*ROUND(N40/60,2)*Q40/100,"--")</f>
        <v>--</v>
      </c>
      <c r="AB40" s="23">
        <f>IF(F40="","","SI")</f>
      </c>
      <c r="AC40" s="585">
        <f>IF(F40="","",SUM(T40:AA40)*IF(AB40="SI",1,2))</f>
      </c>
      <c r="AD40" s="531"/>
    </row>
    <row r="41" spans="1:30" s="519" customFormat="1" ht="16.5" customHeight="1">
      <c r="A41" s="518"/>
      <c r="B41" s="530"/>
      <c r="C41" s="613"/>
      <c r="D41" s="613"/>
      <c r="E41" s="613"/>
      <c r="F41" s="478"/>
      <c r="G41" s="477"/>
      <c r="H41" s="614"/>
      <c r="I41" s="615"/>
      <c r="J41" s="267">
        <f>H41*$I$18</f>
        <v>0</v>
      </c>
      <c r="K41" s="617"/>
      <c r="L41" s="617"/>
      <c r="M41" s="24">
        <f>IF(F41="","",(L41-K41)*24)</f>
      </c>
      <c r="N41" s="25">
        <f>IF(F41="","",ROUND((L41-K41)*24*60,0))</f>
      </c>
      <c r="O41" s="618"/>
      <c r="P41" s="23">
        <f t="shared" si="3"/>
      </c>
      <c r="Q41" s="694">
        <f t="shared" si="4"/>
      </c>
      <c r="R41" s="23">
        <f t="shared" si="15"/>
      </c>
      <c r="S41" s="322">
        <f>$I$19*IF(OR(O41="P",O41="RP"),0.1,1)*IF(R41="SI",1,0.1)</f>
        <v>3</v>
      </c>
      <c r="T41" s="695" t="str">
        <f>IF(O41="P",J41*S41*ROUND(N41/60,2),"--")</f>
        <v>--</v>
      </c>
      <c r="U41" s="696" t="str">
        <f>IF(O41="RP",J41*S41*ROUND(N41/60,2)*Q41/100,"--")</f>
        <v>--</v>
      </c>
      <c r="V41" s="325" t="str">
        <f>IF(AND(O41="F",P41="NO"),J41*S41,"--")</f>
        <v>--</v>
      </c>
      <c r="W41" s="326" t="str">
        <f>IF(O41="F",J41*S41*ROUND(N41/60,2),"--")</f>
        <v>--</v>
      </c>
      <c r="X41" s="329" t="str">
        <f>IF(AND(O41="R",P41="NO"),J41*S41*Q41/100,"--")</f>
        <v>--</v>
      </c>
      <c r="Y41" s="330" t="str">
        <f>IF(O41="R",J41*S41*ROUND(N41/60,2)*Q41/100,"--")</f>
        <v>--</v>
      </c>
      <c r="Z41" s="331" t="str">
        <f>IF(O41="RF",J41*S41*ROUND(N41/60,2),"--")</f>
        <v>--</v>
      </c>
      <c r="AA41" s="332" t="str">
        <f>IF(O41="RR",J41*S41*ROUND(N41/60,2)*Q41/100,"--")</f>
        <v>--</v>
      </c>
      <c r="AB41" s="23">
        <f>IF(F41="","","SI")</f>
      </c>
      <c r="AC41" s="585">
        <f>IF(F41="","",SUM(T41:AA41)*IF(AB41="SI",1,2))</f>
      </c>
      <c r="AD41" s="531"/>
    </row>
    <row r="42" spans="1:30" s="519" customFormat="1" ht="16.5" customHeight="1">
      <c r="A42" s="518"/>
      <c r="B42" s="530"/>
      <c r="C42" s="613"/>
      <c r="D42" s="613"/>
      <c r="E42" s="613"/>
      <c r="F42" s="478"/>
      <c r="G42" s="477"/>
      <c r="H42" s="614"/>
      <c r="I42" s="615"/>
      <c r="J42" s="267">
        <f>H42*$I$18</f>
        <v>0</v>
      </c>
      <c r="K42" s="617"/>
      <c r="L42" s="617"/>
      <c r="M42" s="24">
        <f>IF(F42="","",(L42-K42)*24)</f>
      </c>
      <c r="N42" s="25">
        <f>IF(F42="","",ROUND((L42-K42)*24*60,0))</f>
      </c>
      <c r="O42" s="618"/>
      <c r="P42" s="23">
        <f t="shared" si="3"/>
      </c>
      <c r="Q42" s="694">
        <f t="shared" si="4"/>
      </c>
      <c r="R42" s="23">
        <f t="shared" si="15"/>
      </c>
      <c r="S42" s="322">
        <f>$I$19*IF(OR(O42="P",O42="RP"),0.1,1)*IF(R42="SI",1,0.1)</f>
        <v>3</v>
      </c>
      <c r="T42" s="695" t="str">
        <f>IF(O42="P",J42*S42*ROUND(N42/60,2),"--")</f>
        <v>--</v>
      </c>
      <c r="U42" s="696" t="str">
        <f>IF(O42="RP",J42*S42*ROUND(N42/60,2)*Q42/100,"--")</f>
        <v>--</v>
      </c>
      <c r="V42" s="325" t="str">
        <f>IF(AND(O42="F",P42="NO"),J42*S42,"--")</f>
        <v>--</v>
      </c>
      <c r="W42" s="326" t="str">
        <f>IF(O42="F",J42*S42*ROUND(N42/60,2),"--")</f>
        <v>--</v>
      </c>
      <c r="X42" s="329" t="str">
        <f>IF(AND(O42="R",P42="NO"),J42*S42*Q42/100,"--")</f>
        <v>--</v>
      </c>
      <c r="Y42" s="330" t="str">
        <f>IF(O42="R",J42*S42*ROUND(N42/60,2)*Q42/100,"--")</f>
        <v>--</v>
      </c>
      <c r="Z42" s="331" t="str">
        <f>IF(O42="RF",J42*S42*ROUND(N42/60,2),"--")</f>
        <v>--</v>
      </c>
      <c r="AA42" s="332" t="str">
        <f>IF(O42="RR",J42*S42*ROUND(N42/60,2)*Q42/100,"--")</f>
        <v>--</v>
      </c>
      <c r="AB42" s="23">
        <f>IF(F42="","","SI")</f>
      </c>
      <c r="AC42" s="585">
        <f>IF(F42="","",SUM(T42:AA42)*IF(AB42="SI",1,2))</f>
      </c>
      <c r="AD42" s="531"/>
    </row>
    <row r="43" spans="1:30" s="519" customFormat="1" ht="16.5" customHeight="1">
      <c r="A43" s="518"/>
      <c r="B43" s="530"/>
      <c r="C43" s="613"/>
      <c r="D43" s="613"/>
      <c r="E43" s="613"/>
      <c r="F43" s="478"/>
      <c r="G43" s="477"/>
      <c r="H43" s="614"/>
      <c r="I43" s="615"/>
      <c r="J43" s="267">
        <f>H43*$I$18</f>
        <v>0</v>
      </c>
      <c r="K43" s="617"/>
      <c r="L43" s="617"/>
      <c r="M43" s="24">
        <f>IF(F43="","",(L43-K43)*24)</f>
      </c>
      <c r="N43" s="25">
        <f>IF(F43="","",ROUND((L43-K43)*24*60,0))</f>
      </c>
      <c r="O43" s="618"/>
      <c r="P43" s="23">
        <f t="shared" si="3"/>
      </c>
      <c r="Q43" s="694">
        <f t="shared" si="4"/>
      </c>
      <c r="R43" s="23">
        <f t="shared" si="15"/>
      </c>
      <c r="S43" s="322">
        <f>$I$19*IF(OR(O43="P",O43="RP"),0.1,1)*IF(R43="SI",1,0.1)</f>
        <v>3</v>
      </c>
      <c r="T43" s="695" t="str">
        <f>IF(O43="P",J43*S43*ROUND(N43/60,2),"--")</f>
        <v>--</v>
      </c>
      <c r="U43" s="696" t="str">
        <f>IF(O43="RP",J43*S43*ROUND(N43/60,2)*Q43/100,"--")</f>
        <v>--</v>
      </c>
      <c r="V43" s="325" t="str">
        <f>IF(AND(O43="F",P43="NO"),J43*S43,"--")</f>
        <v>--</v>
      </c>
      <c r="W43" s="326" t="str">
        <f>IF(O43="F",J43*S43*ROUND(N43/60,2),"--")</f>
        <v>--</v>
      </c>
      <c r="X43" s="329" t="str">
        <f>IF(AND(O43="R",P43="NO"),J43*S43*Q43/100,"--")</f>
        <v>--</v>
      </c>
      <c r="Y43" s="330" t="str">
        <f>IF(O43="R",J43*S43*ROUND(N43/60,2)*Q43/100,"--")</f>
        <v>--</v>
      </c>
      <c r="Z43" s="331" t="str">
        <f>IF(O43="RF",J43*S43*ROUND(N43/60,2),"--")</f>
        <v>--</v>
      </c>
      <c r="AA43" s="332" t="str">
        <f>IF(O43="RR",J43*S43*ROUND(N43/60,2)*Q43/100,"--")</f>
        <v>--</v>
      </c>
      <c r="AB43" s="23">
        <f>IF(F43="","","SI")</f>
      </c>
      <c r="AC43" s="585">
        <f>IF(F43="","",SUM(T43:AA43)*IF(AB43="SI",1,2))</f>
      </c>
      <c r="AD43" s="531"/>
    </row>
    <row r="44" spans="1:30" s="519" customFormat="1" ht="16.5" customHeight="1" thickBot="1">
      <c r="A44" s="518"/>
      <c r="B44" s="530"/>
      <c r="C44" s="616"/>
      <c r="D44" s="616"/>
      <c r="E44" s="616"/>
      <c r="F44" s="616"/>
      <c r="G44" s="616"/>
      <c r="H44" s="616"/>
      <c r="I44" s="616"/>
      <c r="J44" s="588"/>
      <c r="K44" s="616"/>
      <c r="L44" s="616"/>
      <c r="M44" s="587"/>
      <c r="N44" s="587"/>
      <c r="O44" s="616"/>
      <c r="P44" s="616"/>
      <c r="Q44" s="616"/>
      <c r="R44" s="616"/>
      <c r="S44" s="619"/>
      <c r="T44" s="620"/>
      <c r="U44" s="621"/>
      <c r="V44" s="622"/>
      <c r="W44" s="623"/>
      <c r="X44" s="624"/>
      <c r="Y44" s="625"/>
      <c r="Z44" s="626"/>
      <c r="AA44" s="627"/>
      <c r="AB44" s="616"/>
      <c r="AC44" s="589"/>
      <c r="AD44" s="531"/>
    </row>
    <row r="45" spans="1:30" s="519" customFormat="1" ht="16.5" customHeight="1" thickBot="1" thickTop="1">
      <c r="A45" s="518"/>
      <c r="B45" s="530"/>
      <c r="C45" s="590" t="s">
        <v>65</v>
      </c>
      <c r="D45" s="719" t="s">
        <v>182</v>
      </c>
      <c r="E45" s="247"/>
      <c r="F45" s="242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591">
        <f aca="true" t="shared" si="17" ref="T45:AA45">SUM(T22:T44)</f>
        <v>268.16400000000004</v>
      </c>
      <c r="U45" s="592">
        <f t="shared" si="17"/>
        <v>0</v>
      </c>
      <c r="V45" s="593">
        <f t="shared" si="17"/>
        <v>0</v>
      </c>
      <c r="W45" s="593">
        <f t="shared" si="17"/>
        <v>0</v>
      </c>
      <c r="X45" s="594">
        <f t="shared" si="17"/>
        <v>0</v>
      </c>
      <c r="Y45" s="594">
        <f t="shared" si="17"/>
        <v>0</v>
      </c>
      <c r="Z45" s="595">
        <f t="shared" si="17"/>
        <v>0</v>
      </c>
      <c r="AA45" s="596">
        <f t="shared" si="17"/>
        <v>0</v>
      </c>
      <c r="AB45" s="597"/>
      <c r="AC45" s="598">
        <f>ROUND(SUM(AC22:AC44),2)</f>
        <v>268.16</v>
      </c>
      <c r="AD45" s="531"/>
    </row>
    <row r="46" spans="1:30" s="606" customFormat="1" ht="9.75" thickTop="1">
      <c r="A46" s="599"/>
      <c r="B46" s="600"/>
      <c r="C46" s="601"/>
      <c r="D46" s="601"/>
      <c r="E46" s="601"/>
      <c r="F46" s="244"/>
      <c r="G46" s="602"/>
      <c r="H46" s="602"/>
      <c r="I46" s="602"/>
      <c r="J46" s="602"/>
      <c r="K46" s="602"/>
      <c r="L46" s="602"/>
      <c r="M46" s="602"/>
      <c r="N46" s="602"/>
      <c r="O46" s="602"/>
      <c r="P46" s="602"/>
      <c r="Q46" s="602"/>
      <c r="R46" s="602"/>
      <c r="S46" s="602"/>
      <c r="T46" s="603"/>
      <c r="U46" s="603"/>
      <c r="V46" s="603"/>
      <c r="W46" s="603"/>
      <c r="X46" s="603"/>
      <c r="Y46" s="603"/>
      <c r="Z46" s="603"/>
      <c r="AA46" s="603"/>
      <c r="AB46" s="602"/>
      <c r="AC46" s="604"/>
      <c r="AD46" s="605"/>
    </row>
    <row r="47" spans="1:30" s="519" customFormat="1" ht="16.5" customHeight="1" thickBot="1">
      <c r="A47" s="518"/>
      <c r="B47" s="607"/>
      <c r="C47" s="608"/>
      <c r="D47" s="608"/>
      <c r="E47" s="608"/>
      <c r="F47" s="608"/>
      <c r="G47" s="608"/>
      <c r="H47" s="608"/>
      <c r="I47" s="608"/>
      <c r="J47" s="608"/>
      <c r="K47" s="608"/>
      <c r="L47" s="608"/>
      <c r="M47" s="608"/>
      <c r="N47" s="608"/>
      <c r="O47" s="608"/>
      <c r="P47" s="608"/>
      <c r="Q47" s="608"/>
      <c r="R47" s="608"/>
      <c r="S47" s="608"/>
      <c r="T47" s="608"/>
      <c r="U47" s="608"/>
      <c r="V47" s="608"/>
      <c r="W47" s="608"/>
      <c r="X47" s="608"/>
      <c r="Y47" s="608"/>
      <c r="Z47" s="608"/>
      <c r="AA47" s="608"/>
      <c r="AB47" s="608"/>
      <c r="AC47" s="608"/>
      <c r="AD47" s="609"/>
    </row>
    <row r="48" spans="2:30" ht="16.5" customHeight="1" thickTop="1">
      <c r="B48" s="611"/>
      <c r="C48" s="611"/>
      <c r="D48" s="611"/>
      <c r="E48" s="611"/>
      <c r="F48" s="611"/>
      <c r="G48" s="611"/>
      <c r="H48" s="611"/>
      <c r="I48" s="611"/>
      <c r="J48" s="611"/>
      <c r="K48" s="611"/>
      <c r="L48" s="611"/>
      <c r="M48" s="611"/>
      <c r="N48" s="611"/>
      <c r="O48" s="611"/>
      <c r="P48" s="611"/>
      <c r="Q48" s="611"/>
      <c r="R48" s="611"/>
      <c r="S48" s="611"/>
      <c r="T48" s="611"/>
      <c r="U48" s="611"/>
      <c r="V48" s="611"/>
      <c r="W48" s="611"/>
      <c r="X48" s="611"/>
      <c r="Y48" s="611"/>
      <c r="Z48" s="611"/>
      <c r="AA48" s="611"/>
      <c r="AB48" s="611"/>
      <c r="AC48" s="611"/>
      <c r="AD48" s="612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5" zoomScaleNormal="75" zoomScalePageLayoutView="0" workbookViewId="0" topLeftCell="A1">
      <selection activeCell="A24" sqref="A24:IV24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15" customFormat="1" ht="26.25">
      <c r="W1" s="381"/>
    </row>
    <row r="2" spans="2:23" s="115" customFormat="1" ht="26.25">
      <c r="B2" s="116" t="str">
        <f>+'TOT-0514'!B2</f>
        <v>ANEXO V al Memorándum  D.T.E.E.  N°       34    / 2014.-</v>
      </c>
      <c r="C2" s="117"/>
      <c r="D2" s="117"/>
      <c r="E2" s="117"/>
      <c r="F2" s="117"/>
      <c r="G2" s="116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="11" customFormat="1" ht="12.75"/>
    <row r="4" spans="1:4" s="118" customFormat="1" ht="11.25">
      <c r="A4" s="680" t="s">
        <v>16</v>
      </c>
      <c r="C4" s="679"/>
      <c r="D4" s="679"/>
    </row>
    <row r="5" spans="1:4" s="118" customFormat="1" ht="11.25">
      <c r="A5" s="680" t="s">
        <v>140</v>
      </c>
      <c r="C5" s="679"/>
      <c r="D5" s="679"/>
    </row>
    <row r="6" s="11" customFormat="1" ht="13.5" thickBot="1"/>
    <row r="7" spans="2:23" s="11" customFormat="1" ht="13.5" thickTop="1"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/>
    </row>
    <row r="8" spans="2:23" s="120" customFormat="1" ht="20.25">
      <c r="B8" s="119"/>
      <c r="C8" s="42"/>
      <c r="D8" s="42"/>
      <c r="E8" s="42"/>
      <c r="F8" s="21" t="s">
        <v>41</v>
      </c>
      <c r="P8" s="42"/>
      <c r="Q8" s="42"/>
      <c r="R8" s="42"/>
      <c r="S8" s="42"/>
      <c r="T8" s="42"/>
      <c r="U8" s="42"/>
      <c r="V8" s="42"/>
      <c r="W8" s="121"/>
    </row>
    <row r="9" spans="2:23" s="11" customFormat="1" ht="12.75">
      <c r="B9" s="41"/>
      <c r="C9" s="9"/>
      <c r="D9" s="9"/>
      <c r="E9" s="9"/>
      <c r="F9" s="9"/>
      <c r="G9" s="9"/>
      <c r="H9" s="9"/>
      <c r="I9" s="129"/>
      <c r="J9" s="129"/>
      <c r="K9" s="129"/>
      <c r="L9" s="129"/>
      <c r="M9" s="129"/>
      <c r="P9" s="9"/>
      <c r="Q9" s="9"/>
      <c r="R9" s="9"/>
      <c r="S9" s="9"/>
      <c r="T9" s="9"/>
      <c r="U9" s="9"/>
      <c r="V9" s="9"/>
      <c r="W9" s="12"/>
    </row>
    <row r="10" spans="2:23" s="120" customFormat="1" ht="20.25">
      <c r="B10" s="119"/>
      <c r="C10" s="42"/>
      <c r="D10" s="42"/>
      <c r="E10" s="42"/>
      <c r="F10" s="21" t="s">
        <v>82</v>
      </c>
      <c r="G10" s="21"/>
      <c r="H10" s="42"/>
      <c r="I10" s="21"/>
      <c r="J10" s="21"/>
      <c r="K10" s="21"/>
      <c r="L10" s="21"/>
      <c r="M10" s="21"/>
      <c r="P10" s="42"/>
      <c r="Q10" s="42"/>
      <c r="R10" s="42"/>
      <c r="S10" s="42"/>
      <c r="T10" s="42"/>
      <c r="U10" s="42"/>
      <c r="V10" s="42"/>
      <c r="W10" s="121"/>
    </row>
    <row r="11" spans="2:23" s="11" customFormat="1" ht="12.75">
      <c r="B11" s="41"/>
      <c r="C11" s="9"/>
      <c r="D11" s="9"/>
      <c r="E11" s="9"/>
      <c r="F11" s="186"/>
      <c r="G11" s="129"/>
      <c r="H11" s="9"/>
      <c r="I11" s="129"/>
      <c r="J11" s="129"/>
      <c r="K11" s="129"/>
      <c r="L11" s="129"/>
      <c r="M11" s="129"/>
      <c r="P11" s="9"/>
      <c r="Q11" s="9"/>
      <c r="R11" s="9"/>
      <c r="S11" s="9"/>
      <c r="T11" s="9"/>
      <c r="U11" s="9"/>
      <c r="V11" s="9"/>
      <c r="W11" s="12"/>
    </row>
    <row r="12" spans="2:23" s="120" customFormat="1" ht="20.25">
      <c r="B12" s="119"/>
      <c r="C12" s="42"/>
      <c r="D12" s="42"/>
      <c r="E12" s="42"/>
      <c r="F12" s="21" t="s">
        <v>83</v>
      </c>
      <c r="G12" s="21"/>
      <c r="H12" s="42"/>
      <c r="I12" s="21"/>
      <c r="J12" s="21"/>
      <c r="K12" s="21"/>
      <c r="L12" s="21"/>
      <c r="M12" s="21"/>
      <c r="P12" s="42"/>
      <c r="Q12" s="42"/>
      <c r="R12" s="42"/>
      <c r="S12" s="42"/>
      <c r="T12" s="42"/>
      <c r="U12" s="42"/>
      <c r="V12" s="42"/>
      <c r="W12" s="121"/>
    </row>
    <row r="13" spans="2:23" s="11" customFormat="1" ht="12.75">
      <c r="B13" s="41"/>
      <c r="C13" s="9"/>
      <c r="D13" s="9"/>
      <c r="E13" s="9"/>
      <c r="F13" s="131"/>
      <c r="G13" s="129"/>
      <c r="H13" s="9"/>
      <c r="I13" s="129"/>
      <c r="J13" s="129"/>
      <c r="K13" s="129"/>
      <c r="L13" s="129"/>
      <c r="M13" s="129"/>
      <c r="P13" s="9"/>
      <c r="Q13" s="9"/>
      <c r="R13" s="9"/>
      <c r="S13" s="9"/>
      <c r="T13" s="9"/>
      <c r="U13" s="9"/>
      <c r="V13" s="9"/>
      <c r="W13" s="12"/>
    </row>
    <row r="14" spans="2:23" s="127" customFormat="1" ht="19.5">
      <c r="B14" s="95" t="str">
        <f>+'TOT-0514'!B14</f>
        <v>Desde el 01 al 31 de mayo de 2014</v>
      </c>
      <c r="C14" s="123"/>
      <c r="D14" s="123"/>
      <c r="E14" s="123"/>
      <c r="F14" s="123"/>
      <c r="G14" s="123"/>
      <c r="H14" s="94"/>
      <c r="I14" s="123"/>
      <c r="J14" s="124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6"/>
    </row>
    <row r="15" spans="2:23" s="11" customFormat="1" ht="16.5" customHeight="1" thickBot="1">
      <c r="B15" s="41"/>
      <c r="C15" s="9"/>
      <c r="D15" s="9"/>
      <c r="E15" s="9"/>
      <c r="I15" s="128"/>
      <c r="K15" s="9"/>
      <c r="L15" s="9"/>
      <c r="M15" s="9"/>
      <c r="N15" s="128"/>
      <c r="O15" s="128"/>
      <c r="P15" s="128"/>
      <c r="Q15" s="9"/>
      <c r="R15" s="9"/>
      <c r="S15" s="9"/>
      <c r="T15" s="9"/>
      <c r="U15" s="9"/>
      <c r="V15" s="9"/>
      <c r="W15" s="12"/>
    </row>
    <row r="16" spans="2:23" s="11" customFormat="1" ht="16.5" customHeight="1" thickBot="1" thickTop="1">
      <c r="B16" s="41"/>
      <c r="C16" s="9"/>
      <c r="D16" s="9"/>
      <c r="E16" s="9"/>
      <c r="F16" s="207" t="s">
        <v>84</v>
      </c>
      <c r="G16" s="208">
        <v>26.747</v>
      </c>
      <c r="H16" s="99">
        <v>60</v>
      </c>
      <c r="I16" s="128"/>
      <c r="J16" s="238" t="str">
        <f>IF(H16=60," ",IF(H16=120,"Coeficiente duplicado por tasa de falla &gt;4 Sal. x año/100 km.","REVISAR COEFICIENTE"))</f>
        <v> </v>
      </c>
      <c r="K16" s="9"/>
      <c r="L16" s="9"/>
      <c r="M16" s="9"/>
      <c r="N16" s="128"/>
      <c r="O16" s="128"/>
      <c r="P16" s="128"/>
      <c r="Q16" s="9"/>
      <c r="R16" s="9"/>
      <c r="S16" s="9"/>
      <c r="T16" s="9"/>
      <c r="U16" s="9"/>
      <c r="V16" s="9"/>
      <c r="W16" s="12"/>
    </row>
    <row r="17" spans="2:23" s="11" customFormat="1" ht="16.5" customHeight="1" thickBot="1" thickTop="1">
      <c r="B17" s="41"/>
      <c r="C17" s="9"/>
      <c r="D17" s="9"/>
      <c r="E17" s="9"/>
      <c r="F17" s="207" t="s">
        <v>85</v>
      </c>
      <c r="G17" s="208">
        <v>12.9</v>
      </c>
      <c r="H17" s="99">
        <v>50</v>
      </c>
      <c r="J17" s="238" t="str">
        <f>IF(H17=50," ",IF(H17=100,"Coeficiente duplicado por tasa de falla &gt;4 Sal. x año/100 km.","REVISAR COEFICIENTE"))</f>
        <v> </v>
      </c>
      <c r="Q17" s="270"/>
      <c r="S17" s="9"/>
      <c r="T17" s="9"/>
      <c r="U17" s="9"/>
      <c r="V17" s="204"/>
      <c r="W17" s="12"/>
    </row>
    <row r="18" spans="2:23" s="11" customFormat="1" ht="16.5" customHeight="1" thickBot="1" thickTop="1">
      <c r="B18" s="41"/>
      <c r="C18" s="9"/>
      <c r="D18" s="9"/>
      <c r="E18" s="9"/>
      <c r="F18" s="209" t="s">
        <v>86</v>
      </c>
      <c r="G18" s="210">
        <v>9.681000000000001</v>
      </c>
      <c r="H18" s="211">
        <v>25</v>
      </c>
      <c r="J18" s="238" t="str">
        <f>IF(H18=25," ",IF(H18=50,"Coeficiente duplicado por tasa de falla &gt;4 Sal. x año/100 km.","REVISAR COEFICIENTE"))</f>
        <v> </v>
      </c>
      <c r="K18" s="173"/>
      <c r="L18" s="173"/>
      <c r="M18" s="9"/>
      <c r="P18" s="205"/>
      <c r="Q18" s="206"/>
      <c r="R18" s="33"/>
      <c r="S18" s="9"/>
      <c r="T18" s="9"/>
      <c r="U18" s="9"/>
      <c r="V18" s="204"/>
      <c r="W18" s="12"/>
    </row>
    <row r="19" spans="2:23" s="11" customFormat="1" ht="16.5" customHeight="1" thickBot="1" thickTop="1">
      <c r="B19" s="41"/>
      <c r="C19" s="9"/>
      <c r="D19" s="9"/>
      <c r="E19" s="9"/>
      <c r="F19" s="212" t="s">
        <v>87</v>
      </c>
      <c r="G19" s="210">
        <v>9.681000000000001</v>
      </c>
      <c r="H19" s="213">
        <v>20</v>
      </c>
      <c r="J19" s="238" t="str">
        <f>IF(H19=20," ",IF(H19=40,"Coeficiente duplicado por tasa de falla &gt;4 Sal. x año/100 km.","REVISAR COEFICIENTE"))</f>
        <v> </v>
      </c>
      <c r="K19" s="173"/>
      <c r="L19" s="173"/>
      <c r="M19" s="9"/>
      <c r="P19" s="205"/>
      <c r="Q19" s="206"/>
      <c r="R19" s="33"/>
      <c r="S19" s="9"/>
      <c r="T19" s="9"/>
      <c r="U19" s="9"/>
      <c r="V19" s="204"/>
      <c r="W19" s="12"/>
    </row>
    <row r="20" spans="2:23" s="707" customFormat="1" ht="16.5" customHeight="1" thickBot="1" thickTop="1">
      <c r="B20" s="704"/>
      <c r="C20" s="705">
        <v>3</v>
      </c>
      <c r="D20" s="705">
        <v>4</v>
      </c>
      <c r="E20" s="705">
        <v>5</v>
      </c>
      <c r="F20" s="705">
        <v>6</v>
      </c>
      <c r="G20" s="705">
        <v>7</v>
      </c>
      <c r="H20" s="705">
        <v>8</v>
      </c>
      <c r="I20" s="705">
        <v>9</v>
      </c>
      <c r="J20" s="705">
        <v>10</v>
      </c>
      <c r="K20" s="705">
        <v>11</v>
      </c>
      <c r="L20" s="705">
        <v>12</v>
      </c>
      <c r="M20" s="705">
        <v>13</v>
      </c>
      <c r="N20" s="705">
        <v>14</v>
      </c>
      <c r="O20" s="705">
        <v>15</v>
      </c>
      <c r="P20" s="705">
        <v>16</v>
      </c>
      <c r="Q20" s="705">
        <v>17</v>
      </c>
      <c r="R20" s="705">
        <v>18</v>
      </c>
      <c r="S20" s="705">
        <v>19</v>
      </c>
      <c r="T20" s="705">
        <v>20</v>
      </c>
      <c r="U20" s="705">
        <v>21</v>
      </c>
      <c r="V20" s="705">
        <v>22</v>
      </c>
      <c r="W20" s="706"/>
    </row>
    <row r="21" spans="2:23" s="11" customFormat="1" ht="33.75" customHeight="1" thickBot="1" thickTop="1">
      <c r="B21" s="41"/>
      <c r="C21" s="202" t="s">
        <v>47</v>
      </c>
      <c r="D21" s="107" t="s">
        <v>139</v>
      </c>
      <c r="E21" s="107" t="s">
        <v>138</v>
      </c>
      <c r="F21" s="200" t="s">
        <v>71</v>
      </c>
      <c r="G21" s="214" t="s">
        <v>14</v>
      </c>
      <c r="H21" s="217" t="s">
        <v>48</v>
      </c>
      <c r="I21" s="266" t="s">
        <v>50</v>
      </c>
      <c r="J21" s="196" t="s">
        <v>51</v>
      </c>
      <c r="K21" s="214" t="s">
        <v>52</v>
      </c>
      <c r="L21" s="216" t="s">
        <v>75</v>
      </c>
      <c r="M21" s="216" t="s">
        <v>76</v>
      </c>
      <c r="N21" s="111" t="s">
        <v>55</v>
      </c>
      <c r="O21" s="201" t="s">
        <v>77</v>
      </c>
      <c r="P21" s="334" t="s">
        <v>88</v>
      </c>
      <c r="Q21" s="308" t="s">
        <v>57</v>
      </c>
      <c r="R21" s="327" t="s">
        <v>81</v>
      </c>
      <c r="S21" s="328"/>
      <c r="T21" s="344" t="s">
        <v>61</v>
      </c>
      <c r="U21" s="198" t="s">
        <v>63</v>
      </c>
      <c r="V21" s="198" t="s">
        <v>64</v>
      </c>
      <c r="W21" s="35"/>
    </row>
    <row r="22" spans="2:23" s="11" customFormat="1" ht="16.5" customHeight="1" thickTop="1">
      <c r="B22" s="41"/>
      <c r="C22" s="20"/>
      <c r="D22" s="19"/>
      <c r="E22" s="19"/>
      <c r="F22" s="29"/>
      <c r="G22" s="29"/>
      <c r="H22" s="371"/>
      <c r="I22" s="269"/>
      <c r="J22" s="30"/>
      <c r="K22" s="31"/>
      <c r="L22" s="32"/>
      <c r="M22" s="59"/>
      <c r="N22" s="336"/>
      <c r="O22" s="336"/>
      <c r="P22" s="337"/>
      <c r="Q22" s="339"/>
      <c r="R22" s="341"/>
      <c r="S22" s="342"/>
      <c r="T22" s="345"/>
      <c r="U22" s="343"/>
      <c r="V22" s="380"/>
      <c r="W22" s="35"/>
    </row>
    <row r="23" spans="2:23" s="11" customFormat="1" ht="16.5" customHeight="1">
      <c r="B23" s="41"/>
      <c r="C23" s="20"/>
      <c r="D23" s="19"/>
      <c r="E23" s="19"/>
      <c r="F23" s="29"/>
      <c r="G23" s="29"/>
      <c r="H23" s="371"/>
      <c r="I23" s="269"/>
      <c r="J23" s="30"/>
      <c r="K23" s="31"/>
      <c r="L23" s="32"/>
      <c r="M23" s="59"/>
      <c r="N23" s="26"/>
      <c r="O23" s="26"/>
      <c r="P23" s="335"/>
      <c r="Q23" s="340"/>
      <c r="R23" s="329"/>
      <c r="S23" s="330"/>
      <c r="T23" s="346"/>
      <c r="U23" s="23"/>
      <c r="V23" s="215"/>
      <c r="W23" s="35"/>
    </row>
    <row r="24" spans="2:23" s="11" customFormat="1" ht="16.5" customHeight="1">
      <c r="B24" s="41"/>
      <c r="C24" s="628">
        <v>8</v>
      </c>
      <c r="D24" s="613">
        <v>275090</v>
      </c>
      <c r="E24" s="613">
        <v>3519</v>
      </c>
      <c r="F24" s="629" t="s">
        <v>151</v>
      </c>
      <c r="G24" s="629" t="s">
        <v>154</v>
      </c>
      <c r="H24" s="630">
        <v>33</v>
      </c>
      <c r="I24" s="269">
        <f>IF(H24=330,$G$16,IF(AND(H24&lt;=132,H24&gt;=66),$G$17,IF(AND(H24&lt;66,H24&gt;=33),$G$18,$G$19)))</f>
        <v>9.681000000000001</v>
      </c>
      <c r="J24" s="631">
        <v>41769.584027777775</v>
      </c>
      <c r="K24" s="632">
        <v>41769.618055555555</v>
      </c>
      <c r="L24" s="32">
        <f>IF(F24="","",(K24-J24)*24)</f>
        <v>0.8166666667093523</v>
      </c>
      <c r="M24" s="59">
        <f>IF(F24="","",ROUND((K24-J24)*24*60,0))</f>
        <v>49</v>
      </c>
      <c r="N24" s="633" t="s">
        <v>144</v>
      </c>
      <c r="O24" s="26" t="str">
        <f>IF(F24="","",IF(N24="P","--","NO"))</f>
        <v>--</v>
      </c>
      <c r="P24" s="335">
        <f>IF(H24=330,$H$16,IF(AND(H24&lt;=132,H24&gt;=66),$H$17,IF(AND(H24&lt;66,H24&gt;13.2),$H$18,$H$19)))</f>
        <v>25</v>
      </c>
      <c r="Q24" s="697">
        <f>IF(N24="P",I24*P24*ROUND(M24/60,2)*0.1,"--")</f>
        <v>19.846050000000005</v>
      </c>
      <c r="R24" s="329" t="str">
        <f>IF(AND(N24="F",O24="NO"),I24*P24,"--")</f>
        <v>--</v>
      </c>
      <c r="S24" s="330" t="str">
        <f>IF(N24="F",I24*P24*ROUND(M24/60,2),"--")</f>
        <v>--</v>
      </c>
      <c r="T24" s="346" t="str">
        <f>IF(N24="RF",I24*P24*ROUND(M24/60,2),"--")</f>
        <v>--</v>
      </c>
      <c r="U24" s="23" t="s">
        <v>145</v>
      </c>
      <c r="V24" s="60">
        <f>IF(F24="","",SUM(Q24:T24)*IF(U24="SI",1,2)*IF(H24="500/220",0,1))</f>
        <v>19.846050000000005</v>
      </c>
      <c r="W24" s="35"/>
    </row>
    <row r="25" spans="2:23" s="11" customFormat="1" ht="16.5" customHeight="1">
      <c r="B25" s="41"/>
      <c r="C25" s="628"/>
      <c r="D25" s="613"/>
      <c r="E25" s="613"/>
      <c r="F25" s="629"/>
      <c r="G25" s="629"/>
      <c r="H25" s="630"/>
      <c r="I25" s="269">
        <f aca="true" t="shared" si="0" ref="I25:I40">IF(H25=330,$G$16,IF(AND(H25&lt;=132,H25&gt;=66),$G$17,IF(AND(H25&lt;66,H25&gt;=33),$G$18,$G$19)))</f>
        <v>9.681000000000001</v>
      </c>
      <c r="J25" s="631"/>
      <c r="K25" s="632"/>
      <c r="L25" s="32">
        <f aca="true" t="shared" si="1" ref="L25:L40">IF(F25="","",(K25-J25)*24)</f>
      </c>
      <c r="M25" s="59">
        <f aca="true" t="shared" si="2" ref="M25:M40">IF(F25="","",ROUND((K25-J25)*24*60,0))</f>
      </c>
      <c r="N25" s="633"/>
      <c r="O25" s="26">
        <f aca="true" t="shared" si="3" ref="O25:O40">IF(F25="","",IF(N25="P","--","NO"))</f>
      </c>
      <c r="P25" s="335">
        <f aca="true" t="shared" si="4" ref="P25:P40">IF(H25=330,$H$16,IF(AND(H25&lt;=132,H25&gt;=66),$H$17,IF(AND(H25&lt;66,H25&gt;13.2),$H$18,$H$19)))</f>
        <v>20</v>
      </c>
      <c r="Q25" s="697" t="str">
        <f aca="true" t="shared" si="5" ref="Q25:Q40">IF(N25="P",I25*P25*ROUND(M25/60,2)*0.1,"--")</f>
        <v>--</v>
      </c>
      <c r="R25" s="329" t="str">
        <f aca="true" t="shared" si="6" ref="R25:R40">IF(AND(N25="F",O25="NO"),I25*P25,"--")</f>
        <v>--</v>
      </c>
      <c r="S25" s="330" t="str">
        <f aca="true" t="shared" si="7" ref="S25:S40">IF(N25="F",I25*P25*ROUND(M25/60,2),"--")</f>
        <v>--</v>
      </c>
      <c r="T25" s="346" t="str">
        <f aca="true" t="shared" si="8" ref="T25:T40">IF(N25="RF",I25*P25*ROUND(M25/60,2),"--")</f>
        <v>--</v>
      </c>
      <c r="U25" s="23">
        <f aca="true" t="shared" si="9" ref="U25:U40">IF(F25="","","SI")</f>
      </c>
      <c r="V25" s="60">
        <f aca="true" t="shared" si="10" ref="V25:V40">IF(F25="","",SUM(Q25:T25)*IF(U25="SI",1,2)*IF(H25="500/220",0,1))</f>
      </c>
      <c r="W25" s="35"/>
    </row>
    <row r="26" spans="2:23" s="11" customFormat="1" ht="16.5" customHeight="1">
      <c r="B26" s="41"/>
      <c r="C26" s="628"/>
      <c r="D26" s="613"/>
      <c r="E26" s="613"/>
      <c r="F26" s="629"/>
      <c r="G26" s="629"/>
      <c r="H26" s="630"/>
      <c r="I26" s="269">
        <f t="shared" si="0"/>
        <v>9.681000000000001</v>
      </c>
      <c r="J26" s="631"/>
      <c r="K26" s="632"/>
      <c r="L26" s="32">
        <f t="shared" si="1"/>
      </c>
      <c r="M26" s="59">
        <f t="shared" si="2"/>
      </c>
      <c r="N26" s="633"/>
      <c r="O26" s="26">
        <f t="shared" si="3"/>
      </c>
      <c r="P26" s="335">
        <f t="shared" si="4"/>
        <v>20</v>
      </c>
      <c r="Q26" s="697" t="str">
        <f t="shared" si="5"/>
        <v>--</v>
      </c>
      <c r="R26" s="329" t="str">
        <f t="shared" si="6"/>
        <v>--</v>
      </c>
      <c r="S26" s="330" t="str">
        <f t="shared" si="7"/>
        <v>--</v>
      </c>
      <c r="T26" s="346" t="str">
        <f t="shared" si="8"/>
        <v>--</v>
      </c>
      <c r="U26" s="23">
        <f t="shared" si="9"/>
      </c>
      <c r="V26" s="60">
        <f t="shared" si="10"/>
      </c>
      <c r="W26" s="35"/>
    </row>
    <row r="27" spans="2:23" s="11" customFormat="1" ht="16.5" customHeight="1">
      <c r="B27" s="41"/>
      <c r="C27" s="628"/>
      <c r="D27" s="613"/>
      <c r="E27" s="613"/>
      <c r="F27" s="629"/>
      <c r="G27" s="629"/>
      <c r="H27" s="630"/>
      <c r="I27" s="269">
        <f t="shared" si="0"/>
        <v>9.681000000000001</v>
      </c>
      <c r="J27" s="631"/>
      <c r="K27" s="632"/>
      <c r="L27" s="32">
        <f t="shared" si="1"/>
      </c>
      <c r="M27" s="59">
        <f t="shared" si="2"/>
      </c>
      <c r="N27" s="633"/>
      <c r="O27" s="26">
        <f t="shared" si="3"/>
      </c>
      <c r="P27" s="335">
        <f t="shared" si="4"/>
        <v>20</v>
      </c>
      <c r="Q27" s="697" t="str">
        <f t="shared" si="5"/>
        <v>--</v>
      </c>
      <c r="R27" s="329" t="str">
        <f t="shared" si="6"/>
        <v>--</v>
      </c>
      <c r="S27" s="330" t="str">
        <f t="shared" si="7"/>
        <v>--</v>
      </c>
      <c r="T27" s="346" t="str">
        <f t="shared" si="8"/>
        <v>--</v>
      </c>
      <c r="U27" s="23">
        <f t="shared" si="9"/>
      </c>
      <c r="V27" s="60">
        <f t="shared" si="10"/>
      </c>
      <c r="W27" s="35"/>
    </row>
    <row r="28" spans="2:23" s="11" customFormat="1" ht="16.5" customHeight="1">
      <c r="B28" s="41"/>
      <c r="C28" s="628"/>
      <c r="D28" s="613"/>
      <c r="E28" s="613"/>
      <c r="F28" s="629"/>
      <c r="G28" s="629"/>
      <c r="H28" s="630"/>
      <c r="I28" s="269">
        <f t="shared" si="0"/>
        <v>9.681000000000001</v>
      </c>
      <c r="J28" s="631"/>
      <c r="K28" s="632"/>
      <c r="L28" s="32">
        <f t="shared" si="1"/>
      </c>
      <c r="M28" s="59">
        <f t="shared" si="2"/>
      </c>
      <c r="N28" s="633"/>
      <c r="O28" s="26">
        <f t="shared" si="3"/>
      </c>
      <c r="P28" s="335">
        <f t="shared" si="4"/>
        <v>20</v>
      </c>
      <c r="Q28" s="697" t="str">
        <f t="shared" si="5"/>
        <v>--</v>
      </c>
      <c r="R28" s="329" t="str">
        <f t="shared" si="6"/>
        <v>--</v>
      </c>
      <c r="S28" s="330" t="str">
        <f t="shared" si="7"/>
        <v>--</v>
      </c>
      <c r="T28" s="346" t="str">
        <f t="shared" si="8"/>
        <v>--</v>
      </c>
      <c r="U28" s="23">
        <f t="shared" si="9"/>
      </c>
      <c r="V28" s="60">
        <f t="shared" si="10"/>
      </c>
      <c r="W28" s="35"/>
    </row>
    <row r="29" spans="2:23" s="11" customFormat="1" ht="16.5" customHeight="1">
      <c r="B29" s="41"/>
      <c r="C29" s="628"/>
      <c r="D29" s="613"/>
      <c r="E29" s="613"/>
      <c r="F29" s="629"/>
      <c r="G29" s="629"/>
      <c r="H29" s="630"/>
      <c r="I29" s="269">
        <f t="shared" si="0"/>
        <v>9.681000000000001</v>
      </c>
      <c r="J29" s="631"/>
      <c r="K29" s="632"/>
      <c r="L29" s="32">
        <f t="shared" si="1"/>
      </c>
      <c r="M29" s="59">
        <f t="shared" si="2"/>
      </c>
      <c r="N29" s="633"/>
      <c r="O29" s="26">
        <f t="shared" si="3"/>
      </c>
      <c r="P29" s="335">
        <f t="shared" si="4"/>
        <v>20</v>
      </c>
      <c r="Q29" s="697" t="str">
        <f t="shared" si="5"/>
        <v>--</v>
      </c>
      <c r="R29" s="329" t="str">
        <f t="shared" si="6"/>
        <v>--</v>
      </c>
      <c r="S29" s="330" t="str">
        <f t="shared" si="7"/>
        <v>--</v>
      </c>
      <c r="T29" s="346" t="str">
        <f t="shared" si="8"/>
        <v>--</v>
      </c>
      <c r="U29" s="23">
        <f t="shared" si="9"/>
      </c>
      <c r="V29" s="60">
        <f t="shared" si="10"/>
      </c>
      <c r="W29" s="35"/>
    </row>
    <row r="30" spans="2:23" s="11" customFormat="1" ht="16.5" customHeight="1">
      <c r="B30" s="41"/>
      <c r="C30" s="628"/>
      <c r="D30" s="613"/>
      <c r="E30" s="613"/>
      <c r="F30" s="629"/>
      <c r="G30" s="629"/>
      <c r="H30" s="630"/>
      <c r="I30" s="269">
        <f t="shared" si="0"/>
        <v>9.681000000000001</v>
      </c>
      <c r="J30" s="631"/>
      <c r="K30" s="632"/>
      <c r="L30" s="32">
        <f t="shared" si="1"/>
      </c>
      <c r="M30" s="59">
        <f t="shared" si="2"/>
      </c>
      <c r="N30" s="633"/>
      <c r="O30" s="26">
        <f t="shared" si="3"/>
      </c>
      <c r="P30" s="335">
        <f t="shared" si="4"/>
        <v>20</v>
      </c>
      <c r="Q30" s="697" t="str">
        <f t="shared" si="5"/>
        <v>--</v>
      </c>
      <c r="R30" s="329" t="str">
        <f t="shared" si="6"/>
        <v>--</v>
      </c>
      <c r="S30" s="330" t="str">
        <f t="shared" si="7"/>
        <v>--</v>
      </c>
      <c r="T30" s="346" t="str">
        <f t="shared" si="8"/>
        <v>--</v>
      </c>
      <c r="U30" s="23">
        <f t="shared" si="9"/>
      </c>
      <c r="V30" s="60">
        <f t="shared" si="10"/>
      </c>
      <c r="W30" s="35"/>
    </row>
    <row r="31" spans="2:23" s="11" customFormat="1" ht="16.5" customHeight="1">
      <c r="B31" s="41"/>
      <c r="C31" s="628"/>
      <c r="D31" s="613"/>
      <c r="E31" s="613"/>
      <c r="F31" s="629"/>
      <c r="G31" s="629"/>
      <c r="H31" s="630"/>
      <c r="I31" s="269">
        <f t="shared" si="0"/>
        <v>9.681000000000001</v>
      </c>
      <c r="J31" s="631"/>
      <c r="K31" s="632"/>
      <c r="L31" s="32">
        <f t="shared" si="1"/>
      </c>
      <c r="M31" s="59">
        <f t="shared" si="2"/>
      </c>
      <c r="N31" s="633"/>
      <c r="O31" s="26">
        <f t="shared" si="3"/>
      </c>
      <c r="P31" s="335">
        <f t="shared" si="4"/>
        <v>20</v>
      </c>
      <c r="Q31" s="697" t="str">
        <f t="shared" si="5"/>
        <v>--</v>
      </c>
      <c r="R31" s="329" t="str">
        <f t="shared" si="6"/>
        <v>--</v>
      </c>
      <c r="S31" s="330" t="str">
        <f t="shared" si="7"/>
        <v>--</v>
      </c>
      <c r="T31" s="346" t="str">
        <f t="shared" si="8"/>
        <v>--</v>
      </c>
      <c r="U31" s="23">
        <f t="shared" si="9"/>
      </c>
      <c r="V31" s="60">
        <f t="shared" si="10"/>
      </c>
      <c r="W31" s="35"/>
    </row>
    <row r="32" spans="2:23" s="11" customFormat="1" ht="16.5" customHeight="1">
      <c r="B32" s="41"/>
      <c r="C32" s="628"/>
      <c r="D32" s="613"/>
      <c r="E32" s="613"/>
      <c r="F32" s="629"/>
      <c r="G32" s="629"/>
      <c r="H32" s="630"/>
      <c r="I32" s="269">
        <f t="shared" si="0"/>
        <v>9.681000000000001</v>
      </c>
      <c r="J32" s="631"/>
      <c r="K32" s="632"/>
      <c r="L32" s="32">
        <f t="shared" si="1"/>
      </c>
      <c r="M32" s="59">
        <f t="shared" si="2"/>
      </c>
      <c r="N32" s="633"/>
      <c r="O32" s="26">
        <f t="shared" si="3"/>
      </c>
      <c r="P32" s="335">
        <f t="shared" si="4"/>
        <v>20</v>
      </c>
      <c r="Q32" s="697" t="str">
        <f t="shared" si="5"/>
        <v>--</v>
      </c>
      <c r="R32" s="329" t="str">
        <f t="shared" si="6"/>
        <v>--</v>
      </c>
      <c r="S32" s="330" t="str">
        <f t="shared" si="7"/>
        <v>--</v>
      </c>
      <c r="T32" s="346" t="str">
        <f t="shared" si="8"/>
        <v>--</v>
      </c>
      <c r="U32" s="23">
        <f t="shared" si="9"/>
      </c>
      <c r="V32" s="60">
        <f t="shared" si="10"/>
      </c>
      <c r="W32" s="35"/>
    </row>
    <row r="33" spans="2:23" s="11" customFormat="1" ht="16.5" customHeight="1">
      <c r="B33" s="41"/>
      <c r="C33" s="628"/>
      <c r="D33" s="613"/>
      <c r="E33" s="613"/>
      <c r="F33" s="629"/>
      <c r="G33" s="629"/>
      <c r="H33" s="630"/>
      <c r="I33" s="269">
        <f t="shared" si="0"/>
        <v>9.681000000000001</v>
      </c>
      <c r="J33" s="631"/>
      <c r="K33" s="632"/>
      <c r="L33" s="32">
        <f t="shared" si="1"/>
      </c>
      <c r="M33" s="59">
        <f t="shared" si="2"/>
      </c>
      <c r="N33" s="633"/>
      <c r="O33" s="26">
        <f t="shared" si="3"/>
      </c>
      <c r="P33" s="335">
        <f t="shared" si="4"/>
        <v>20</v>
      </c>
      <c r="Q33" s="697" t="str">
        <f t="shared" si="5"/>
        <v>--</v>
      </c>
      <c r="R33" s="329" t="str">
        <f t="shared" si="6"/>
        <v>--</v>
      </c>
      <c r="S33" s="330" t="str">
        <f t="shared" si="7"/>
        <v>--</v>
      </c>
      <c r="T33" s="346" t="str">
        <f t="shared" si="8"/>
        <v>--</v>
      </c>
      <c r="U33" s="23">
        <f t="shared" si="9"/>
      </c>
      <c r="V33" s="60">
        <f t="shared" si="10"/>
      </c>
      <c r="W33" s="35"/>
    </row>
    <row r="34" spans="2:23" s="11" customFormat="1" ht="16.5" customHeight="1">
      <c r="B34" s="41"/>
      <c r="C34" s="628"/>
      <c r="D34" s="613"/>
      <c r="E34" s="613"/>
      <c r="F34" s="629"/>
      <c r="G34" s="629"/>
      <c r="H34" s="630"/>
      <c r="I34" s="269">
        <f t="shared" si="0"/>
        <v>9.681000000000001</v>
      </c>
      <c r="J34" s="631"/>
      <c r="K34" s="632"/>
      <c r="L34" s="32">
        <f t="shared" si="1"/>
      </c>
      <c r="M34" s="59">
        <f t="shared" si="2"/>
      </c>
      <c r="N34" s="633"/>
      <c r="O34" s="26">
        <f t="shared" si="3"/>
      </c>
      <c r="P34" s="335">
        <f t="shared" si="4"/>
        <v>20</v>
      </c>
      <c r="Q34" s="697" t="str">
        <f t="shared" si="5"/>
        <v>--</v>
      </c>
      <c r="R34" s="329" t="str">
        <f t="shared" si="6"/>
        <v>--</v>
      </c>
      <c r="S34" s="330" t="str">
        <f t="shared" si="7"/>
        <v>--</v>
      </c>
      <c r="T34" s="346" t="str">
        <f t="shared" si="8"/>
        <v>--</v>
      </c>
      <c r="U34" s="23">
        <f t="shared" si="9"/>
      </c>
      <c r="V34" s="60">
        <f t="shared" si="10"/>
      </c>
      <c r="W34" s="35"/>
    </row>
    <row r="35" spans="2:23" s="11" customFormat="1" ht="16.5" customHeight="1">
      <c r="B35" s="41"/>
      <c r="C35" s="628"/>
      <c r="D35" s="613"/>
      <c r="E35" s="613"/>
      <c r="F35" s="629"/>
      <c r="G35" s="629"/>
      <c r="H35" s="630"/>
      <c r="I35" s="269">
        <f t="shared" si="0"/>
        <v>9.681000000000001</v>
      </c>
      <c r="J35" s="631"/>
      <c r="K35" s="632"/>
      <c r="L35" s="32">
        <f t="shared" si="1"/>
      </c>
      <c r="M35" s="59">
        <f t="shared" si="2"/>
      </c>
      <c r="N35" s="633"/>
      <c r="O35" s="26">
        <f t="shared" si="3"/>
      </c>
      <c r="P35" s="335">
        <f t="shared" si="4"/>
        <v>20</v>
      </c>
      <c r="Q35" s="697" t="str">
        <f t="shared" si="5"/>
        <v>--</v>
      </c>
      <c r="R35" s="329" t="str">
        <f t="shared" si="6"/>
        <v>--</v>
      </c>
      <c r="S35" s="330" t="str">
        <f t="shared" si="7"/>
        <v>--</v>
      </c>
      <c r="T35" s="346" t="str">
        <f t="shared" si="8"/>
        <v>--</v>
      </c>
      <c r="U35" s="23">
        <f t="shared" si="9"/>
      </c>
      <c r="V35" s="60">
        <f t="shared" si="10"/>
      </c>
      <c r="W35" s="35"/>
    </row>
    <row r="36" spans="2:23" s="11" customFormat="1" ht="16.5" customHeight="1">
      <c r="B36" s="41"/>
      <c r="C36" s="628"/>
      <c r="D36" s="613"/>
      <c r="E36" s="613"/>
      <c r="F36" s="629"/>
      <c r="G36" s="629"/>
      <c r="H36" s="630"/>
      <c r="I36" s="269">
        <f t="shared" si="0"/>
        <v>9.681000000000001</v>
      </c>
      <c r="J36" s="631"/>
      <c r="K36" s="632"/>
      <c r="L36" s="32">
        <f t="shared" si="1"/>
      </c>
      <c r="M36" s="59">
        <f t="shared" si="2"/>
      </c>
      <c r="N36" s="633"/>
      <c r="O36" s="26">
        <f t="shared" si="3"/>
      </c>
      <c r="P36" s="335">
        <f t="shared" si="4"/>
        <v>20</v>
      </c>
      <c r="Q36" s="697" t="str">
        <f t="shared" si="5"/>
        <v>--</v>
      </c>
      <c r="R36" s="329" t="str">
        <f t="shared" si="6"/>
        <v>--</v>
      </c>
      <c r="S36" s="330" t="str">
        <f t="shared" si="7"/>
        <v>--</v>
      </c>
      <c r="T36" s="346" t="str">
        <f t="shared" si="8"/>
        <v>--</v>
      </c>
      <c r="U36" s="23">
        <f t="shared" si="9"/>
      </c>
      <c r="V36" s="60">
        <f t="shared" si="10"/>
      </c>
      <c r="W36" s="35"/>
    </row>
    <row r="37" spans="2:23" s="11" customFormat="1" ht="16.5" customHeight="1">
      <c r="B37" s="41"/>
      <c r="C37" s="628"/>
      <c r="D37" s="613"/>
      <c r="E37" s="613"/>
      <c r="F37" s="629"/>
      <c r="G37" s="629"/>
      <c r="H37" s="630"/>
      <c r="I37" s="269">
        <f t="shared" si="0"/>
        <v>9.681000000000001</v>
      </c>
      <c r="J37" s="631"/>
      <c r="K37" s="632"/>
      <c r="L37" s="32">
        <f t="shared" si="1"/>
      </c>
      <c r="M37" s="59">
        <f t="shared" si="2"/>
      </c>
      <c r="N37" s="633"/>
      <c r="O37" s="26">
        <f t="shared" si="3"/>
      </c>
      <c r="P37" s="335">
        <f t="shared" si="4"/>
        <v>20</v>
      </c>
      <c r="Q37" s="697" t="str">
        <f t="shared" si="5"/>
        <v>--</v>
      </c>
      <c r="R37" s="329" t="str">
        <f t="shared" si="6"/>
        <v>--</v>
      </c>
      <c r="S37" s="330" t="str">
        <f t="shared" si="7"/>
        <v>--</v>
      </c>
      <c r="T37" s="346" t="str">
        <f t="shared" si="8"/>
        <v>--</v>
      </c>
      <c r="U37" s="23">
        <f t="shared" si="9"/>
      </c>
      <c r="V37" s="60">
        <f t="shared" si="10"/>
      </c>
      <c r="W37" s="35"/>
    </row>
    <row r="38" spans="2:23" s="11" customFormat="1" ht="16.5" customHeight="1">
      <c r="B38" s="41"/>
      <c r="C38" s="628"/>
      <c r="D38" s="613"/>
      <c r="E38" s="613"/>
      <c r="F38" s="629"/>
      <c r="G38" s="629"/>
      <c r="H38" s="630"/>
      <c r="I38" s="269">
        <f t="shared" si="0"/>
        <v>9.681000000000001</v>
      </c>
      <c r="J38" s="631"/>
      <c r="K38" s="632"/>
      <c r="L38" s="32">
        <f t="shared" si="1"/>
      </c>
      <c r="M38" s="59">
        <f t="shared" si="2"/>
      </c>
      <c r="N38" s="633"/>
      <c r="O38" s="26">
        <f t="shared" si="3"/>
      </c>
      <c r="P38" s="335">
        <f t="shared" si="4"/>
        <v>20</v>
      </c>
      <c r="Q38" s="697" t="str">
        <f t="shared" si="5"/>
        <v>--</v>
      </c>
      <c r="R38" s="329" t="str">
        <f t="shared" si="6"/>
        <v>--</v>
      </c>
      <c r="S38" s="330" t="str">
        <f t="shared" si="7"/>
        <v>--</v>
      </c>
      <c r="T38" s="346" t="str">
        <f t="shared" si="8"/>
        <v>--</v>
      </c>
      <c r="U38" s="23">
        <f t="shared" si="9"/>
      </c>
      <c r="V38" s="60">
        <f t="shared" si="10"/>
      </c>
      <c r="W38" s="35"/>
    </row>
    <row r="39" spans="2:23" s="11" customFormat="1" ht="16.5" customHeight="1">
      <c r="B39" s="41"/>
      <c r="C39" s="628"/>
      <c r="D39" s="613"/>
      <c r="E39" s="613"/>
      <c r="F39" s="629"/>
      <c r="G39" s="629"/>
      <c r="H39" s="630"/>
      <c r="I39" s="269">
        <f t="shared" si="0"/>
        <v>9.681000000000001</v>
      </c>
      <c r="J39" s="631"/>
      <c r="K39" s="632"/>
      <c r="L39" s="32">
        <f t="shared" si="1"/>
      </c>
      <c r="M39" s="59">
        <f t="shared" si="2"/>
      </c>
      <c r="N39" s="633"/>
      <c r="O39" s="26">
        <f t="shared" si="3"/>
      </c>
      <c r="P39" s="335">
        <f t="shared" si="4"/>
        <v>20</v>
      </c>
      <c r="Q39" s="697" t="str">
        <f t="shared" si="5"/>
        <v>--</v>
      </c>
      <c r="R39" s="329" t="str">
        <f t="shared" si="6"/>
        <v>--</v>
      </c>
      <c r="S39" s="330" t="str">
        <f t="shared" si="7"/>
        <v>--</v>
      </c>
      <c r="T39" s="346" t="str">
        <f t="shared" si="8"/>
        <v>--</v>
      </c>
      <c r="U39" s="23">
        <f t="shared" si="9"/>
      </c>
      <c r="V39" s="60">
        <f t="shared" si="10"/>
      </c>
      <c r="W39" s="35"/>
    </row>
    <row r="40" spans="2:23" s="11" customFormat="1" ht="16.5" customHeight="1">
      <c r="B40" s="41"/>
      <c r="C40" s="628"/>
      <c r="D40" s="613"/>
      <c r="E40" s="613"/>
      <c r="F40" s="629"/>
      <c r="G40" s="629"/>
      <c r="H40" s="630"/>
      <c r="I40" s="269">
        <f t="shared" si="0"/>
        <v>9.681000000000001</v>
      </c>
      <c r="J40" s="631"/>
      <c r="K40" s="632"/>
      <c r="L40" s="32">
        <f t="shared" si="1"/>
      </c>
      <c r="M40" s="59">
        <f t="shared" si="2"/>
      </c>
      <c r="N40" s="633"/>
      <c r="O40" s="26">
        <f t="shared" si="3"/>
      </c>
      <c r="P40" s="335">
        <f t="shared" si="4"/>
        <v>20</v>
      </c>
      <c r="Q40" s="697" t="str">
        <f t="shared" si="5"/>
        <v>--</v>
      </c>
      <c r="R40" s="329" t="str">
        <f t="shared" si="6"/>
        <v>--</v>
      </c>
      <c r="S40" s="330" t="str">
        <f t="shared" si="7"/>
        <v>--</v>
      </c>
      <c r="T40" s="346" t="str">
        <f t="shared" si="8"/>
        <v>--</v>
      </c>
      <c r="U40" s="23">
        <f t="shared" si="9"/>
      </c>
      <c r="V40" s="60">
        <f t="shared" si="10"/>
      </c>
      <c r="W40" s="35"/>
    </row>
    <row r="41" spans="2:23" s="11" customFormat="1" ht="16.5" customHeight="1">
      <c r="B41" s="41"/>
      <c r="C41" s="628"/>
      <c r="D41" s="613"/>
      <c r="E41" s="613"/>
      <c r="F41" s="629"/>
      <c r="G41" s="629"/>
      <c r="H41" s="630"/>
      <c r="I41" s="269">
        <f>IF(H41=330,$G$16,IF(AND(H41&lt;=132,H41&gt;=66),$G$17,IF(AND(H41&lt;66,H41&gt;=33),$G$18,$G$19)))</f>
        <v>9.681000000000001</v>
      </c>
      <c r="J41" s="631"/>
      <c r="K41" s="632"/>
      <c r="L41" s="32">
        <f>IF(F41="","",(K41-J41)*24)</f>
      </c>
      <c r="M41" s="59">
        <f>IF(F41="","",ROUND((K41-J41)*24*60,0))</f>
      </c>
      <c r="N41" s="633"/>
      <c r="O41" s="26">
        <f>IF(F41="","",IF(N41="P","--","NO"))</f>
      </c>
      <c r="P41" s="335">
        <f>IF(H41=330,$H$16,IF(AND(H41&lt;=132,H41&gt;=66),$H$17,IF(AND(H41&lt;66,H41&gt;13.2),$H$18,$H$19)))</f>
        <v>20</v>
      </c>
      <c r="Q41" s="697" t="str">
        <f>IF(N41="P",I41*P41*ROUND(M41/60,2)*0.1,"--")</f>
        <v>--</v>
      </c>
      <c r="R41" s="329" t="str">
        <f>IF(AND(N41="F",O41="NO"),I41*P41,"--")</f>
        <v>--</v>
      </c>
      <c r="S41" s="330" t="str">
        <f>IF(N41="F",I41*P41*ROUND(M41/60,2),"--")</f>
        <v>--</v>
      </c>
      <c r="T41" s="346" t="str">
        <f>IF(N41="RF",I41*P41*ROUND(M41/60,2),"--")</f>
        <v>--</v>
      </c>
      <c r="U41" s="23">
        <f>IF(F41="","","SI")</f>
      </c>
      <c r="V41" s="60">
        <f>IF(F41="","",SUM(Q41:T41)*IF(U41="SI",1,2)*IF(H41="500/220",0,1))</f>
      </c>
      <c r="W41" s="35"/>
    </row>
    <row r="42" spans="2:23" s="11" customFormat="1" ht="16.5" customHeight="1">
      <c r="B42" s="41"/>
      <c r="C42" s="628"/>
      <c r="D42" s="613"/>
      <c r="E42" s="613"/>
      <c r="F42" s="629"/>
      <c r="G42" s="629"/>
      <c r="H42" s="630"/>
      <c r="I42" s="269">
        <f>IF(H42=330,$G$16,IF(AND(H42&lt;=132,H42&gt;=66),$G$17,IF(AND(H42&lt;66,H42&gt;=33),$G$18,$G$19)))</f>
        <v>9.681000000000001</v>
      </c>
      <c r="J42" s="631"/>
      <c r="K42" s="632"/>
      <c r="L42" s="32">
        <f>IF(F42="","",(K42-J42)*24)</f>
      </c>
      <c r="M42" s="59">
        <f>IF(F42="","",ROUND((K42-J42)*24*60,0))</f>
      </c>
      <c r="N42" s="633"/>
      <c r="O42" s="26">
        <f>IF(F42="","",IF(N42="P","--","NO"))</f>
      </c>
      <c r="P42" s="335">
        <f>IF(H42=330,$H$16,IF(AND(H42&lt;=132,H42&gt;=66),$H$17,IF(AND(H42&lt;66,H42&gt;13.2),$H$18,$H$19)))</f>
        <v>20</v>
      </c>
      <c r="Q42" s="697" t="str">
        <f>IF(N42="P",I42*P42*ROUND(M42/60,2)*0.1,"--")</f>
        <v>--</v>
      </c>
      <c r="R42" s="329" t="str">
        <f>IF(AND(N42="F",O42="NO"),I42*P42,"--")</f>
        <v>--</v>
      </c>
      <c r="S42" s="330" t="str">
        <f>IF(N42="F",I42*P42*ROUND(M42/60,2),"--")</f>
        <v>--</v>
      </c>
      <c r="T42" s="346" t="str">
        <f>IF(N42="RF",I42*P42*ROUND(M42/60,2),"--")</f>
        <v>--</v>
      </c>
      <c r="U42" s="23">
        <f>IF(F42="","","SI")</f>
      </c>
      <c r="V42" s="60">
        <f>IF(F42="","",SUM(Q42:T42)*IF(U42="SI",1,2)*IF(H42="500/220",0,1))</f>
      </c>
      <c r="W42" s="35"/>
    </row>
    <row r="43" spans="2:23" s="11" customFormat="1" ht="16.5" customHeight="1">
      <c r="B43" s="41"/>
      <c r="C43" s="628"/>
      <c r="D43" s="613"/>
      <c r="E43" s="613"/>
      <c r="F43" s="629"/>
      <c r="G43" s="629"/>
      <c r="H43" s="630"/>
      <c r="I43" s="269">
        <f>IF(H43=330,$G$16,IF(AND(H43&lt;=132,H43&gt;=66),$G$17,IF(AND(H43&lt;66,H43&gt;=33),$G$18,$G$19)))</f>
        <v>9.681000000000001</v>
      </c>
      <c r="J43" s="631"/>
      <c r="K43" s="632"/>
      <c r="L43" s="32">
        <f>IF(F43="","",(K43-J43)*24)</f>
      </c>
      <c r="M43" s="59">
        <f>IF(F43="","",ROUND((K43-J43)*24*60,0))</f>
      </c>
      <c r="N43" s="633"/>
      <c r="O43" s="26">
        <f>IF(F43="","",IF(N43="P","--","NO"))</f>
      </c>
      <c r="P43" s="335">
        <f>IF(H43=330,$H$16,IF(AND(H43&lt;=132,H43&gt;=66),$H$17,IF(AND(H43&lt;66,H43&gt;13.2),$H$18,$H$19)))</f>
        <v>20</v>
      </c>
      <c r="Q43" s="697" t="str">
        <f>IF(N43="P",I43*P43*ROUND(M43/60,2)*0.1,"--")</f>
        <v>--</v>
      </c>
      <c r="R43" s="329" t="str">
        <f>IF(AND(N43="F",O43="NO"),I43*P43,"--")</f>
        <v>--</v>
      </c>
      <c r="S43" s="330" t="str">
        <f>IF(N43="F",I43*P43*ROUND(M43/60,2),"--")</f>
        <v>--</v>
      </c>
      <c r="T43" s="346" t="str">
        <f>IF(N43="RF",I43*P43*ROUND(M43/60,2),"--")</f>
        <v>--</v>
      </c>
      <c r="U43" s="23">
        <f>IF(F43="","","SI")</f>
      </c>
      <c r="V43" s="60">
        <f>IF(F43="","",SUM(Q43:T43)*IF(U43="SI",1,2)*IF(H43="500/220",0,1))</f>
      </c>
      <c r="W43" s="35"/>
    </row>
    <row r="44" spans="2:23" s="11" customFormat="1" ht="16.5" customHeight="1" thickBot="1">
      <c r="B44" s="41"/>
      <c r="C44" s="616"/>
      <c r="D44" s="616"/>
      <c r="E44" s="616"/>
      <c r="F44" s="616"/>
      <c r="G44" s="616"/>
      <c r="H44" s="616"/>
      <c r="I44" s="268"/>
      <c r="J44" s="616"/>
      <c r="K44" s="616"/>
      <c r="L44" s="27"/>
      <c r="M44" s="27"/>
      <c r="N44" s="616"/>
      <c r="O44" s="616"/>
      <c r="P44" s="634"/>
      <c r="Q44" s="635"/>
      <c r="R44" s="624"/>
      <c r="S44" s="625"/>
      <c r="T44" s="619"/>
      <c r="U44" s="616"/>
      <c r="V44" s="203"/>
      <c r="W44" s="35"/>
    </row>
    <row r="45" spans="2:23" s="11" customFormat="1" ht="16.5" customHeight="1" thickBot="1" thickTop="1">
      <c r="B45" s="41"/>
      <c r="C45" s="241" t="s">
        <v>65</v>
      </c>
      <c r="D45" s="719" t="s">
        <v>182</v>
      </c>
      <c r="E45" s="677"/>
      <c r="F45" s="242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347">
        <f>SUM(Q22:Q44)</f>
        <v>19.846050000000005</v>
      </c>
      <c r="R45" s="313">
        <f>SUM(R22:R44)</f>
        <v>0</v>
      </c>
      <c r="S45" s="313">
        <f>SUM(S22:S44)</f>
        <v>0</v>
      </c>
      <c r="T45" s="348">
        <f>SUM(T22:T44)</f>
        <v>0</v>
      </c>
      <c r="U45" s="61"/>
      <c r="V45" s="257">
        <f>ROUND(SUM(V22:V44),2)</f>
        <v>19.85</v>
      </c>
      <c r="W45" s="35"/>
    </row>
    <row r="46" spans="2:23" s="260" customFormat="1" ht="9.75" thickTop="1">
      <c r="B46" s="259"/>
      <c r="C46" s="243"/>
      <c r="D46" s="243"/>
      <c r="E46" s="243"/>
      <c r="F46" s="244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2"/>
      <c r="V46" s="263"/>
      <c r="W46" s="264"/>
    </row>
    <row r="47" spans="1:23" s="11" customFormat="1" ht="16.5" customHeight="1" thickBot="1">
      <c r="A47" s="12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5"/>
    </row>
    <row r="48" spans="1:23" ht="13.5" thickTop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3:6" ht="12.75">
      <c r="C49" s="7"/>
      <c r="D49" s="7"/>
      <c r="E49" s="7"/>
      <c r="F49" s="7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4"/>
  <headerFooter alignWithMargins="0">
    <oddFooter>&amp;L&amp;"Times New Roman,Normal"&amp;8&amp;Z&amp;F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5" zoomScaleNormal="75" zoomScalePageLayoutView="0" workbookViewId="0" topLeftCell="A1">
      <selection activeCell="A24" sqref="A24:IV26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15" customFormat="1" ht="26.25">
      <c r="W1" s="381"/>
    </row>
    <row r="2" spans="2:23" s="115" customFormat="1" ht="26.25">
      <c r="B2" s="116" t="str">
        <f>+'TOT-0514'!B2</f>
        <v>ANEXO V al Memorándum  D.T.E.E.  N°       34    / 2014.-</v>
      </c>
      <c r="C2" s="117"/>
      <c r="D2" s="117"/>
      <c r="E2" s="117"/>
      <c r="F2" s="117"/>
      <c r="G2" s="116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="11" customFormat="1" ht="12.75"/>
    <row r="4" spans="1:4" s="118" customFormat="1" ht="11.25">
      <c r="A4" s="680" t="s">
        <v>16</v>
      </c>
      <c r="C4" s="679"/>
      <c r="D4" s="679"/>
    </row>
    <row r="5" spans="1:4" s="118" customFormat="1" ht="11.25">
      <c r="A5" s="680" t="s">
        <v>140</v>
      </c>
      <c r="C5" s="679"/>
      <c r="D5" s="679"/>
    </row>
    <row r="6" s="11" customFormat="1" ht="13.5" thickBot="1"/>
    <row r="7" spans="2:23" s="11" customFormat="1" ht="13.5" thickTop="1"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/>
    </row>
    <row r="8" spans="2:23" s="120" customFormat="1" ht="20.25">
      <c r="B8" s="119"/>
      <c r="C8" s="42"/>
      <c r="D8" s="42"/>
      <c r="E8" s="42"/>
      <c r="F8" s="21" t="s">
        <v>41</v>
      </c>
      <c r="P8" s="42"/>
      <c r="Q8" s="42"/>
      <c r="R8" s="42"/>
      <c r="S8" s="42"/>
      <c r="T8" s="42"/>
      <c r="U8" s="42"/>
      <c r="V8" s="42"/>
      <c r="W8" s="121"/>
    </row>
    <row r="9" spans="2:23" s="11" customFormat="1" ht="12.75">
      <c r="B9" s="41"/>
      <c r="C9" s="9"/>
      <c r="D9" s="9"/>
      <c r="E9" s="9"/>
      <c r="F9" s="9"/>
      <c r="G9" s="9"/>
      <c r="H9" s="9"/>
      <c r="I9" s="129"/>
      <c r="J9" s="129"/>
      <c r="K9" s="129"/>
      <c r="L9" s="129"/>
      <c r="M9" s="129"/>
      <c r="P9" s="9"/>
      <c r="Q9" s="9"/>
      <c r="R9" s="9"/>
      <c r="S9" s="9"/>
      <c r="T9" s="9"/>
      <c r="U9" s="9"/>
      <c r="V9" s="9"/>
      <c r="W9" s="12"/>
    </row>
    <row r="10" spans="2:23" s="120" customFormat="1" ht="20.25">
      <c r="B10" s="119"/>
      <c r="C10" s="42"/>
      <c r="D10" s="42"/>
      <c r="E10" s="42"/>
      <c r="F10" s="21" t="s">
        <v>137</v>
      </c>
      <c r="G10" s="21"/>
      <c r="H10" s="42"/>
      <c r="I10" s="21"/>
      <c r="J10" s="21"/>
      <c r="K10" s="21"/>
      <c r="L10" s="21"/>
      <c r="M10" s="21"/>
      <c r="P10" s="42"/>
      <c r="Q10" s="42"/>
      <c r="R10" s="42"/>
      <c r="S10" s="42"/>
      <c r="T10" s="42"/>
      <c r="U10" s="42"/>
      <c r="V10" s="42"/>
      <c r="W10" s="121"/>
    </row>
    <row r="11" spans="2:23" s="11" customFormat="1" ht="12.75">
      <c r="B11" s="41"/>
      <c r="C11" s="9"/>
      <c r="D11" s="9"/>
      <c r="E11" s="9"/>
      <c r="F11" s="131"/>
      <c r="G11" s="129"/>
      <c r="H11" s="9"/>
      <c r="I11" s="129"/>
      <c r="J11" s="129"/>
      <c r="K11" s="129"/>
      <c r="L11" s="129"/>
      <c r="M11" s="129"/>
      <c r="P11" s="9"/>
      <c r="Q11" s="9"/>
      <c r="R11" s="9"/>
      <c r="S11" s="9"/>
      <c r="T11" s="9"/>
      <c r="U11" s="9"/>
      <c r="V11" s="9"/>
      <c r="W11" s="12"/>
    </row>
    <row r="12" spans="2:23" s="127" customFormat="1" ht="19.5">
      <c r="B12" s="95" t="str">
        <f>+'TOT-0514'!B14</f>
        <v>Desde el 01 al 31 de mayo de 2014</v>
      </c>
      <c r="C12" s="123"/>
      <c r="D12" s="123"/>
      <c r="E12" s="123"/>
      <c r="F12" s="123"/>
      <c r="G12" s="123"/>
      <c r="H12" s="94"/>
      <c r="I12" s="123"/>
      <c r="J12" s="124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6"/>
    </row>
    <row r="13" spans="2:23" s="127" customFormat="1" ht="7.5" customHeight="1">
      <c r="B13" s="95"/>
      <c r="C13" s="123"/>
      <c r="D13" s="123"/>
      <c r="E13" s="123"/>
      <c r="F13" s="123"/>
      <c r="G13" s="123"/>
      <c r="H13" s="94"/>
      <c r="I13" s="123"/>
      <c r="J13" s="124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6"/>
    </row>
    <row r="14" spans="2:23" s="11" customFormat="1" ht="7.5" customHeight="1" thickBot="1">
      <c r="B14" s="41"/>
      <c r="C14" s="9"/>
      <c r="D14" s="9"/>
      <c r="E14" s="9"/>
      <c r="I14" s="128"/>
      <c r="K14" s="9"/>
      <c r="L14" s="9"/>
      <c r="M14" s="9"/>
      <c r="N14" s="128"/>
      <c r="O14" s="128"/>
      <c r="P14" s="128"/>
      <c r="Q14" s="9"/>
      <c r="R14" s="9"/>
      <c r="S14" s="9"/>
      <c r="T14" s="9"/>
      <c r="U14" s="9"/>
      <c r="V14" s="9"/>
      <c r="W14" s="12"/>
    </row>
    <row r="15" spans="2:23" s="11" customFormat="1" ht="16.5" customHeight="1" thickBot="1" thickTop="1">
      <c r="B15" s="41"/>
      <c r="C15" s="9"/>
      <c r="D15" s="9"/>
      <c r="E15" s="9"/>
      <c r="F15" s="207" t="s">
        <v>84</v>
      </c>
      <c r="G15" s="208" t="s">
        <v>167</v>
      </c>
      <c r="H15" s="99">
        <f>60*'TOT-0514'!B13</f>
        <v>60</v>
      </c>
      <c r="I15" s="128"/>
      <c r="J15" s="238" t="str">
        <f>IF(H15=60," ",IF(H15=120,"Coeficiente duplicado por tasa de falla &gt;4 Sal. x año/100 km.","REVISAR COEFICIENTE"))</f>
        <v> </v>
      </c>
      <c r="K15" s="9"/>
      <c r="L15" s="9"/>
      <c r="M15" s="9"/>
      <c r="N15" s="128"/>
      <c r="O15" s="128"/>
      <c r="P15" s="128"/>
      <c r="Q15" s="9"/>
      <c r="R15" s="9"/>
      <c r="S15" s="9"/>
      <c r="T15" s="9"/>
      <c r="U15" s="9"/>
      <c r="V15" s="9"/>
      <c r="W15" s="12"/>
    </row>
    <row r="16" spans="2:23" s="11" customFormat="1" ht="16.5" customHeight="1" thickBot="1" thickTop="1">
      <c r="B16" s="41"/>
      <c r="C16" s="9"/>
      <c r="D16" s="9"/>
      <c r="E16" s="9"/>
      <c r="F16" s="207" t="s">
        <v>85</v>
      </c>
      <c r="G16" s="208">
        <v>12.9</v>
      </c>
      <c r="H16" s="99">
        <f>50*'TOT-0514'!B13</f>
        <v>50</v>
      </c>
      <c r="J16" s="238" t="str">
        <f>IF(H16=50," ",IF(H16=100,"Coeficiente duplicado por tasa de falla &gt;4 Sal. x año/100 km.","REVISAR COEFICIENTE"))</f>
        <v> </v>
      </c>
      <c r="Q16" s="270"/>
      <c r="S16" s="9"/>
      <c r="T16" s="9"/>
      <c r="U16" s="9"/>
      <c r="V16" s="204"/>
      <c r="W16" s="12"/>
    </row>
    <row r="17" spans="2:23" s="11" customFormat="1" ht="16.5" customHeight="1" thickBot="1" thickTop="1">
      <c r="B17" s="41"/>
      <c r="C17" s="9"/>
      <c r="D17" s="9"/>
      <c r="E17" s="9"/>
      <c r="F17" s="209" t="s">
        <v>86</v>
      </c>
      <c r="G17" s="210">
        <v>9.681000000000001</v>
      </c>
      <c r="H17" s="211">
        <f>25*'TOT-0514'!B13</f>
        <v>25</v>
      </c>
      <c r="J17" s="238" t="str">
        <f>IF(H17=25," ",IF(H17=50,"Coeficiente duplicado por tasa de falla &gt;4 Sal. x año/100 km.","REVISAR COEFICIENTE"))</f>
        <v> </v>
      </c>
      <c r="K17" s="173"/>
      <c r="L17" s="173"/>
      <c r="M17" s="9"/>
      <c r="P17" s="205"/>
      <c r="Q17" s="206"/>
      <c r="R17" s="33"/>
      <c r="S17" s="9"/>
      <c r="T17" s="9"/>
      <c r="U17" s="9"/>
      <c r="V17" s="204"/>
      <c r="W17" s="12"/>
    </row>
    <row r="18" spans="2:23" s="11" customFormat="1" ht="16.5" customHeight="1" thickBot="1" thickTop="1">
      <c r="B18" s="41"/>
      <c r="C18" s="9"/>
      <c r="D18" s="9"/>
      <c r="E18" s="9"/>
      <c r="F18" s="212" t="s">
        <v>87</v>
      </c>
      <c r="G18" s="210">
        <v>9.681000000000001</v>
      </c>
      <c r="H18" s="213">
        <f>20*'TOT-0514'!B13</f>
        <v>20</v>
      </c>
      <c r="J18" s="238" t="str">
        <f>IF(H18=20," ",IF(H18=40,"Coeficiente duplicado por tasa de falla &gt;4 Sal. x año/100 km.","REVISAR COEFICIENTE"))</f>
        <v> </v>
      </c>
      <c r="K18" s="173"/>
      <c r="L18" s="173"/>
      <c r="M18" s="9"/>
      <c r="P18" s="205"/>
      <c r="Q18" s="206"/>
      <c r="R18" s="33"/>
      <c r="S18" s="9"/>
      <c r="T18" s="9"/>
      <c r="U18" s="9"/>
      <c r="V18" s="204"/>
      <c r="W18" s="12"/>
    </row>
    <row r="19" spans="2:23" s="11" customFormat="1" ht="7.5" customHeight="1" thickTop="1">
      <c r="B19" s="41"/>
      <c r="C19" s="9"/>
      <c r="D19" s="9"/>
      <c r="E19" s="9"/>
      <c r="F19" s="104"/>
      <c r="G19" s="671"/>
      <c r="H19" s="672"/>
      <c r="J19" s="238"/>
      <c r="K19" s="173"/>
      <c r="L19" s="173"/>
      <c r="M19" s="9"/>
      <c r="P19" s="205"/>
      <c r="Q19" s="206"/>
      <c r="R19" s="33"/>
      <c r="S19" s="9"/>
      <c r="T19" s="9"/>
      <c r="U19" s="9"/>
      <c r="V19" s="204"/>
      <c r="W19" s="12"/>
    </row>
    <row r="20" spans="2:23" s="707" customFormat="1" ht="15" customHeight="1" thickBot="1">
      <c r="B20" s="704"/>
      <c r="C20" s="703">
        <v>3</v>
      </c>
      <c r="D20" s="703">
        <v>4</v>
      </c>
      <c r="E20" s="703">
        <v>5</v>
      </c>
      <c r="F20" s="703">
        <v>6</v>
      </c>
      <c r="G20" s="703">
        <v>7</v>
      </c>
      <c r="H20" s="703">
        <v>8</v>
      </c>
      <c r="I20" s="703">
        <v>9</v>
      </c>
      <c r="J20" s="703">
        <v>10</v>
      </c>
      <c r="K20" s="703">
        <v>11</v>
      </c>
      <c r="L20" s="703">
        <v>12</v>
      </c>
      <c r="M20" s="703">
        <v>13</v>
      </c>
      <c r="N20" s="703">
        <v>14</v>
      </c>
      <c r="O20" s="703">
        <v>15</v>
      </c>
      <c r="P20" s="703">
        <v>16</v>
      </c>
      <c r="Q20" s="703">
        <v>17</v>
      </c>
      <c r="R20" s="703">
        <v>18</v>
      </c>
      <c r="S20" s="703">
        <v>19</v>
      </c>
      <c r="T20" s="703">
        <v>20</v>
      </c>
      <c r="U20" s="703">
        <v>21</v>
      </c>
      <c r="V20" s="703">
        <v>22</v>
      </c>
      <c r="W20" s="706"/>
    </row>
    <row r="21" spans="2:23" s="11" customFormat="1" ht="33.75" customHeight="1" thickBot="1" thickTop="1">
      <c r="B21" s="41"/>
      <c r="C21" s="202" t="s">
        <v>47</v>
      </c>
      <c r="D21" s="107" t="s">
        <v>139</v>
      </c>
      <c r="E21" s="107" t="s">
        <v>138</v>
      </c>
      <c r="F21" s="200" t="s">
        <v>71</v>
      </c>
      <c r="G21" s="214" t="s">
        <v>14</v>
      </c>
      <c r="H21" s="217" t="s">
        <v>48</v>
      </c>
      <c r="I21" s="266" t="s">
        <v>50</v>
      </c>
      <c r="J21" s="196" t="s">
        <v>51</v>
      </c>
      <c r="K21" s="214" t="s">
        <v>52</v>
      </c>
      <c r="L21" s="216" t="s">
        <v>75</v>
      </c>
      <c r="M21" s="216" t="s">
        <v>76</v>
      </c>
      <c r="N21" s="111" t="s">
        <v>55</v>
      </c>
      <c r="O21" s="201" t="s">
        <v>77</v>
      </c>
      <c r="P21" s="334" t="s">
        <v>88</v>
      </c>
      <c r="Q21" s="308" t="s">
        <v>57</v>
      </c>
      <c r="R21" s="327" t="s">
        <v>81</v>
      </c>
      <c r="S21" s="328"/>
      <c r="T21" s="344" t="s">
        <v>61</v>
      </c>
      <c r="U21" s="198" t="s">
        <v>63</v>
      </c>
      <c r="V21" s="198" t="s">
        <v>64</v>
      </c>
      <c r="W21" s="35"/>
    </row>
    <row r="22" spans="2:23" s="11" customFormat="1" ht="16.5" customHeight="1" thickTop="1">
      <c r="B22" s="41"/>
      <c r="C22" s="20"/>
      <c r="D22" s="19"/>
      <c r="E22" s="19"/>
      <c r="F22" s="29"/>
      <c r="G22" s="29"/>
      <c r="H22" s="13"/>
      <c r="I22" s="269"/>
      <c r="J22" s="30"/>
      <c r="K22" s="31"/>
      <c r="L22" s="32"/>
      <c r="M22" s="59"/>
      <c r="N22" s="336"/>
      <c r="O22" s="336"/>
      <c r="P22" s="337"/>
      <c r="Q22" s="339"/>
      <c r="R22" s="341"/>
      <c r="S22" s="342"/>
      <c r="T22" s="345"/>
      <c r="U22" s="343"/>
      <c r="V22" s="338"/>
      <c r="W22" s="35"/>
    </row>
    <row r="23" spans="2:23" s="11" customFormat="1" ht="16.5" customHeight="1">
      <c r="B23" s="41"/>
      <c r="C23" s="20"/>
      <c r="D23" s="19"/>
      <c r="E23" s="19"/>
      <c r="F23" s="29"/>
      <c r="G23" s="29"/>
      <c r="H23" s="13"/>
      <c r="I23" s="269"/>
      <c r="J23" s="30"/>
      <c r="K23" s="31"/>
      <c r="L23" s="32"/>
      <c r="M23" s="59"/>
      <c r="N23" s="26"/>
      <c r="O23" s="26"/>
      <c r="P23" s="335"/>
      <c r="Q23" s="340"/>
      <c r="R23" s="329"/>
      <c r="S23" s="330"/>
      <c r="T23" s="346"/>
      <c r="U23" s="23"/>
      <c r="V23" s="215"/>
      <c r="W23" s="35"/>
    </row>
    <row r="24" spans="2:23" s="11" customFormat="1" ht="16.5" customHeight="1">
      <c r="B24" s="41"/>
      <c r="C24" s="628">
        <v>9</v>
      </c>
      <c r="D24" s="613">
        <v>275084</v>
      </c>
      <c r="E24" s="613">
        <v>1757</v>
      </c>
      <c r="F24" s="629" t="s">
        <v>168</v>
      </c>
      <c r="G24" s="629" t="s">
        <v>169</v>
      </c>
      <c r="H24" s="636">
        <v>33</v>
      </c>
      <c r="I24" s="269">
        <f aca="true" t="shared" si="0" ref="I24:I43">IF(H24=330,$G$15,IF(AND(H24&lt;=132,H24&gt;=66),$G$16,IF(AND(H24&lt;66,H24&gt;=33),$G$17,$G$18)))</f>
        <v>9.681000000000001</v>
      </c>
      <c r="J24" s="631">
        <v>41766.4</v>
      </c>
      <c r="K24" s="632">
        <v>41766.47708333333</v>
      </c>
      <c r="L24" s="32">
        <f aca="true" t="shared" si="1" ref="L24:L43">IF(F24="","",(K24-J24)*24)</f>
        <v>1.8499999999185093</v>
      </c>
      <c r="M24" s="59">
        <f aca="true" t="shared" si="2" ref="M24:M43">IF(F24="","",ROUND((K24-J24)*24*60,0))</f>
        <v>111</v>
      </c>
      <c r="N24" s="633" t="s">
        <v>144</v>
      </c>
      <c r="O24" s="26" t="str">
        <f aca="true" t="shared" si="3" ref="O24:O43">IF(F24="","",IF(N24="P","--","NO"))</f>
        <v>--</v>
      </c>
      <c r="P24" s="335">
        <f aca="true" t="shared" si="4" ref="P24:P43">IF(H24=330,$H$15,IF(AND(H24&lt;=132,H24&gt;=66),$H$16,IF(AND(H24&lt;66,H24&gt;13.2),$H$17,$H$18)))</f>
        <v>25</v>
      </c>
      <c r="Q24" s="697">
        <f aca="true" t="shared" si="5" ref="Q24:Q43">IF(N24="P",I24*P24*ROUND(M24/60,2)*0.1,"--")</f>
        <v>44.774625000000015</v>
      </c>
      <c r="R24" s="329" t="str">
        <f aca="true" t="shared" si="6" ref="R24:R43">IF(AND(N24="F",O24="NO"),I24*P24,"--")</f>
        <v>--</v>
      </c>
      <c r="S24" s="330" t="str">
        <f aca="true" t="shared" si="7" ref="S24:S43">IF(N24="F",I24*P24*ROUND(M24/60,2),"--")</f>
        <v>--</v>
      </c>
      <c r="T24" s="346" t="str">
        <f>IF(N24="RF",I24*P24*ROUND(M24/60,2),"--")</f>
        <v>--</v>
      </c>
      <c r="U24" s="23" t="str">
        <f aca="true" t="shared" si="8" ref="U24:U43">IF(F24="","","SI")</f>
        <v>SI</v>
      </c>
      <c r="V24" s="60">
        <f aca="true" t="shared" si="9" ref="V24:V43">IF(F24="","",SUM(Q24:T24)*IF(U24="SI",1,2)*IF(H24="500/220",0,1))</f>
        <v>44.774625000000015</v>
      </c>
      <c r="W24" s="35"/>
    </row>
    <row r="25" spans="2:23" s="11" customFormat="1" ht="16.5" customHeight="1">
      <c r="B25" s="41"/>
      <c r="C25" s="628">
        <v>10</v>
      </c>
      <c r="D25" s="613">
        <v>275085</v>
      </c>
      <c r="E25" s="613">
        <v>1759</v>
      </c>
      <c r="F25" s="629" t="s">
        <v>168</v>
      </c>
      <c r="G25" s="629" t="s">
        <v>170</v>
      </c>
      <c r="H25" s="636">
        <v>33</v>
      </c>
      <c r="I25" s="269">
        <f t="shared" si="0"/>
        <v>9.681000000000001</v>
      </c>
      <c r="J25" s="631">
        <v>41766.47708333333</v>
      </c>
      <c r="K25" s="632">
        <v>41766.552777777775</v>
      </c>
      <c r="L25" s="32">
        <f t="shared" si="1"/>
        <v>1.8166666666511446</v>
      </c>
      <c r="M25" s="59">
        <f t="shared" si="2"/>
        <v>109</v>
      </c>
      <c r="N25" s="633" t="s">
        <v>144</v>
      </c>
      <c r="O25" s="26" t="str">
        <f t="shared" si="3"/>
        <v>--</v>
      </c>
      <c r="P25" s="335">
        <f t="shared" si="4"/>
        <v>25</v>
      </c>
      <c r="Q25" s="697">
        <f t="shared" si="5"/>
        <v>44.048550000000006</v>
      </c>
      <c r="R25" s="329" t="str">
        <f t="shared" si="6"/>
        <v>--</v>
      </c>
      <c r="S25" s="330" t="str">
        <f t="shared" si="7"/>
        <v>--</v>
      </c>
      <c r="T25" s="346" t="str">
        <f aca="true" t="shared" si="10" ref="T25:T40">IF(N25="RF",I25*P25*ROUND(M25/60,2),"--")</f>
        <v>--</v>
      </c>
      <c r="U25" s="23" t="str">
        <f t="shared" si="8"/>
        <v>SI</v>
      </c>
      <c r="V25" s="60">
        <f t="shared" si="9"/>
        <v>44.048550000000006</v>
      </c>
      <c r="W25" s="35"/>
    </row>
    <row r="26" spans="2:23" s="11" customFormat="1" ht="16.5" customHeight="1">
      <c r="B26" s="41"/>
      <c r="C26" s="628">
        <v>11</v>
      </c>
      <c r="D26" s="613">
        <v>275288</v>
      </c>
      <c r="E26" s="613">
        <v>1774</v>
      </c>
      <c r="F26" s="629" t="s">
        <v>13</v>
      </c>
      <c r="G26" s="629" t="s">
        <v>171</v>
      </c>
      <c r="H26" s="636">
        <v>13.2</v>
      </c>
      <c r="I26" s="269">
        <f t="shared" si="0"/>
        <v>9.681000000000001</v>
      </c>
      <c r="J26" s="631">
        <v>41771.57083333333</v>
      </c>
      <c r="K26" s="632">
        <v>41771.62569444445</v>
      </c>
      <c r="L26" s="32">
        <f t="shared" si="1"/>
        <v>1.31666666676756</v>
      </c>
      <c r="M26" s="59">
        <f t="shared" si="2"/>
        <v>79</v>
      </c>
      <c r="N26" s="633" t="s">
        <v>144</v>
      </c>
      <c r="O26" s="26" t="str">
        <f t="shared" si="3"/>
        <v>--</v>
      </c>
      <c r="P26" s="335">
        <f t="shared" si="4"/>
        <v>20</v>
      </c>
      <c r="Q26" s="697">
        <f t="shared" si="5"/>
        <v>25.557840000000002</v>
      </c>
      <c r="R26" s="329" t="str">
        <f t="shared" si="6"/>
        <v>--</v>
      </c>
      <c r="S26" s="330" t="str">
        <f t="shared" si="7"/>
        <v>--</v>
      </c>
      <c r="T26" s="346" t="str">
        <f t="shared" si="10"/>
        <v>--</v>
      </c>
      <c r="U26" s="23" t="str">
        <f t="shared" si="8"/>
        <v>SI</v>
      </c>
      <c r="V26" s="60">
        <f t="shared" si="9"/>
        <v>25.557840000000002</v>
      </c>
      <c r="W26" s="35"/>
    </row>
    <row r="27" spans="2:23" s="11" customFormat="1" ht="16.5" customHeight="1">
      <c r="B27" s="41"/>
      <c r="C27" s="628"/>
      <c r="D27" s="613"/>
      <c r="E27" s="613"/>
      <c r="F27" s="629"/>
      <c r="G27" s="629"/>
      <c r="H27" s="636"/>
      <c r="I27" s="269">
        <f t="shared" si="0"/>
        <v>9.681000000000001</v>
      </c>
      <c r="J27" s="631"/>
      <c r="K27" s="632"/>
      <c r="L27" s="32">
        <f t="shared" si="1"/>
      </c>
      <c r="M27" s="59">
        <f t="shared" si="2"/>
      </c>
      <c r="N27" s="633"/>
      <c r="O27" s="26">
        <f t="shared" si="3"/>
      </c>
      <c r="P27" s="335">
        <f t="shared" si="4"/>
        <v>20</v>
      </c>
      <c r="Q27" s="697" t="str">
        <f t="shared" si="5"/>
        <v>--</v>
      </c>
      <c r="R27" s="329" t="str">
        <f t="shared" si="6"/>
        <v>--</v>
      </c>
      <c r="S27" s="330" t="str">
        <f t="shared" si="7"/>
        <v>--</v>
      </c>
      <c r="T27" s="346" t="str">
        <f t="shared" si="10"/>
        <v>--</v>
      </c>
      <c r="U27" s="23">
        <f t="shared" si="8"/>
      </c>
      <c r="V27" s="60">
        <f t="shared" si="9"/>
      </c>
      <c r="W27" s="35"/>
    </row>
    <row r="28" spans="2:23" s="11" customFormat="1" ht="16.5" customHeight="1">
      <c r="B28" s="41"/>
      <c r="C28" s="628"/>
      <c r="D28" s="613"/>
      <c r="E28" s="613"/>
      <c r="F28" s="629"/>
      <c r="G28" s="629"/>
      <c r="H28" s="636"/>
      <c r="I28" s="269">
        <f t="shared" si="0"/>
        <v>9.681000000000001</v>
      </c>
      <c r="J28" s="631"/>
      <c r="K28" s="632"/>
      <c r="L28" s="32">
        <f t="shared" si="1"/>
      </c>
      <c r="M28" s="59">
        <f t="shared" si="2"/>
      </c>
      <c r="N28" s="633"/>
      <c r="O28" s="26">
        <f t="shared" si="3"/>
      </c>
      <c r="P28" s="335">
        <f t="shared" si="4"/>
        <v>20</v>
      </c>
      <c r="Q28" s="697" t="str">
        <f t="shared" si="5"/>
        <v>--</v>
      </c>
      <c r="R28" s="329" t="str">
        <f t="shared" si="6"/>
        <v>--</v>
      </c>
      <c r="S28" s="330" t="str">
        <f t="shared" si="7"/>
        <v>--</v>
      </c>
      <c r="T28" s="346" t="str">
        <f t="shared" si="10"/>
        <v>--</v>
      </c>
      <c r="U28" s="23">
        <f t="shared" si="8"/>
      </c>
      <c r="V28" s="60">
        <f t="shared" si="9"/>
      </c>
      <c r="W28" s="35"/>
    </row>
    <row r="29" spans="2:23" s="11" customFormat="1" ht="16.5" customHeight="1">
      <c r="B29" s="41"/>
      <c r="C29" s="628"/>
      <c r="D29" s="613"/>
      <c r="E29" s="613"/>
      <c r="F29" s="629"/>
      <c r="G29" s="629"/>
      <c r="H29" s="636"/>
      <c r="I29" s="269">
        <f t="shared" si="0"/>
        <v>9.681000000000001</v>
      </c>
      <c r="J29" s="631"/>
      <c r="K29" s="632"/>
      <c r="L29" s="32">
        <f t="shared" si="1"/>
      </c>
      <c r="M29" s="59">
        <f t="shared" si="2"/>
      </c>
      <c r="N29" s="633"/>
      <c r="O29" s="26">
        <f t="shared" si="3"/>
      </c>
      <c r="P29" s="335">
        <f t="shared" si="4"/>
        <v>20</v>
      </c>
      <c r="Q29" s="697" t="str">
        <f t="shared" si="5"/>
        <v>--</v>
      </c>
      <c r="R29" s="329" t="str">
        <f t="shared" si="6"/>
        <v>--</v>
      </c>
      <c r="S29" s="330" t="str">
        <f t="shared" si="7"/>
        <v>--</v>
      </c>
      <c r="T29" s="346" t="str">
        <f t="shared" si="10"/>
        <v>--</v>
      </c>
      <c r="U29" s="23">
        <f t="shared" si="8"/>
      </c>
      <c r="V29" s="60">
        <f t="shared" si="9"/>
      </c>
      <c r="W29" s="35"/>
    </row>
    <row r="30" spans="2:23" s="11" customFormat="1" ht="16.5" customHeight="1">
      <c r="B30" s="41"/>
      <c r="C30" s="628"/>
      <c r="D30" s="613"/>
      <c r="E30" s="613"/>
      <c r="F30" s="629"/>
      <c r="G30" s="629"/>
      <c r="H30" s="636"/>
      <c r="I30" s="269">
        <f t="shared" si="0"/>
        <v>9.681000000000001</v>
      </c>
      <c r="J30" s="631"/>
      <c r="K30" s="632"/>
      <c r="L30" s="32">
        <f t="shared" si="1"/>
      </c>
      <c r="M30" s="59">
        <f t="shared" si="2"/>
      </c>
      <c r="N30" s="633"/>
      <c r="O30" s="26">
        <f t="shared" si="3"/>
      </c>
      <c r="P30" s="335">
        <f t="shared" si="4"/>
        <v>20</v>
      </c>
      <c r="Q30" s="697" t="str">
        <f t="shared" si="5"/>
        <v>--</v>
      </c>
      <c r="R30" s="329" t="str">
        <f t="shared" si="6"/>
        <v>--</v>
      </c>
      <c r="S30" s="330" t="str">
        <f t="shared" si="7"/>
        <v>--</v>
      </c>
      <c r="T30" s="346" t="str">
        <f t="shared" si="10"/>
        <v>--</v>
      </c>
      <c r="U30" s="23">
        <f t="shared" si="8"/>
      </c>
      <c r="V30" s="60">
        <f t="shared" si="9"/>
      </c>
      <c r="W30" s="35"/>
    </row>
    <row r="31" spans="2:23" s="11" customFormat="1" ht="16.5" customHeight="1">
      <c r="B31" s="41"/>
      <c r="C31" s="628"/>
      <c r="D31" s="613"/>
      <c r="E31" s="613"/>
      <c r="F31" s="629"/>
      <c r="G31" s="629"/>
      <c r="H31" s="636"/>
      <c r="I31" s="269">
        <f t="shared" si="0"/>
        <v>9.681000000000001</v>
      </c>
      <c r="J31" s="631"/>
      <c r="K31" s="632"/>
      <c r="L31" s="32">
        <f t="shared" si="1"/>
      </c>
      <c r="M31" s="59">
        <f t="shared" si="2"/>
      </c>
      <c r="N31" s="633"/>
      <c r="O31" s="26">
        <f t="shared" si="3"/>
      </c>
      <c r="P31" s="335">
        <f t="shared" si="4"/>
        <v>20</v>
      </c>
      <c r="Q31" s="697" t="str">
        <f t="shared" si="5"/>
        <v>--</v>
      </c>
      <c r="R31" s="329" t="str">
        <f t="shared" si="6"/>
        <v>--</v>
      </c>
      <c r="S31" s="330" t="str">
        <f t="shared" si="7"/>
        <v>--</v>
      </c>
      <c r="T31" s="346" t="str">
        <f t="shared" si="10"/>
        <v>--</v>
      </c>
      <c r="U31" s="23">
        <f t="shared" si="8"/>
      </c>
      <c r="V31" s="60">
        <f t="shared" si="9"/>
      </c>
      <c r="W31" s="35"/>
    </row>
    <row r="32" spans="2:23" s="11" customFormat="1" ht="16.5" customHeight="1">
      <c r="B32" s="41"/>
      <c r="C32" s="628"/>
      <c r="D32" s="613"/>
      <c r="E32" s="613"/>
      <c r="F32" s="629"/>
      <c r="G32" s="629"/>
      <c r="H32" s="636"/>
      <c r="I32" s="269">
        <f t="shared" si="0"/>
        <v>9.681000000000001</v>
      </c>
      <c r="J32" s="631"/>
      <c r="K32" s="632"/>
      <c r="L32" s="32">
        <f t="shared" si="1"/>
      </c>
      <c r="M32" s="59">
        <f t="shared" si="2"/>
      </c>
      <c r="N32" s="633"/>
      <c r="O32" s="26">
        <f t="shared" si="3"/>
      </c>
      <c r="P32" s="335">
        <f t="shared" si="4"/>
        <v>20</v>
      </c>
      <c r="Q32" s="697" t="str">
        <f t="shared" si="5"/>
        <v>--</v>
      </c>
      <c r="R32" s="329" t="str">
        <f t="shared" si="6"/>
        <v>--</v>
      </c>
      <c r="S32" s="330" t="str">
        <f t="shared" si="7"/>
        <v>--</v>
      </c>
      <c r="T32" s="346" t="str">
        <f t="shared" si="10"/>
        <v>--</v>
      </c>
      <c r="U32" s="23">
        <f t="shared" si="8"/>
      </c>
      <c r="V32" s="60">
        <f t="shared" si="9"/>
      </c>
      <c r="W32" s="35"/>
    </row>
    <row r="33" spans="2:23" s="11" customFormat="1" ht="16.5" customHeight="1">
      <c r="B33" s="41"/>
      <c r="C33" s="628"/>
      <c r="D33" s="613"/>
      <c r="E33" s="613"/>
      <c r="F33" s="629"/>
      <c r="G33" s="629"/>
      <c r="H33" s="636"/>
      <c r="I33" s="269">
        <f t="shared" si="0"/>
        <v>9.681000000000001</v>
      </c>
      <c r="J33" s="631"/>
      <c r="K33" s="632"/>
      <c r="L33" s="32">
        <f t="shared" si="1"/>
      </c>
      <c r="M33" s="59">
        <f t="shared" si="2"/>
      </c>
      <c r="N33" s="633"/>
      <c r="O33" s="26">
        <f t="shared" si="3"/>
      </c>
      <c r="P33" s="335">
        <f t="shared" si="4"/>
        <v>20</v>
      </c>
      <c r="Q33" s="697" t="str">
        <f t="shared" si="5"/>
        <v>--</v>
      </c>
      <c r="R33" s="329" t="str">
        <f t="shared" si="6"/>
        <v>--</v>
      </c>
      <c r="S33" s="330" t="str">
        <f t="shared" si="7"/>
        <v>--</v>
      </c>
      <c r="T33" s="346" t="str">
        <f t="shared" si="10"/>
        <v>--</v>
      </c>
      <c r="U33" s="23">
        <f t="shared" si="8"/>
      </c>
      <c r="V33" s="60">
        <f t="shared" si="9"/>
      </c>
      <c r="W33" s="35"/>
    </row>
    <row r="34" spans="2:23" s="11" customFormat="1" ht="16.5" customHeight="1">
      <c r="B34" s="41"/>
      <c r="C34" s="628"/>
      <c r="D34" s="613"/>
      <c r="E34" s="613"/>
      <c r="F34" s="629"/>
      <c r="G34" s="629"/>
      <c r="H34" s="636"/>
      <c r="I34" s="269">
        <f t="shared" si="0"/>
        <v>9.681000000000001</v>
      </c>
      <c r="J34" s="631"/>
      <c r="K34" s="632"/>
      <c r="L34" s="32">
        <f t="shared" si="1"/>
      </c>
      <c r="M34" s="59">
        <f t="shared" si="2"/>
      </c>
      <c r="N34" s="633"/>
      <c r="O34" s="26">
        <f t="shared" si="3"/>
      </c>
      <c r="P34" s="335">
        <f t="shared" si="4"/>
        <v>20</v>
      </c>
      <c r="Q34" s="697" t="str">
        <f t="shared" si="5"/>
        <v>--</v>
      </c>
      <c r="R34" s="329" t="str">
        <f t="shared" si="6"/>
        <v>--</v>
      </c>
      <c r="S34" s="330" t="str">
        <f t="shared" si="7"/>
        <v>--</v>
      </c>
      <c r="T34" s="346" t="str">
        <f t="shared" si="10"/>
        <v>--</v>
      </c>
      <c r="U34" s="23">
        <f t="shared" si="8"/>
      </c>
      <c r="V34" s="60">
        <f t="shared" si="9"/>
      </c>
      <c r="W34" s="35"/>
    </row>
    <row r="35" spans="2:23" s="11" customFormat="1" ht="16.5" customHeight="1">
      <c r="B35" s="41"/>
      <c r="C35" s="628"/>
      <c r="D35" s="613"/>
      <c r="E35" s="613"/>
      <c r="F35" s="629"/>
      <c r="G35" s="629"/>
      <c r="H35" s="636"/>
      <c r="I35" s="269">
        <f t="shared" si="0"/>
        <v>9.681000000000001</v>
      </c>
      <c r="J35" s="631"/>
      <c r="K35" s="632"/>
      <c r="L35" s="32">
        <f t="shared" si="1"/>
      </c>
      <c r="M35" s="59">
        <f t="shared" si="2"/>
      </c>
      <c r="N35" s="633"/>
      <c r="O35" s="26">
        <f t="shared" si="3"/>
      </c>
      <c r="P35" s="335">
        <f t="shared" si="4"/>
        <v>20</v>
      </c>
      <c r="Q35" s="697" t="str">
        <f t="shared" si="5"/>
        <v>--</v>
      </c>
      <c r="R35" s="329" t="str">
        <f t="shared" si="6"/>
        <v>--</v>
      </c>
      <c r="S35" s="330" t="str">
        <f t="shared" si="7"/>
        <v>--</v>
      </c>
      <c r="T35" s="346" t="str">
        <f t="shared" si="10"/>
        <v>--</v>
      </c>
      <c r="U35" s="23">
        <f t="shared" si="8"/>
      </c>
      <c r="V35" s="60">
        <f t="shared" si="9"/>
      </c>
      <c r="W35" s="35"/>
    </row>
    <row r="36" spans="2:23" s="11" customFormat="1" ht="16.5" customHeight="1">
      <c r="B36" s="41"/>
      <c r="C36" s="628"/>
      <c r="D36" s="613"/>
      <c r="E36" s="613"/>
      <c r="F36" s="629"/>
      <c r="G36" s="629"/>
      <c r="H36" s="636"/>
      <c r="I36" s="269">
        <f t="shared" si="0"/>
        <v>9.681000000000001</v>
      </c>
      <c r="J36" s="631"/>
      <c r="K36" s="632"/>
      <c r="L36" s="32">
        <f t="shared" si="1"/>
      </c>
      <c r="M36" s="59">
        <f t="shared" si="2"/>
      </c>
      <c r="N36" s="633"/>
      <c r="O36" s="26">
        <f t="shared" si="3"/>
      </c>
      <c r="P36" s="335">
        <f t="shared" si="4"/>
        <v>20</v>
      </c>
      <c r="Q36" s="697" t="str">
        <f t="shared" si="5"/>
        <v>--</v>
      </c>
      <c r="R36" s="329" t="str">
        <f t="shared" si="6"/>
        <v>--</v>
      </c>
      <c r="S36" s="330" t="str">
        <f t="shared" si="7"/>
        <v>--</v>
      </c>
      <c r="T36" s="346" t="str">
        <f t="shared" si="10"/>
        <v>--</v>
      </c>
      <c r="U36" s="23">
        <f t="shared" si="8"/>
      </c>
      <c r="V36" s="60">
        <f t="shared" si="9"/>
      </c>
      <c r="W36" s="35"/>
    </row>
    <row r="37" spans="2:23" s="11" customFormat="1" ht="16.5" customHeight="1">
      <c r="B37" s="41"/>
      <c r="C37" s="628"/>
      <c r="D37" s="613"/>
      <c r="E37" s="613"/>
      <c r="F37" s="629"/>
      <c r="G37" s="629"/>
      <c r="H37" s="636"/>
      <c r="I37" s="269">
        <f t="shared" si="0"/>
        <v>9.681000000000001</v>
      </c>
      <c r="J37" s="631"/>
      <c r="K37" s="632"/>
      <c r="L37" s="32">
        <f t="shared" si="1"/>
      </c>
      <c r="M37" s="59">
        <f t="shared" si="2"/>
      </c>
      <c r="N37" s="633"/>
      <c r="O37" s="26">
        <f t="shared" si="3"/>
      </c>
      <c r="P37" s="335">
        <f t="shared" si="4"/>
        <v>20</v>
      </c>
      <c r="Q37" s="697" t="str">
        <f t="shared" si="5"/>
        <v>--</v>
      </c>
      <c r="R37" s="329" t="str">
        <f t="shared" si="6"/>
        <v>--</v>
      </c>
      <c r="S37" s="330" t="str">
        <f t="shared" si="7"/>
        <v>--</v>
      </c>
      <c r="T37" s="346" t="str">
        <f t="shared" si="10"/>
        <v>--</v>
      </c>
      <c r="U37" s="23">
        <f t="shared" si="8"/>
      </c>
      <c r="V37" s="60">
        <f t="shared" si="9"/>
      </c>
      <c r="W37" s="35"/>
    </row>
    <row r="38" spans="2:23" s="11" customFormat="1" ht="16.5" customHeight="1">
      <c r="B38" s="41"/>
      <c r="C38" s="628"/>
      <c r="D38" s="613"/>
      <c r="E38" s="613"/>
      <c r="F38" s="629"/>
      <c r="G38" s="629"/>
      <c r="H38" s="636"/>
      <c r="I38" s="269">
        <f t="shared" si="0"/>
        <v>9.681000000000001</v>
      </c>
      <c r="J38" s="631"/>
      <c r="K38" s="632"/>
      <c r="L38" s="32">
        <f t="shared" si="1"/>
      </c>
      <c r="M38" s="59">
        <f t="shared" si="2"/>
      </c>
      <c r="N38" s="633"/>
      <c r="O38" s="26">
        <f t="shared" si="3"/>
      </c>
      <c r="P38" s="335">
        <f t="shared" si="4"/>
        <v>20</v>
      </c>
      <c r="Q38" s="697" t="str">
        <f t="shared" si="5"/>
        <v>--</v>
      </c>
      <c r="R38" s="329" t="str">
        <f t="shared" si="6"/>
        <v>--</v>
      </c>
      <c r="S38" s="330" t="str">
        <f t="shared" si="7"/>
        <v>--</v>
      </c>
      <c r="T38" s="346" t="str">
        <f t="shared" si="10"/>
        <v>--</v>
      </c>
      <c r="U38" s="23">
        <f t="shared" si="8"/>
      </c>
      <c r="V38" s="60">
        <f t="shared" si="9"/>
      </c>
      <c r="W38" s="35"/>
    </row>
    <row r="39" spans="2:23" s="11" customFormat="1" ht="16.5" customHeight="1">
      <c r="B39" s="41"/>
      <c r="C39" s="628"/>
      <c r="D39" s="613"/>
      <c r="E39" s="613"/>
      <c r="F39" s="629"/>
      <c r="G39" s="629"/>
      <c r="H39" s="636"/>
      <c r="I39" s="269">
        <f t="shared" si="0"/>
        <v>9.681000000000001</v>
      </c>
      <c r="J39" s="631"/>
      <c r="K39" s="632"/>
      <c r="L39" s="32">
        <f t="shared" si="1"/>
      </c>
      <c r="M39" s="59">
        <f t="shared" si="2"/>
      </c>
      <c r="N39" s="633"/>
      <c r="O39" s="26">
        <f t="shared" si="3"/>
      </c>
      <c r="P39" s="335">
        <f t="shared" si="4"/>
        <v>20</v>
      </c>
      <c r="Q39" s="697" t="str">
        <f t="shared" si="5"/>
        <v>--</v>
      </c>
      <c r="R39" s="329" t="str">
        <f t="shared" si="6"/>
        <v>--</v>
      </c>
      <c r="S39" s="330" t="str">
        <f t="shared" si="7"/>
        <v>--</v>
      </c>
      <c r="T39" s="346" t="str">
        <f t="shared" si="10"/>
        <v>--</v>
      </c>
      <c r="U39" s="23">
        <f t="shared" si="8"/>
      </c>
      <c r="V39" s="60">
        <f t="shared" si="9"/>
      </c>
      <c r="W39" s="35"/>
    </row>
    <row r="40" spans="2:23" s="11" customFormat="1" ht="16.5" customHeight="1">
      <c r="B40" s="41"/>
      <c r="C40" s="628"/>
      <c r="D40" s="613"/>
      <c r="E40" s="613"/>
      <c r="F40" s="629"/>
      <c r="G40" s="629"/>
      <c r="H40" s="636"/>
      <c r="I40" s="269">
        <f t="shared" si="0"/>
        <v>9.681000000000001</v>
      </c>
      <c r="J40" s="631"/>
      <c r="K40" s="632"/>
      <c r="L40" s="32">
        <f t="shared" si="1"/>
      </c>
      <c r="M40" s="59">
        <f t="shared" si="2"/>
      </c>
      <c r="N40" s="633"/>
      <c r="O40" s="26">
        <f t="shared" si="3"/>
      </c>
      <c r="P40" s="335">
        <f t="shared" si="4"/>
        <v>20</v>
      </c>
      <c r="Q40" s="697" t="str">
        <f t="shared" si="5"/>
        <v>--</v>
      </c>
      <c r="R40" s="329" t="str">
        <f t="shared" si="6"/>
        <v>--</v>
      </c>
      <c r="S40" s="330" t="str">
        <f t="shared" si="7"/>
        <v>--</v>
      </c>
      <c r="T40" s="346" t="str">
        <f t="shared" si="10"/>
        <v>--</v>
      </c>
      <c r="U40" s="23">
        <f t="shared" si="8"/>
      </c>
      <c r="V40" s="60">
        <f t="shared" si="9"/>
      </c>
      <c r="W40" s="35"/>
    </row>
    <row r="41" spans="2:23" s="11" customFormat="1" ht="16.5" customHeight="1">
      <c r="B41" s="41"/>
      <c r="C41" s="628"/>
      <c r="D41" s="613"/>
      <c r="E41" s="613"/>
      <c r="F41" s="629"/>
      <c r="G41" s="629"/>
      <c r="H41" s="636"/>
      <c r="I41" s="269">
        <f t="shared" si="0"/>
        <v>9.681000000000001</v>
      </c>
      <c r="J41" s="631"/>
      <c r="K41" s="632"/>
      <c r="L41" s="32">
        <f t="shared" si="1"/>
      </c>
      <c r="M41" s="59">
        <f t="shared" si="2"/>
      </c>
      <c r="N41" s="633"/>
      <c r="O41" s="26">
        <f t="shared" si="3"/>
      </c>
      <c r="P41" s="335">
        <f t="shared" si="4"/>
        <v>20</v>
      </c>
      <c r="Q41" s="697" t="str">
        <f t="shared" si="5"/>
        <v>--</v>
      </c>
      <c r="R41" s="329" t="str">
        <f t="shared" si="6"/>
        <v>--</v>
      </c>
      <c r="S41" s="330" t="str">
        <f t="shared" si="7"/>
        <v>--</v>
      </c>
      <c r="T41" s="346" t="str">
        <f>IF(N41="RF",I41*P41*ROUND(M41/60,2),"--")</f>
        <v>--</v>
      </c>
      <c r="U41" s="23">
        <f t="shared" si="8"/>
      </c>
      <c r="V41" s="60">
        <f t="shared" si="9"/>
      </c>
      <c r="W41" s="35"/>
    </row>
    <row r="42" spans="2:23" s="11" customFormat="1" ht="16.5" customHeight="1">
      <c r="B42" s="41"/>
      <c r="C42" s="628"/>
      <c r="D42" s="613"/>
      <c r="E42" s="613"/>
      <c r="F42" s="629"/>
      <c r="G42" s="629"/>
      <c r="H42" s="636"/>
      <c r="I42" s="269">
        <f t="shared" si="0"/>
        <v>9.681000000000001</v>
      </c>
      <c r="J42" s="631"/>
      <c r="K42" s="632"/>
      <c r="L42" s="32">
        <f t="shared" si="1"/>
      </c>
      <c r="M42" s="59">
        <f t="shared" si="2"/>
      </c>
      <c r="N42" s="633"/>
      <c r="O42" s="26">
        <f t="shared" si="3"/>
      </c>
      <c r="P42" s="335">
        <f t="shared" si="4"/>
        <v>20</v>
      </c>
      <c r="Q42" s="697" t="str">
        <f t="shared" si="5"/>
        <v>--</v>
      </c>
      <c r="R42" s="329" t="str">
        <f t="shared" si="6"/>
        <v>--</v>
      </c>
      <c r="S42" s="330" t="str">
        <f t="shared" si="7"/>
        <v>--</v>
      </c>
      <c r="T42" s="346" t="str">
        <f>IF(N42="RF",I42*P42*ROUND(M42/60,2),"--")</f>
        <v>--</v>
      </c>
      <c r="U42" s="23">
        <f t="shared" si="8"/>
      </c>
      <c r="V42" s="60">
        <f t="shared" si="9"/>
      </c>
      <c r="W42" s="35"/>
    </row>
    <row r="43" spans="2:23" s="11" customFormat="1" ht="16.5" customHeight="1">
      <c r="B43" s="41"/>
      <c r="C43" s="628"/>
      <c r="D43" s="613"/>
      <c r="E43" s="613"/>
      <c r="F43" s="629"/>
      <c r="G43" s="629"/>
      <c r="H43" s="636"/>
      <c r="I43" s="269">
        <f t="shared" si="0"/>
        <v>9.681000000000001</v>
      </c>
      <c r="J43" s="631"/>
      <c r="K43" s="632"/>
      <c r="L43" s="32">
        <f t="shared" si="1"/>
      </c>
      <c r="M43" s="59">
        <f t="shared" si="2"/>
      </c>
      <c r="N43" s="633"/>
      <c r="O43" s="26">
        <f t="shared" si="3"/>
      </c>
      <c r="P43" s="335">
        <f t="shared" si="4"/>
        <v>20</v>
      </c>
      <c r="Q43" s="697" t="str">
        <f t="shared" si="5"/>
        <v>--</v>
      </c>
      <c r="R43" s="329" t="str">
        <f t="shared" si="6"/>
        <v>--</v>
      </c>
      <c r="S43" s="330" t="str">
        <f t="shared" si="7"/>
        <v>--</v>
      </c>
      <c r="T43" s="346" t="str">
        <f>IF(N43="RF",I43*P43*ROUND(M43/60,2),"--")</f>
        <v>--</v>
      </c>
      <c r="U43" s="23">
        <f t="shared" si="8"/>
      </c>
      <c r="V43" s="60">
        <f t="shared" si="9"/>
      </c>
      <c r="W43" s="35"/>
    </row>
    <row r="44" spans="2:23" s="11" customFormat="1" ht="16.5" customHeight="1" thickBot="1">
      <c r="B44" s="41"/>
      <c r="C44" s="616"/>
      <c r="D44" s="616"/>
      <c r="E44" s="616"/>
      <c r="F44" s="616"/>
      <c r="G44" s="616"/>
      <c r="H44" s="616"/>
      <c r="I44" s="268"/>
      <c r="J44" s="616"/>
      <c r="K44" s="616"/>
      <c r="L44" s="27"/>
      <c r="M44" s="27"/>
      <c r="N44" s="616"/>
      <c r="O44" s="616"/>
      <c r="P44" s="634"/>
      <c r="Q44" s="635"/>
      <c r="R44" s="624"/>
      <c r="S44" s="625"/>
      <c r="T44" s="619"/>
      <c r="U44" s="616"/>
      <c r="V44" s="203"/>
      <c r="W44" s="35"/>
    </row>
    <row r="45" spans="2:23" s="11" customFormat="1" ht="16.5" customHeight="1" thickBot="1" thickTop="1">
      <c r="B45" s="41"/>
      <c r="C45" s="241" t="s">
        <v>65</v>
      </c>
      <c r="D45" s="719" t="s">
        <v>182</v>
      </c>
      <c r="E45" s="677"/>
      <c r="F45" s="242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347">
        <f>ROUND(SUM(Q22:Q44),2)</f>
        <v>114.38</v>
      </c>
      <c r="R45" s="313">
        <f>SUM(R22:R44)</f>
        <v>0</v>
      </c>
      <c r="S45" s="313">
        <f>SUM(S22:S44)</f>
        <v>0</v>
      </c>
      <c r="T45" s="348">
        <f>SUM(T22:T44)</f>
        <v>0</v>
      </c>
      <c r="U45" s="61"/>
      <c r="V45" s="257">
        <f>SUM(V22:V44)</f>
        <v>114.38101500000002</v>
      </c>
      <c r="W45" s="35"/>
    </row>
    <row r="46" spans="2:23" s="260" customFormat="1" ht="9.75" thickTop="1">
      <c r="B46" s="259"/>
      <c r="C46" s="243"/>
      <c r="D46" s="243"/>
      <c r="E46" s="243"/>
      <c r="F46" s="244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2"/>
      <c r="V46" s="263"/>
      <c r="W46" s="264"/>
    </row>
    <row r="47" spans="1:23" s="11" customFormat="1" ht="16.5" customHeight="1" thickBot="1">
      <c r="A47" s="12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5"/>
    </row>
    <row r="48" spans="1:23" ht="13.5" thickTop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3:6" ht="12.75">
      <c r="C49" s="7"/>
      <c r="D49" s="7"/>
      <c r="E49" s="7"/>
      <c r="F49" s="7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4"/>
  <headerFooter alignWithMargins="0">
    <oddFooter>&amp;L&amp;"Times New Roman,Normal"&amp;8&amp;Z&amp;F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8"/>
  <sheetViews>
    <sheetView zoomScale="75" zoomScaleNormal="75" zoomScalePageLayoutView="0" workbookViewId="0" topLeftCell="A1">
      <selection activeCell="C22" sqref="C22:V22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20.7109375" style="0" customWidth="1"/>
    <col min="8" max="8" width="9.7109375" style="0" customWidth="1"/>
    <col min="9" max="9" width="14.0039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3.140625" style="0" hidden="1" customWidth="1"/>
    <col min="17" max="17" width="15.140625" style="0" hidden="1" customWidth="1"/>
    <col min="18" max="18" width="16.140625" style="0" hidden="1" customWidth="1"/>
    <col min="19" max="20" width="16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15" customFormat="1" ht="26.25">
      <c r="W1" s="381"/>
    </row>
    <row r="2" spans="2:23" s="115" customFormat="1" ht="26.25">
      <c r="B2" s="116" t="str">
        <f>+'TOT-0514'!B2</f>
        <v>ANEXO V al Memorándum  D.T.E.E.  N°       34    / 2014.-</v>
      </c>
      <c r="C2" s="117"/>
      <c r="D2" s="117"/>
      <c r="E2" s="117"/>
      <c r="F2" s="117"/>
      <c r="G2" s="116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="11" customFormat="1" ht="12.75"/>
    <row r="4" spans="1:4" s="118" customFormat="1" ht="11.25">
      <c r="A4" s="680" t="s">
        <v>16</v>
      </c>
      <c r="C4" s="679"/>
      <c r="D4" s="679"/>
    </row>
    <row r="5" spans="1:4" s="118" customFormat="1" ht="11.25">
      <c r="A5" s="680" t="s">
        <v>140</v>
      </c>
      <c r="C5" s="679"/>
      <c r="D5" s="679"/>
    </row>
    <row r="6" s="11" customFormat="1" ht="12.75"/>
    <row r="7" s="11" customFormat="1" ht="13.5" thickBot="1"/>
    <row r="8" spans="2:23" s="11" customFormat="1" ht="13.5" thickTop="1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</row>
    <row r="9" spans="2:23" s="120" customFormat="1" ht="20.25">
      <c r="B9" s="119"/>
      <c r="C9" s="21"/>
      <c r="D9" s="21"/>
      <c r="E9" s="21"/>
      <c r="F9" s="21" t="s">
        <v>41</v>
      </c>
      <c r="G9" s="80"/>
      <c r="H9" s="141"/>
      <c r="I9" s="140"/>
      <c r="J9" s="140"/>
      <c r="K9" s="140"/>
      <c r="L9" s="140"/>
      <c r="M9" s="140"/>
      <c r="N9" s="140"/>
      <c r="O9" s="141"/>
      <c r="P9" s="141"/>
      <c r="Q9" s="141"/>
      <c r="R9" s="141"/>
      <c r="S9" s="141"/>
      <c r="T9" s="141"/>
      <c r="U9" s="141"/>
      <c r="V9" s="141"/>
      <c r="W9" s="175"/>
    </row>
    <row r="10" spans="2:23" s="11" customFormat="1" ht="12.75">
      <c r="B10" s="4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2"/>
    </row>
    <row r="11" spans="2:23" s="120" customFormat="1" ht="20.25">
      <c r="B11" s="119"/>
      <c r="F11" s="21" t="s">
        <v>89</v>
      </c>
      <c r="H11" s="62"/>
      <c r="I11" s="122"/>
      <c r="J11" s="122"/>
      <c r="K11" s="122"/>
      <c r="L11" s="122"/>
      <c r="M11" s="122"/>
      <c r="N11" s="122"/>
      <c r="O11" s="122"/>
      <c r="P11" s="122"/>
      <c r="Q11" s="42"/>
      <c r="R11" s="42"/>
      <c r="S11" s="42"/>
      <c r="T11" s="42"/>
      <c r="U11" s="42"/>
      <c r="V11" s="42"/>
      <c r="W11" s="121"/>
    </row>
    <row r="12" spans="2:23" s="11" customFormat="1" ht="16.5" customHeight="1">
      <c r="B12" s="41"/>
      <c r="C12" s="9"/>
      <c r="D12" s="9"/>
      <c r="E12" s="9"/>
      <c r="F12" s="132"/>
      <c r="H12" s="142"/>
      <c r="I12" s="128"/>
      <c r="J12" s="128"/>
      <c r="K12" s="128"/>
      <c r="L12" s="128"/>
      <c r="M12" s="128"/>
      <c r="N12" s="128"/>
      <c r="O12" s="128"/>
      <c r="P12" s="128"/>
      <c r="Q12" s="9"/>
      <c r="R12" s="9"/>
      <c r="S12" s="9"/>
      <c r="T12" s="9"/>
      <c r="U12" s="9"/>
      <c r="V12" s="9"/>
      <c r="W12" s="12"/>
    </row>
    <row r="13" spans="2:23" s="127" customFormat="1" ht="16.5" customHeight="1">
      <c r="B13" s="95" t="str">
        <f>+'TOT-0514'!B14</f>
        <v>Desde el 01 al 31 de mayo de 2014</v>
      </c>
      <c r="C13" s="123"/>
      <c r="D13" s="123"/>
      <c r="E13" s="123"/>
      <c r="F13" s="125"/>
      <c r="G13" s="125"/>
      <c r="H13" s="125"/>
      <c r="I13" s="125"/>
      <c r="J13" s="94"/>
      <c r="K13" s="125"/>
      <c r="L13" s="125"/>
      <c r="M13" s="125"/>
      <c r="N13" s="125"/>
      <c r="O13" s="125"/>
      <c r="P13" s="125"/>
      <c r="Q13" s="123"/>
      <c r="R13" s="123"/>
      <c r="S13" s="123"/>
      <c r="T13" s="123"/>
      <c r="U13" s="123"/>
      <c r="V13" s="123"/>
      <c r="W13" s="126"/>
    </row>
    <row r="14" spans="2:23" s="11" customFormat="1" ht="16.5" customHeight="1" thickBot="1">
      <c r="B14" s="4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Q14" s="9"/>
      <c r="R14" s="9"/>
      <c r="S14" s="9"/>
      <c r="T14" s="9"/>
      <c r="U14" s="9"/>
      <c r="V14" s="9"/>
      <c r="W14" s="12"/>
    </row>
    <row r="15" spans="2:23" s="11" customFormat="1" ht="16.5" customHeight="1" thickBot="1" thickTop="1">
      <c r="B15" s="41"/>
      <c r="C15" s="9"/>
      <c r="D15" s="9"/>
      <c r="E15" s="9"/>
      <c r="F15" s="207" t="s">
        <v>90</v>
      </c>
      <c r="G15" s="224"/>
      <c r="H15" s="225"/>
      <c r="I15" s="226"/>
      <c r="J15" s="375">
        <v>0.524</v>
      </c>
      <c r="K15" s="9"/>
      <c r="L15" s="9"/>
      <c r="M15" s="9"/>
      <c r="N15" s="9"/>
      <c r="P15" s="9"/>
      <c r="Q15" s="9"/>
      <c r="R15" s="9"/>
      <c r="S15" s="9"/>
      <c r="T15" s="9"/>
      <c r="U15" s="9"/>
      <c r="V15" s="9"/>
      <c r="W15" s="12"/>
    </row>
    <row r="16" spans="2:23" s="11" customFormat="1" ht="16.5" customHeight="1" thickBot="1" thickTop="1">
      <c r="B16" s="41"/>
      <c r="C16" s="9"/>
      <c r="D16" s="9"/>
      <c r="E16" s="9"/>
      <c r="F16" s="227" t="s">
        <v>70</v>
      </c>
      <c r="G16" s="228"/>
      <c r="H16" s="228"/>
      <c r="I16" s="226"/>
      <c r="J16" s="229">
        <f>6*'TOT-0514'!B13</f>
        <v>6</v>
      </c>
      <c r="K16" s="238" t="str">
        <f>IF(J16=20," ",IF(J16=40,"  Coeficiente duplicado por tasa de falla &gt;4 Sal. x año/100 km.","REVISAR COEFICIENTE"))</f>
        <v>REVISAR COEFICIENTE</v>
      </c>
      <c r="L16" s="9"/>
      <c r="M16" s="9"/>
      <c r="N16" s="9"/>
      <c r="P16" s="9"/>
      <c r="Q16" s="9"/>
      <c r="R16" s="9"/>
      <c r="S16" s="204"/>
      <c r="T16" s="204"/>
      <c r="U16" s="204"/>
      <c r="V16" s="204"/>
      <c r="W16" s="12"/>
    </row>
    <row r="17" spans="2:23" s="11" customFormat="1" ht="16.5" customHeight="1" thickTop="1">
      <c r="B17" s="4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2"/>
    </row>
    <row r="18" spans="2:23" s="707" customFormat="1" ht="16.5" customHeight="1" thickBot="1">
      <c r="B18" s="704"/>
      <c r="C18" s="705">
        <v>3</v>
      </c>
      <c r="D18" s="705">
        <v>4</v>
      </c>
      <c r="E18" s="705">
        <v>5</v>
      </c>
      <c r="F18" s="705">
        <v>6</v>
      </c>
      <c r="G18" s="705">
        <v>7</v>
      </c>
      <c r="H18" s="705">
        <v>8</v>
      </c>
      <c r="I18" s="705">
        <v>9</v>
      </c>
      <c r="J18" s="705">
        <v>10</v>
      </c>
      <c r="K18" s="705">
        <v>11</v>
      </c>
      <c r="L18" s="705">
        <v>12</v>
      </c>
      <c r="M18" s="705">
        <v>13</v>
      </c>
      <c r="N18" s="705">
        <v>14</v>
      </c>
      <c r="O18" s="705">
        <v>15</v>
      </c>
      <c r="P18" s="705">
        <v>16</v>
      </c>
      <c r="Q18" s="705">
        <v>17</v>
      </c>
      <c r="R18" s="705">
        <v>18</v>
      </c>
      <c r="S18" s="705">
        <v>19</v>
      </c>
      <c r="T18" s="705">
        <v>20</v>
      </c>
      <c r="U18" s="705">
        <v>21</v>
      </c>
      <c r="V18" s="705">
        <v>22</v>
      </c>
      <c r="W18" s="706"/>
    </row>
    <row r="19" spans="2:23" s="114" customFormat="1" ht="33.75" customHeight="1" thickBot="1" thickTop="1">
      <c r="B19" s="106"/>
      <c r="C19" s="107" t="s">
        <v>47</v>
      </c>
      <c r="D19" s="107" t="s">
        <v>139</v>
      </c>
      <c r="E19" s="107" t="s">
        <v>138</v>
      </c>
      <c r="F19" s="109" t="s">
        <v>71</v>
      </c>
      <c r="G19" s="108" t="s">
        <v>14</v>
      </c>
      <c r="H19" s="230" t="s">
        <v>91</v>
      </c>
      <c r="I19" s="266" t="s">
        <v>50</v>
      </c>
      <c r="J19" s="108" t="s">
        <v>51</v>
      </c>
      <c r="K19" s="108" t="s">
        <v>52</v>
      </c>
      <c r="L19" s="109" t="s">
        <v>75</v>
      </c>
      <c r="M19" s="109" t="s">
        <v>76</v>
      </c>
      <c r="N19" s="111" t="s">
        <v>55</v>
      </c>
      <c r="O19" s="108" t="s">
        <v>92</v>
      </c>
      <c r="P19" s="321" t="s">
        <v>93</v>
      </c>
      <c r="Q19" s="323" t="s">
        <v>57</v>
      </c>
      <c r="R19" s="363" t="s">
        <v>94</v>
      </c>
      <c r="S19" s="304"/>
      <c r="T19" s="308" t="s">
        <v>61</v>
      </c>
      <c r="U19" s="112" t="s">
        <v>63</v>
      </c>
      <c r="V19" s="231" t="s">
        <v>64</v>
      </c>
      <c r="W19" s="113"/>
    </row>
    <row r="20" spans="2:23" s="11" customFormat="1" ht="16.5" customHeight="1" thickTop="1">
      <c r="B20" s="41"/>
      <c r="C20" s="221"/>
      <c r="D20" s="675"/>
      <c r="E20" s="675"/>
      <c r="F20" s="675"/>
      <c r="G20" s="222"/>
      <c r="H20" s="222"/>
      <c r="I20" s="349"/>
      <c r="J20" s="223"/>
      <c r="K20" s="223"/>
      <c r="L20" s="221"/>
      <c r="M20" s="221"/>
      <c r="N20" s="222"/>
      <c r="O20" s="174"/>
      <c r="P20" s="356"/>
      <c r="Q20" s="357"/>
      <c r="R20" s="359"/>
      <c r="S20" s="364"/>
      <c r="T20" s="372"/>
      <c r="U20" s="366"/>
      <c r="V20" s="358"/>
      <c r="W20" s="12"/>
    </row>
    <row r="21" spans="2:23" s="11" customFormat="1" ht="16.5" customHeight="1">
      <c r="B21" s="41"/>
      <c r="C21" s="82"/>
      <c r="D21" s="82"/>
      <c r="E21" s="82"/>
      <c r="F21" s="84"/>
      <c r="G21" s="83"/>
      <c r="H21" s="84"/>
      <c r="I21" s="350"/>
      <c r="J21" s="86"/>
      <c r="K21" s="87"/>
      <c r="L21" s="88"/>
      <c r="M21" s="89"/>
      <c r="N21" s="90"/>
      <c r="O21" s="85"/>
      <c r="P21" s="353"/>
      <c r="Q21" s="354"/>
      <c r="R21" s="360"/>
      <c r="S21" s="365"/>
      <c r="T21" s="373"/>
      <c r="U21" s="85"/>
      <c r="V21" s="232"/>
      <c r="W21" s="12"/>
    </row>
    <row r="22" spans="2:23" s="11" customFormat="1" ht="16.5" customHeight="1">
      <c r="B22" s="41"/>
      <c r="C22" s="477">
        <v>12</v>
      </c>
      <c r="D22" s="477">
        <v>275582</v>
      </c>
      <c r="E22" s="477">
        <v>4442</v>
      </c>
      <c r="F22" s="638" t="s">
        <v>153</v>
      </c>
      <c r="G22" s="637" t="s">
        <v>155</v>
      </c>
      <c r="H22" s="638">
        <v>7</v>
      </c>
      <c r="I22" s="351">
        <f aca="true" t="shared" si="0" ref="I22:I38">H22*$J$15</f>
        <v>3.668</v>
      </c>
      <c r="J22" s="642">
        <v>41787.415972222225</v>
      </c>
      <c r="K22" s="643">
        <v>41787.51180555556</v>
      </c>
      <c r="L22" s="91">
        <f aca="true" t="shared" si="1" ref="L22:L38">IF(F22="","",(K22-J22)*24)</f>
        <v>2.2999999999883585</v>
      </c>
      <c r="M22" s="59">
        <f aca="true" t="shared" si="2" ref="M22:M38">IF(F22="","",ROUND((K22-J22)*24*60,0))</f>
        <v>138</v>
      </c>
      <c r="N22" s="645" t="s">
        <v>144</v>
      </c>
      <c r="O22" s="698" t="str">
        <f aca="true" t="shared" si="3" ref="O22:O38">IF(F22="","",IF(N22="P","--","NO"))</f>
        <v>--</v>
      </c>
      <c r="P22" s="699">
        <f aca="true" t="shared" si="4" ref="P22:P38">IF(OR(N22="P",N22="RP"),$J$16*0.1,$J$16)</f>
        <v>0.6000000000000001</v>
      </c>
      <c r="Q22" s="700">
        <f aca="true" t="shared" si="5" ref="Q22:Q38">IF(N22="P",I22*P22*ROUND(M22/60,2),"--")</f>
        <v>5.061840000000001</v>
      </c>
      <c r="R22" s="688" t="str">
        <f aca="true" t="shared" si="6" ref="R22:R38">IF(AND(N22="F",O22="NO"),I22*P22,"--")</f>
        <v>--</v>
      </c>
      <c r="S22" s="701" t="str">
        <f aca="true" t="shared" si="7" ref="S22:S38">IF(N22="F",I22*P22*ROUND(M22/60,2),"--")</f>
        <v>--</v>
      </c>
      <c r="T22" s="702" t="str">
        <f aca="true" t="shared" si="8" ref="T22:T38">IF(N22="RF",I22*P22*ROUND(M22/60,2),"--")</f>
        <v>--</v>
      </c>
      <c r="U22" s="698" t="s">
        <v>145</v>
      </c>
      <c r="V22" s="92">
        <f aca="true" t="shared" si="9" ref="V22:V38">IF(F22="","",SUM(Q22:T22)*IF(U22="SI",1,2))</f>
        <v>5.061840000000001</v>
      </c>
      <c r="W22" s="219"/>
    </row>
    <row r="23" spans="2:23" s="11" customFormat="1" ht="16.5" customHeight="1">
      <c r="B23" s="41"/>
      <c r="C23" s="477"/>
      <c r="D23" s="477"/>
      <c r="E23" s="477"/>
      <c r="F23" s="638"/>
      <c r="G23" s="637"/>
      <c r="H23" s="638"/>
      <c r="I23" s="351">
        <f t="shared" si="0"/>
        <v>0</v>
      </c>
      <c r="J23" s="642"/>
      <c r="K23" s="643"/>
      <c r="L23" s="91">
        <f t="shared" si="1"/>
      </c>
      <c r="M23" s="59">
        <f t="shared" si="2"/>
      </c>
      <c r="N23" s="645"/>
      <c r="O23" s="698">
        <f t="shared" si="3"/>
      </c>
      <c r="P23" s="699">
        <f t="shared" si="4"/>
        <v>6</v>
      </c>
      <c r="Q23" s="700" t="str">
        <f t="shared" si="5"/>
        <v>--</v>
      </c>
      <c r="R23" s="688" t="str">
        <f t="shared" si="6"/>
        <v>--</v>
      </c>
      <c r="S23" s="701" t="str">
        <f t="shared" si="7"/>
        <v>--</v>
      </c>
      <c r="T23" s="702" t="str">
        <f t="shared" si="8"/>
        <v>--</v>
      </c>
      <c r="U23" s="698">
        <f aca="true" t="shared" si="10" ref="U23:U38">IF(F23="","","SI")</f>
      </c>
      <c r="V23" s="92">
        <f t="shared" si="9"/>
      </c>
      <c r="W23" s="219"/>
    </row>
    <row r="24" spans="2:23" s="11" customFormat="1" ht="16.5" customHeight="1">
      <c r="B24" s="41"/>
      <c r="C24" s="477"/>
      <c r="D24" s="477"/>
      <c r="E24" s="477"/>
      <c r="F24" s="638"/>
      <c r="G24" s="637"/>
      <c r="H24" s="638"/>
      <c r="I24" s="351">
        <f t="shared" si="0"/>
        <v>0</v>
      </c>
      <c r="J24" s="642"/>
      <c r="K24" s="643"/>
      <c r="L24" s="91">
        <f t="shared" si="1"/>
      </c>
      <c r="M24" s="59">
        <f t="shared" si="2"/>
      </c>
      <c r="N24" s="645"/>
      <c r="O24" s="698">
        <f t="shared" si="3"/>
      </c>
      <c r="P24" s="699">
        <f t="shared" si="4"/>
        <v>6</v>
      </c>
      <c r="Q24" s="700" t="str">
        <f t="shared" si="5"/>
        <v>--</v>
      </c>
      <c r="R24" s="688" t="str">
        <f t="shared" si="6"/>
        <v>--</v>
      </c>
      <c r="S24" s="701" t="str">
        <f t="shared" si="7"/>
        <v>--</v>
      </c>
      <c r="T24" s="702" t="str">
        <f t="shared" si="8"/>
        <v>--</v>
      </c>
      <c r="U24" s="698">
        <f t="shared" si="10"/>
      </c>
      <c r="V24" s="92">
        <f t="shared" si="9"/>
      </c>
      <c r="W24" s="219"/>
    </row>
    <row r="25" spans="2:23" s="11" customFormat="1" ht="16.5" customHeight="1">
      <c r="B25" s="41"/>
      <c r="C25" s="477"/>
      <c r="D25" s="477"/>
      <c r="E25" s="477"/>
      <c r="F25" s="638"/>
      <c r="G25" s="637"/>
      <c r="H25" s="638"/>
      <c r="I25" s="351">
        <f t="shared" si="0"/>
        <v>0</v>
      </c>
      <c r="J25" s="642"/>
      <c r="K25" s="643"/>
      <c r="L25" s="91">
        <f t="shared" si="1"/>
      </c>
      <c r="M25" s="59">
        <f t="shared" si="2"/>
      </c>
      <c r="N25" s="645"/>
      <c r="O25" s="698">
        <f t="shared" si="3"/>
      </c>
      <c r="P25" s="699">
        <f t="shared" si="4"/>
        <v>6</v>
      </c>
      <c r="Q25" s="700" t="str">
        <f t="shared" si="5"/>
        <v>--</v>
      </c>
      <c r="R25" s="688" t="str">
        <f t="shared" si="6"/>
        <v>--</v>
      </c>
      <c r="S25" s="701" t="str">
        <f t="shared" si="7"/>
        <v>--</v>
      </c>
      <c r="T25" s="702" t="str">
        <f t="shared" si="8"/>
        <v>--</v>
      </c>
      <c r="U25" s="698">
        <f t="shared" si="10"/>
      </c>
      <c r="V25" s="92">
        <f t="shared" si="9"/>
      </c>
      <c r="W25" s="219"/>
    </row>
    <row r="26" spans="2:23" s="11" customFormat="1" ht="16.5" customHeight="1">
      <c r="B26" s="41"/>
      <c r="C26" s="477"/>
      <c r="D26" s="477"/>
      <c r="E26" s="477"/>
      <c r="F26" s="638"/>
      <c r="G26" s="637"/>
      <c r="H26" s="638"/>
      <c r="I26" s="351"/>
      <c r="J26" s="642"/>
      <c r="K26" s="643"/>
      <c r="L26" s="91"/>
      <c r="M26" s="59"/>
      <c r="N26" s="645"/>
      <c r="O26" s="698"/>
      <c r="P26" s="699"/>
      <c r="Q26" s="700"/>
      <c r="R26" s="688"/>
      <c r="S26" s="701"/>
      <c r="T26" s="702"/>
      <c r="U26" s="698"/>
      <c r="V26" s="92"/>
      <c r="W26" s="219"/>
    </row>
    <row r="27" spans="2:23" s="11" customFormat="1" ht="16.5" customHeight="1">
      <c r="B27" s="41"/>
      <c r="C27" s="477"/>
      <c r="D27" s="477"/>
      <c r="E27" s="477"/>
      <c r="F27" s="638"/>
      <c r="G27" s="637"/>
      <c r="H27" s="638"/>
      <c r="I27" s="351"/>
      <c r="J27" s="642"/>
      <c r="K27" s="643"/>
      <c r="L27" s="91"/>
      <c r="M27" s="59"/>
      <c r="N27" s="645"/>
      <c r="O27" s="698"/>
      <c r="P27" s="699"/>
      <c r="Q27" s="700"/>
      <c r="R27" s="688"/>
      <c r="S27" s="701"/>
      <c r="T27" s="702"/>
      <c r="U27" s="698"/>
      <c r="V27" s="92"/>
      <c r="W27" s="219"/>
    </row>
    <row r="28" spans="2:23" s="11" customFormat="1" ht="16.5" customHeight="1">
      <c r="B28" s="41"/>
      <c r="C28" s="477"/>
      <c r="D28" s="477"/>
      <c r="E28" s="477"/>
      <c r="F28" s="638"/>
      <c r="G28" s="637"/>
      <c r="H28" s="638"/>
      <c r="I28" s="351"/>
      <c r="J28" s="642"/>
      <c r="K28" s="643"/>
      <c r="L28" s="91"/>
      <c r="M28" s="59"/>
      <c r="N28" s="645"/>
      <c r="O28" s="698"/>
      <c r="P28" s="699"/>
      <c r="Q28" s="700"/>
      <c r="R28" s="688"/>
      <c r="S28" s="701"/>
      <c r="T28" s="702"/>
      <c r="U28" s="698"/>
      <c r="V28" s="92"/>
      <c r="W28" s="219"/>
    </row>
    <row r="29" spans="2:23" s="11" customFormat="1" ht="16.5" customHeight="1">
      <c r="B29" s="41"/>
      <c r="C29" s="477"/>
      <c r="D29" s="477"/>
      <c r="E29" s="477"/>
      <c r="F29" s="638"/>
      <c r="G29" s="637"/>
      <c r="H29" s="638"/>
      <c r="I29" s="351"/>
      <c r="J29" s="642"/>
      <c r="K29" s="643"/>
      <c r="L29" s="91"/>
      <c r="M29" s="59"/>
      <c r="N29" s="645"/>
      <c r="O29" s="698"/>
      <c r="P29" s="699"/>
      <c r="Q29" s="700"/>
      <c r="R29" s="688"/>
      <c r="S29" s="701"/>
      <c r="T29" s="702"/>
      <c r="U29" s="698"/>
      <c r="V29" s="92"/>
      <c r="W29" s="219"/>
    </row>
    <row r="30" spans="2:23" s="11" customFormat="1" ht="16.5" customHeight="1">
      <c r="B30" s="41"/>
      <c r="C30" s="477"/>
      <c r="D30" s="477"/>
      <c r="E30" s="477"/>
      <c r="F30" s="638"/>
      <c r="G30" s="637"/>
      <c r="H30" s="638"/>
      <c r="I30" s="351">
        <f t="shared" si="0"/>
        <v>0</v>
      </c>
      <c r="J30" s="642"/>
      <c r="K30" s="643"/>
      <c r="L30" s="91">
        <f t="shared" si="1"/>
      </c>
      <c r="M30" s="59">
        <f t="shared" si="2"/>
      </c>
      <c r="N30" s="645"/>
      <c r="O30" s="698">
        <f t="shared" si="3"/>
      </c>
      <c r="P30" s="699">
        <f t="shared" si="4"/>
        <v>6</v>
      </c>
      <c r="Q30" s="700" t="str">
        <f t="shared" si="5"/>
        <v>--</v>
      </c>
      <c r="R30" s="688" t="str">
        <f t="shared" si="6"/>
        <v>--</v>
      </c>
      <c r="S30" s="701" t="str">
        <f t="shared" si="7"/>
        <v>--</v>
      </c>
      <c r="T30" s="702" t="str">
        <f t="shared" si="8"/>
        <v>--</v>
      </c>
      <c r="U30" s="698">
        <f t="shared" si="10"/>
      </c>
      <c r="V30" s="92">
        <f t="shared" si="9"/>
      </c>
      <c r="W30" s="219"/>
    </row>
    <row r="31" spans="2:23" s="11" customFormat="1" ht="16.5" customHeight="1">
      <c r="B31" s="41"/>
      <c r="C31" s="477"/>
      <c r="D31" s="477"/>
      <c r="E31" s="477"/>
      <c r="F31" s="638"/>
      <c r="G31" s="637"/>
      <c r="H31" s="638"/>
      <c r="I31" s="351">
        <f t="shared" si="0"/>
        <v>0</v>
      </c>
      <c r="J31" s="642"/>
      <c r="K31" s="643"/>
      <c r="L31" s="91">
        <f t="shared" si="1"/>
      </c>
      <c r="M31" s="59">
        <f t="shared" si="2"/>
      </c>
      <c r="N31" s="645"/>
      <c r="O31" s="698">
        <f t="shared" si="3"/>
      </c>
      <c r="P31" s="699">
        <f t="shared" si="4"/>
        <v>6</v>
      </c>
      <c r="Q31" s="700" t="str">
        <f t="shared" si="5"/>
        <v>--</v>
      </c>
      <c r="R31" s="688" t="str">
        <f t="shared" si="6"/>
        <v>--</v>
      </c>
      <c r="S31" s="701" t="str">
        <f t="shared" si="7"/>
        <v>--</v>
      </c>
      <c r="T31" s="702" t="str">
        <f t="shared" si="8"/>
        <v>--</v>
      </c>
      <c r="U31" s="698">
        <f t="shared" si="10"/>
      </c>
      <c r="V31" s="92">
        <f t="shared" si="9"/>
      </c>
      <c r="W31" s="12"/>
    </row>
    <row r="32" spans="2:23" s="11" customFormat="1" ht="16.5" customHeight="1">
      <c r="B32" s="41"/>
      <c r="C32" s="477"/>
      <c r="D32" s="477"/>
      <c r="E32" s="477"/>
      <c r="F32" s="638"/>
      <c r="G32" s="637"/>
      <c r="H32" s="638"/>
      <c r="I32" s="351">
        <f t="shared" si="0"/>
        <v>0</v>
      </c>
      <c r="J32" s="642"/>
      <c r="K32" s="643"/>
      <c r="L32" s="91">
        <f t="shared" si="1"/>
      </c>
      <c r="M32" s="59">
        <f t="shared" si="2"/>
      </c>
      <c r="N32" s="645"/>
      <c r="O32" s="698">
        <f t="shared" si="3"/>
      </c>
      <c r="P32" s="699">
        <f t="shared" si="4"/>
        <v>6</v>
      </c>
      <c r="Q32" s="700" t="str">
        <f t="shared" si="5"/>
        <v>--</v>
      </c>
      <c r="R32" s="688" t="str">
        <f t="shared" si="6"/>
        <v>--</v>
      </c>
      <c r="S32" s="701" t="str">
        <f t="shared" si="7"/>
        <v>--</v>
      </c>
      <c r="T32" s="702" t="str">
        <f t="shared" si="8"/>
        <v>--</v>
      </c>
      <c r="U32" s="698">
        <f t="shared" si="10"/>
      </c>
      <c r="V32" s="92">
        <f t="shared" si="9"/>
      </c>
      <c r="W32" s="12"/>
    </row>
    <row r="33" spans="2:23" s="11" customFormat="1" ht="16.5" customHeight="1">
      <c r="B33" s="41"/>
      <c r="C33" s="477"/>
      <c r="D33" s="477"/>
      <c r="E33" s="477"/>
      <c r="F33" s="638"/>
      <c r="G33" s="637"/>
      <c r="H33" s="638"/>
      <c r="I33" s="351">
        <f t="shared" si="0"/>
        <v>0</v>
      </c>
      <c r="J33" s="642"/>
      <c r="K33" s="643"/>
      <c r="L33" s="91">
        <f t="shared" si="1"/>
      </c>
      <c r="M33" s="59">
        <f t="shared" si="2"/>
      </c>
      <c r="N33" s="645"/>
      <c r="O33" s="698">
        <f t="shared" si="3"/>
      </c>
      <c r="P33" s="699">
        <f t="shared" si="4"/>
        <v>6</v>
      </c>
      <c r="Q33" s="700" t="str">
        <f t="shared" si="5"/>
        <v>--</v>
      </c>
      <c r="R33" s="688" t="str">
        <f t="shared" si="6"/>
        <v>--</v>
      </c>
      <c r="S33" s="701" t="str">
        <f t="shared" si="7"/>
        <v>--</v>
      </c>
      <c r="T33" s="702" t="str">
        <f t="shared" si="8"/>
        <v>--</v>
      </c>
      <c r="U33" s="698">
        <f t="shared" si="10"/>
      </c>
      <c r="V33" s="92">
        <f t="shared" si="9"/>
      </c>
      <c r="W33" s="12"/>
    </row>
    <row r="34" spans="2:23" s="11" customFormat="1" ht="16.5" customHeight="1">
      <c r="B34" s="41"/>
      <c r="C34" s="477"/>
      <c r="D34" s="477"/>
      <c r="E34" s="477"/>
      <c r="F34" s="638"/>
      <c r="G34" s="637"/>
      <c r="H34" s="638"/>
      <c r="I34" s="351">
        <f t="shared" si="0"/>
        <v>0</v>
      </c>
      <c r="J34" s="642"/>
      <c r="K34" s="643"/>
      <c r="L34" s="91">
        <f t="shared" si="1"/>
      </c>
      <c r="M34" s="59">
        <f t="shared" si="2"/>
      </c>
      <c r="N34" s="645"/>
      <c r="O34" s="698">
        <f t="shared" si="3"/>
      </c>
      <c r="P34" s="699">
        <f t="shared" si="4"/>
        <v>6</v>
      </c>
      <c r="Q34" s="700" t="str">
        <f t="shared" si="5"/>
        <v>--</v>
      </c>
      <c r="R34" s="688" t="str">
        <f t="shared" si="6"/>
        <v>--</v>
      </c>
      <c r="S34" s="701" t="str">
        <f t="shared" si="7"/>
        <v>--</v>
      </c>
      <c r="T34" s="702" t="str">
        <f t="shared" si="8"/>
        <v>--</v>
      </c>
      <c r="U34" s="698">
        <f t="shared" si="10"/>
      </c>
      <c r="V34" s="92">
        <f t="shared" si="9"/>
      </c>
      <c r="W34" s="12"/>
    </row>
    <row r="35" spans="2:23" s="11" customFormat="1" ht="16.5" customHeight="1">
      <c r="B35" s="41"/>
      <c r="C35" s="477"/>
      <c r="D35" s="477"/>
      <c r="E35" s="477"/>
      <c r="F35" s="638"/>
      <c r="G35" s="637"/>
      <c r="H35" s="638"/>
      <c r="I35" s="351">
        <f t="shared" si="0"/>
        <v>0</v>
      </c>
      <c r="J35" s="642"/>
      <c r="K35" s="643"/>
      <c r="L35" s="91">
        <f t="shared" si="1"/>
      </c>
      <c r="M35" s="59">
        <f t="shared" si="2"/>
      </c>
      <c r="N35" s="645"/>
      <c r="O35" s="698">
        <f t="shared" si="3"/>
      </c>
      <c r="P35" s="699">
        <f t="shared" si="4"/>
        <v>6</v>
      </c>
      <c r="Q35" s="700" t="str">
        <f t="shared" si="5"/>
        <v>--</v>
      </c>
      <c r="R35" s="688" t="str">
        <f t="shared" si="6"/>
        <v>--</v>
      </c>
      <c r="S35" s="701" t="str">
        <f t="shared" si="7"/>
        <v>--</v>
      </c>
      <c r="T35" s="702" t="str">
        <f t="shared" si="8"/>
        <v>--</v>
      </c>
      <c r="U35" s="698">
        <f t="shared" si="10"/>
      </c>
      <c r="V35" s="92">
        <f t="shared" si="9"/>
      </c>
      <c r="W35" s="12"/>
    </row>
    <row r="36" spans="2:23" s="11" customFormat="1" ht="16.5" customHeight="1">
      <c r="B36" s="41"/>
      <c r="C36" s="477"/>
      <c r="D36" s="477"/>
      <c r="E36" s="477"/>
      <c r="F36" s="638"/>
      <c r="G36" s="637"/>
      <c r="H36" s="638"/>
      <c r="I36" s="351">
        <f t="shared" si="0"/>
        <v>0</v>
      </c>
      <c r="J36" s="642"/>
      <c r="K36" s="643"/>
      <c r="L36" s="91">
        <f t="shared" si="1"/>
      </c>
      <c r="M36" s="59">
        <f t="shared" si="2"/>
      </c>
      <c r="N36" s="645"/>
      <c r="O36" s="698">
        <f t="shared" si="3"/>
      </c>
      <c r="P36" s="699">
        <f t="shared" si="4"/>
        <v>6</v>
      </c>
      <c r="Q36" s="700" t="str">
        <f t="shared" si="5"/>
        <v>--</v>
      </c>
      <c r="R36" s="688" t="str">
        <f t="shared" si="6"/>
        <v>--</v>
      </c>
      <c r="S36" s="701" t="str">
        <f t="shared" si="7"/>
        <v>--</v>
      </c>
      <c r="T36" s="702" t="str">
        <f t="shared" si="8"/>
        <v>--</v>
      </c>
      <c r="U36" s="698">
        <f t="shared" si="10"/>
      </c>
      <c r="V36" s="92">
        <f t="shared" si="9"/>
      </c>
      <c r="W36" s="12"/>
    </row>
    <row r="37" spans="2:23" s="11" customFormat="1" ht="16.5" customHeight="1">
      <c r="B37" s="41"/>
      <c r="C37" s="477"/>
      <c r="D37" s="477"/>
      <c r="E37" s="477"/>
      <c r="F37" s="638"/>
      <c r="G37" s="637"/>
      <c r="H37" s="638"/>
      <c r="I37" s="351">
        <f t="shared" si="0"/>
        <v>0</v>
      </c>
      <c r="J37" s="642"/>
      <c r="K37" s="643"/>
      <c r="L37" s="91">
        <f t="shared" si="1"/>
      </c>
      <c r="M37" s="59">
        <f t="shared" si="2"/>
      </c>
      <c r="N37" s="645"/>
      <c r="O37" s="698">
        <f t="shared" si="3"/>
      </c>
      <c r="P37" s="699">
        <f t="shared" si="4"/>
        <v>6</v>
      </c>
      <c r="Q37" s="700" t="str">
        <f t="shared" si="5"/>
        <v>--</v>
      </c>
      <c r="R37" s="688" t="str">
        <f t="shared" si="6"/>
        <v>--</v>
      </c>
      <c r="S37" s="701" t="str">
        <f t="shared" si="7"/>
        <v>--</v>
      </c>
      <c r="T37" s="702" t="str">
        <f t="shared" si="8"/>
        <v>--</v>
      </c>
      <c r="U37" s="698">
        <f t="shared" si="10"/>
      </c>
      <c r="V37" s="92">
        <f t="shared" si="9"/>
      </c>
      <c r="W37" s="12"/>
    </row>
    <row r="38" spans="2:23" s="11" customFormat="1" ht="16.5" customHeight="1">
      <c r="B38" s="41"/>
      <c r="C38" s="477"/>
      <c r="D38" s="477"/>
      <c r="E38" s="477"/>
      <c r="F38" s="638"/>
      <c r="G38" s="637"/>
      <c r="H38" s="638"/>
      <c r="I38" s="351">
        <f t="shared" si="0"/>
        <v>0</v>
      </c>
      <c r="J38" s="642"/>
      <c r="K38" s="643"/>
      <c r="L38" s="91">
        <f t="shared" si="1"/>
      </c>
      <c r="M38" s="59">
        <f t="shared" si="2"/>
      </c>
      <c r="N38" s="645"/>
      <c r="O38" s="698">
        <f t="shared" si="3"/>
      </c>
      <c r="P38" s="699">
        <f t="shared" si="4"/>
        <v>6</v>
      </c>
      <c r="Q38" s="700" t="str">
        <f t="shared" si="5"/>
        <v>--</v>
      </c>
      <c r="R38" s="688" t="str">
        <f t="shared" si="6"/>
        <v>--</v>
      </c>
      <c r="S38" s="701" t="str">
        <f t="shared" si="7"/>
        <v>--</v>
      </c>
      <c r="T38" s="702" t="str">
        <f t="shared" si="8"/>
        <v>--</v>
      </c>
      <c r="U38" s="698">
        <f t="shared" si="10"/>
      </c>
      <c r="V38" s="92">
        <f t="shared" si="9"/>
      </c>
      <c r="W38" s="12"/>
    </row>
    <row r="39" spans="2:23" s="11" customFormat="1" ht="16.5" customHeight="1">
      <c r="B39" s="41"/>
      <c r="C39" s="477"/>
      <c r="D39" s="477"/>
      <c r="E39" s="477"/>
      <c r="F39" s="638"/>
      <c r="G39" s="637"/>
      <c r="H39" s="638"/>
      <c r="I39" s="351">
        <f>H39*$J$15</f>
        <v>0</v>
      </c>
      <c r="J39" s="642"/>
      <c r="K39" s="643"/>
      <c r="L39" s="91">
        <f>IF(F39="","",(K39-J39)*24)</f>
      </c>
      <c r="M39" s="59">
        <f>IF(F39="","",ROUND((K39-J39)*24*60,0))</f>
      </c>
      <c r="N39" s="645"/>
      <c r="O39" s="698">
        <f>IF(F39="","",IF(N39="P","--","NO"))</f>
      </c>
      <c r="P39" s="699">
        <f>IF(OR(N39="P",N39="RP"),$J$16*0.1,$J$16)</f>
        <v>6</v>
      </c>
      <c r="Q39" s="700" t="str">
        <f>IF(N39="P",I39*P39*ROUND(M39/60,2),"--")</f>
        <v>--</v>
      </c>
      <c r="R39" s="688" t="str">
        <f>IF(AND(N39="F",O39="NO"),I39*P39,"--")</f>
        <v>--</v>
      </c>
      <c r="S39" s="701" t="str">
        <f>IF(N39="F",I39*P39*ROUND(M39/60,2),"--")</f>
        <v>--</v>
      </c>
      <c r="T39" s="702" t="str">
        <f>IF(N39="RF",I39*P39*ROUND(M39/60,2),"--")</f>
        <v>--</v>
      </c>
      <c r="U39" s="698">
        <f>IF(F39="","","SI")</f>
      </c>
      <c r="V39" s="92">
        <f>IF(F39="","",SUM(Q39:T39)*IF(U39="SI",1,2))</f>
      </c>
      <c r="W39" s="12"/>
    </row>
    <row r="40" spans="2:23" s="11" customFormat="1" ht="16.5" customHeight="1">
      <c r="B40" s="41"/>
      <c r="C40" s="477"/>
      <c r="D40" s="477"/>
      <c r="E40" s="477"/>
      <c r="F40" s="638"/>
      <c r="G40" s="637"/>
      <c r="H40" s="638"/>
      <c r="I40" s="351">
        <f>H40*$J$15</f>
        <v>0</v>
      </c>
      <c r="J40" s="642"/>
      <c r="K40" s="643"/>
      <c r="L40" s="91">
        <f>IF(F40="","",(K40-J40)*24)</f>
      </c>
      <c r="M40" s="59">
        <f>IF(F40="","",ROUND((K40-J40)*24*60,0))</f>
      </c>
      <c r="N40" s="645"/>
      <c r="O40" s="698">
        <f>IF(F40="","",IF(N40="P","--","NO"))</f>
      </c>
      <c r="P40" s="699">
        <f>IF(OR(N40="P",N40="RP"),$J$16*0.1,$J$16)</f>
        <v>6</v>
      </c>
      <c r="Q40" s="700" t="str">
        <f>IF(N40="P",I40*P40*ROUND(M40/60,2),"--")</f>
        <v>--</v>
      </c>
      <c r="R40" s="688" t="str">
        <f>IF(AND(N40="F",O40="NO"),I40*P40,"--")</f>
        <v>--</v>
      </c>
      <c r="S40" s="701" t="str">
        <f>IF(N40="F",I40*P40*ROUND(M40/60,2),"--")</f>
        <v>--</v>
      </c>
      <c r="T40" s="702" t="str">
        <f>IF(N40="RF",I40*P40*ROUND(M40/60,2),"--")</f>
        <v>--</v>
      </c>
      <c r="U40" s="698">
        <f>IF(F40="","","SI")</f>
      </c>
      <c r="V40" s="92">
        <f>IF(F40="","",SUM(Q40:T40)*IF(U40="SI",1,2))</f>
      </c>
      <c r="W40" s="12"/>
    </row>
    <row r="41" spans="2:23" s="11" customFormat="1" ht="16.5" customHeight="1">
      <c r="B41" s="41"/>
      <c r="C41" s="477"/>
      <c r="D41" s="477"/>
      <c r="E41" s="477"/>
      <c r="F41" s="638"/>
      <c r="G41" s="637"/>
      <c r="H41" s="638"/>
      <c r="I41" s="351">
        <f>H41*$J$15</f>
        <v>0</v>
      </c>
      <c r="J41" s="642"/>
      <c r="K41" s="643"/>
      <c r="L41" s="91">
        <f>IF(F41="","",(K41-J41)*24)</f>
      </c>
      <c r="M41" s="59">
        <f>IF(F41="","",ROUND((K41-J41)*24*60,0))</f>
      </c>
      <c r="N41" s="645"/>
      <c r="O41" s="698">
        <f>IF(F41="","",IF(N41="P","--","NO"))</f>
      </c>
      <c r="P41" s="699">
        <f>IF(OR(N41="P",N41="RP"),$J$16*0.1,$J$16)</f>
        <v>6</v>
      </c>
      <c r="Q41" s="700" t="str">
        <f>IF(N41="P",I41*P41*ROUND(M41/60,2),"--")</f>
        <v>--</v>
      </c>
      <c r="R41" s="688" t="str">
        <f>IF(AND(N41="F",O41="NO"),I41*P41,"--")</f>
        <v>--</v>
      </c>
      <c r="S41" s="701" t="str">
        <f>IF(N41="F",I41*P41*ROUND(M41/60,2),"--")</f>
        <v>--</v>
      </c>
      <c r="T41" s="702" t="str">
        <f>IF(N41="RF",I41*P41*ROUND(M41/60,2),"--")</f>
        <v>--</v>
      </c>
      <c r="U41" s="698">
        <f>IF(F41="","","SI")</f>
      </c>
      <c r="V41" s="92">
        <f>IF(F41="","",SUM(Q41:T41)*IF(U41="SI",1,2))</f>
      </c>
      <c r="W41" s="12"/>
    </row>
    <row r="42" spans="2:23" s="11" customFormat="1" ht="16.5" customHeight="1" thickBot="1">
      <c r="B42" s="41"/>
      <c r="C42" s="639"/>
      <c r="D42" s="639"/>
      <c r="E42" s="639"/>
      <c r="F42" s="641"/>
      <c r="G42" s="640"/>
      <c r="H42" s="641"/>
      <c r="I42" s="352"/>
      <c r="J42" s="644"/>
      <c r="K42" s="644"/>
      <c r="L42" s="93"/>
      <c r="M42" s="93"/>
      <c r="N42" s="644"/>
      <c r="O42" s="484"/>
      <c r="P42" s="646"/>
      <c r="Q42" s="647"/>
      <c r="R42" s="493"/>
      <c r="S42" s="648"/>
      <c r="T42" s="649"/>
      <c r="U42" s="484"/>
      <c r="V42" s="233"/>
      <c r="W42" s="12"/>
    </row>
    <row r="43" spans="2:23" s="11" customFormat="1" ht="16.5" customHeight="1" thickBot="1" thickTop="1">
      <c r="B43" s="41"/>
      <c r="C43" s="241" t="s">
        <v>65</v>
      </c>
      <c r="D43" s="719" t="s">
        <v>182</v>
      </c>
      <c r="E43" s="677"/>
      <c r="F43" s="242"/>
      <c r="G43"/>
      <c r="I43" s="9"/>
      <c r="J43" s="9"/>
      <c r="K43" s="9"/>
      <c r="L43" s="9"/>
      <c r="M43" s="9"/>
      <c r="N43" s="9"/>
      <c r="O43" s="9"/>
      <c r="P43" s="9"/>
      <c r="Q43" s="355">
        <f>SUM(Q20:Q42)</f>
        <v>5.061840000000001</v>
      </c>
      <c r="R43" s="361">
        <f>SUM(R20:R42)</f>
        <v>0</v>
      </c>
      <c r="S43" s="362">
        <f>SUM(S20:S42)</f>
        <v>0</v>
      </c>
      <c r="T43" s="374">
        <f>SUM(T20:T42)</f>
        <v>0</v>
      </c>
      <c r="V43" s="257">
        <f>ROUND(SUM(V20:V42),2)</f>
        <v>5.06</v>
      </c>
      <c r="W43" s="220"/>
    </row>
    <row r="44" spans="2:23" s="260" customFormat="1" ht="9.75" thickTop="1">
      <c r="B44" s="259"/>
      <c r="C44" s="258"/>
      <c r="D44" s="258"/>
      <c r="E44" s="258"/>
      <c r="F44" s="244"/>
      <c r="G44" s="256"/>
      <c r="I44" s="258"/>
      <c r="J44" s="258"/>
      <c r="K44" s="258"/>
      <c r="L44" s="258"/>
      <c r="M44" s="258"/>
      <c r="N44" s="258"/>
      <c r="O44" s="258"/>
      <c r="P44" s="258"/>
      <c r="Q44" s="271"/>
      <c r="R44" s="271"/>
      <c r="S44" s="271"/>
      <c r="T44" s="271"/>
      <c r="V44" s="263"/>
      <c r="W44" s="265"/>
    </row>
    <row r="45" spans="2:23" s="11" customFormat="1" ht="16.5" customHeight="1" thickBot="1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7"/>
    </row>
    <row r="46" spans="6:25" ht="16.5" customHeight="1" thickTop="1">
      <c r="F46" s="4"/>
      <c r="G46" s="4"/>
      <c r="H46" s="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6:25" ht="16.5" customHeight="1">
      <c r="F47" s="4"/>
      <c r="G47" s="4"/>
      <c r="H47" s="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6:25" ht="16.5" customHeight="1">
      <c r="F48" s="4"/>
      <c r="G48" s="4"/>
      <c r="H48" s="4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6:25" ht="16.5" customHeight="1">
      <c r="F49" s="4"/>
      <c r="G49" s="4"/>
      <c r="H49" s="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6:25" ht="16.5" customHeight="1">
      <c r="F50" s="4"/>
      <c r="G50" s="4"/>
      <c r="H50" s="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6:25" ht="16.5" customHeight="1">
      <c r="F51" s="4"/>
      <c r="G51" s="4"/>
      <c r="H51" s="4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6:25" ht="16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6:25" ht="16.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6:25" ht="16.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6:25" ht="16.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6:25" ht="16.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6:25" ht="16.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6:25" ht="16.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6:25" ht="16.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6:25" ht="16.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6:25" ht="16.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6:25" ht="16.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6:25" ht="16.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6:25" ht="16.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6:25" ht="16.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6:25" ht="16.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6:25" ht="16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6:25" ht="16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6:25" ht="16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6:25" ht="16.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6:25" ht="16.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6:25" ht="16.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6:25" ht="16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6:25" ht="16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6:25" ht="16.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6:25" ht="16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6:25" ht="16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6:25" ht="16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6:25" ht="16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6:25" ht="16.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6:25" ht="16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6:25" ht="16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6:25" ht="16.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6:25" ht="16.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6:25" ht="16.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6:25" ht="16.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6:25" ht="16.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6:25" ht="16.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6:25" ht="16.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6:25" ht="16.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6:25" ht="16.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6:25" ht="16.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6:25" ht="16.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6:25" ht="16.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6:25" ht="16.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6:25" ht="16.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6:25" ht="16.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6:25" ht="16.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6:25" ht="16.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6:25" ht="16.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6:25" ht="16.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6:25" ht="16.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6:25" ht="16.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6:25" ht="16.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6:25" ht="16.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6:25" ht="16.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6:25" ht="16.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6:25" ht="16.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6:25" ht="16.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6:25" ht="16.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6:25" ht="16.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6:25" ht="16.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6:25" ht="16.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6:25" ht="16.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6:25" ht="16.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6:25" ht="16.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6:25" ht="16.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6:25" ht="16.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6:25" ht="16.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6:25" ht="16.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6:25" ht="16.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6:25" ht="16.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6:25" ht="16.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6:25" ht="16.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6:25" ht="16.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6:25" ht="16.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6:25" ht="16.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6:25" ht="16.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6:25" ht="16.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6:25" ht="16.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6:25" ht="16.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6:25" ht="16.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6:25" ht="16.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6:25" ht="16.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6:25" ht="16.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6:25" ht="16.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6:25" ht="16.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6:25" ht="16.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6:25" ht="16.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6:25" ht="16.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6:25" ht="16.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6:25" ht="16.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6:25" ht="16.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6:25" ht="16.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6:25" ht="16.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6:25" ht="16.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6:25" ht="16.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6:25" ht="16.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6:25" ht="16.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6:25" ht="16.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6:25" ht="16.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6:25" ht="16.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6:25" ht="16.5" customHeight="1">
      <c r="F153" s="5"/>
      <c r="G153" s="5"/>
      <c r="H153" s="5"/>
      <c r="X153" s="5"/>
      <c r="Y153" s="5"/>
    </row>
    <row r="154" spans="6:8" ht="16.5" customHeight="1">
      <c r="F154" s="5"/>
      <c r="G154" s="5"/>
      <c r="H154" s="5"/>
    </row>
    <row r="155" spans="6:8" ht="16.5" customHeight="1">
      <c r="F155" s="5"/>
      <c r="G155" s="5"/>
      <c r="H155" s="5"/>
    </row>
    <row r="156" spans="6:8" ht="16.5" customHeight="1">
      <c r="F156" s="5"/>
      <c r="G156" s="5"/>
      <c r="H156" s="5"/>
    </row>
    <row r="157" spans="6:8" ht="16.5" customHeight="1">
      <c r="F157" s="5"/>
      <c r="G157" s="5"/>
      <c r="H157" s="5"/>
    </row>
    <row r="158" spans="6:8" ht="16.5" customHeight="1">
      <c r="F158" s="5"/>
      <c r="G158" s="5"/>
      <c r="H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zoomScale="75" zoomScaleNormal="75" zoomScalePageLayoutView="0" workbookViewId="0" topLeftCell="A10">
      <selection activeCell="J16" sqref="J16:N18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8.421875" style="0" customWidth="1"/>
    <col min="12" max="12" width="33.28125" style="0" customWidth="1"/>
    <col min="13" max="13" width="8.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15" customFormat="1" ht="39.75" customHeight="1">
      <c r="P1" s="381"/>
    </row>
    <row r="2" spans="1:16" s="115" customFormat="1" ht="26.25">
      <c r="A2" s="178"/>
      <c r="B2" s="674" t="str">
        <f>'TOT-0514'!B2</f>
        <v>ANEXO V al Memorándum  D.T.E.E.  N°       34    / 2014.-</v>
      </c>
      <c r="C2" s="674"/>
      <c r="D2" s="674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4" s="118" customFormat="1" ht="12.75">
      <c r="A3" s="680" t="s">
        <v>142</v>
      </c>
      <c r="B3" s="11"/>
      <c r="C3" s="11"/>
      <c r="D3" s="11"/>
    </row>
    <row r="4" spans="1:4" s="118" customFormat="1" ht="11.25">
      <c r="A4" s="680" t="s">
        <v>141</v>
      </c>
      <c r="B4" s="218"/>
      <c r="C4" s="218"/>
      <c r="D4" s="218"/>
    </row>
    <row r="5" spans="1:4" s="11" customFormat="1" ht="13.5" thickBot="1">
      <c r="A5" s="680"/>
      <c r="B5" s="218"/>
      <c r="C5" s="218"/>
      <c r="D5" s="218"/>
    </row>
    <row r="6" spans="1:16" s="11" customFormat="1" ht="13.5" thickTop="1">
      <c r="A6" s="9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</row>
    <row r="7" spans="1:16" s="120" customFormat="1" ht="20.25">
      <c r="A7" s="42"/>
      <c r="B7" s="119"/>
      <c r="C7" s="42"/>
      <c r="D7" s="21" t="s">
        <v>41</v>
      </c>
      <c r="G7" s="42"/>
      <c r="H7" s="42"/>
      <c r="I7" s="42"/>
      <c r="J7" s="42"/>
      <c r="K7" s="42"/>
      <c r="L7" s="42"/>
      <c r="M7" s="42"/>
      <c r="N7" s="42"/>
      <c r="O7" s="42"/>
      <c r="P7" s="121"/>
    </row>
    <row r="8" spans="1:16" ht="15">
      <c r="A8" s="1"/>
      <c r="B8" s="272"/>
      <c r="C8" s="69"/>
      <c r="D8" s="382"/>
      <c r="E8" s="69"/>
      <c r="F8" s="67"/>
      <c r="G8" s="69"/>
      <c r="H8" s="69"/>
      <c r="I8" s="69"/>
      <c r="J8" s="69"/>
      <c r="K8" s="69"/>
      <c r="L8" s="69"/>
      <c r="M8" s="69"/>
      <c r="N8" s="69"/>
      <c r="O8" s="69"/>
      <c r="P8" s="276"/>
    </row>
    <row r="9" spans="1:19" s="120" customFormat="1" ht="20.25">
      <c r="A9" s="42"/>
      <c r="B9" s="383"/>
      <c r="C9"/>
      <c r="D9" s="22" t="s">
        <v>136</v>
      </c>
      <c r="E9" s="384"/>
      <c r="F9" s="384"/>
      <c r="G9" s="384"/>
      <c r="H9" s="385"/>
      <c r="I9" s="384"/>
      <c r="J9" s="384"/>
      <c r="K9" s="384"/>
      <c r="L9" s="384"/>
      <c r="M9" s="384"/>
      <c r="N9" s="384"/>
      <c r="O9" s="384"/>
      <c r="P9" s="386"/>
      <c r="Q9" s="234"/>
      <c r="R9" s="180"/>
      <c r="S9" s="180"/>
    </row>
    <row r="10" spans="1:19" s="11" customFormat="1" ht="12.75">
      <c r="A10" s="9"/>
      <c r="B10" s="41"/>
      <c r="C10" s="9"/>
      <c r="D10" s="63"/>
      <c r="E10" s="28"/>
      <c r="F10" s="28"/>
      <c r="G10" s="28"/>
      <c r="H10" s="177"/>
      <c r="I10" s="28"/>
      <c r="J10" s="28"/>
      <c r="K10" s="28"/>
      <c r="L10" s="28"/>
      <c r="M10" s="28"/>
      <c r="N10" s="28"/>
      <c r="O10" s="28"/>
      <c r="P10" s="35"/>
      <c r="Q10" s="28"/>
      <c r="R10" s="28"/>
      <c r="S10" s="179"/>
    </row>
    <row r="11" spans="1:19" s="127" customFormat="1" ht="19.5">
      <c r="A11" s="44"/>
      <c r="B11" s="237" t="str">
        <f>+'TOT-0514'!B14</f>
        <v>Desde el 01 al 31 de mayo de 2014</v>
      </c>
      <c r="C11" s="149"/>
      <c r="D11" s="190"/>
      <c r="E11" s="190"/>
      <c r="F11" s="190"/>
      <c r="G11" s="190"/>
      <c r="H11" s="190"/>
      <c r="I11" s="149"/>
      <c r="J11" s="190"/>
      <c r="K11" s="190"/>
      <c r="L11" s="190"/>
      <c r="M11" s="190"/>
      <c r="N11" s="190"/>
      <c r="O11" s="190"/>
      <c r="P11" s="387"/>
      <c r="Q11" s="388"/>
      <c r="R11" s="388"/>
      <c r="S11" s="388"/>
    </row>
    <row r="12" spans="1:19" ht="15">
      <c r="A12" s="1"/>
      <c r="B12" s="272"/>
      <c r="C12" s="69"/>
      <c r="D12" s="65"/>
      <c r="E12" s="65"/>
      <c r="F12" s="65"/>
      <c r="G12" s="65"/>
      <c r="H12" s="389"/>
      <c r="I12" s="69"/>
      <c r="J12" s="65"/>
      <c r="K12" s="65"/>
      <c r="L12" s="65"/>
      <c r="M12" s="65"/>
      <c r="N12" s="65"/>
      <c r="O12" s="65"/>
      <c r="P12" s="66"/>
      <c r="Q12" s="6"/>
      <c r="R12" s="6"/>
      <c r="S12" s="390"/>
    </row>
    <row r="13" spans="1:19" ht="18" customHeight="1">
      <c r="A13" s="1"/>
      <c r="B13" s="272"/>
      <c r="C13" s="69"/>
      <c r="D13" s="65"/>
      <c r="E13" s="65"/>
      <c r="F13" s="65"/>
      <c r="G13" s="65"/>
      <c r="H13" s="76"/>
      <c r="I13" s="76"/>
      <c r="J13" s="65"/>
      <c r="K13" s="65"/>
      <c r="P13" s="66"/>
      <c r="Q13" s="6"/>
      <c r="R13" s="6"/>
      <c r="S13" s="390"/>
    </row>
    <row r="14" spans="1:19" ht="18" customHeight="1">
      <c r="A14" s="1"/>
      <c r="B14" s="272"/>
      <c r="C14" s="69"/>
      <c r="D14" s="64"/>
      <c r="E14" s="391"/>
      <c r="F14" s="65"/>
      <c r="G14" s="65"/>
      <c r="H14" s="76"/>
      <c r="I14" s="76"/>
      <c r="J14" s="65"/>
      <c r="K14" s="65"/>
      <c r="P14" s="66"/>
      <c r="Q14" s="6"/>
      <c r="R14" s="6"/>
      <c r="S14" s="390"/>
    </row>
    <row r="15" spans="1:16" ht="16.5" thickBot="1">
      <c r="A15" s="1"/>
      <c r="B15" s="272"/>
      <c r="C15" s="392" t="s">
        <v>95</v>
      </c>
      <c r="D15" s="67"/>
      <c r="E15" s="273"/>
      <c r="F15" s="274"/>
      <c r="G15" s="69"/>
      <c r="H15" s="69"/>
      <c r="I15" s="69"/>
      <c r="J15" s="68"/>
      <c r="K15" s="68"/>
      <c r="L15" s="275"/>
      <c r="M15" s="69"/>
      <c r="N15" s="69"/>
      <c r="O15" s="69"/>
      <c r="P15" s="276"/>
    </row>
    <row r="16" spans="1:16" ht="16.5" thickBot="1">
      <c r="A16" s="1"/>
      <c r="B16" s="272"/>
      <c r="C16" s="277"/>
      <c r="D16" s="67"/>
      <c r="E16" s="273"/>
      <c r="F16" s="274"/>
      <c r="G16" s="69"/>
      <c r="H16" s="69"/>
      <c r="L16" s="393" t="s">
        <v>85</v>
      </c>
      <c r="M16" s="788">
        <v>12.9</v>
      </c>
      <c r="N16" s="789"/>
      <c r="O16" s="69"/>
      <c r="P16" s="276"/>
    </row>
    <row r="17" spans="1:16" ht="15.75">
      <c r="A17" s="1"/>
      <c r="B17" s="272"/>
      <c r="C17" s="277"/>
      <c r="D17" s="68" t="s">
        <v>96</v>
      </c>
      <c r="E17" s="278">
        <f>MID(B11,16,2)*24</f>
        <v>744</v>
      </c>
      <c r="F17" s="69" t="s">
        <v>97</v>
      </c>
      <c r="G17" s="65"/>
      <c r="H17" s="396"/>
      <c r="I17" s="397" t="s">
        <v>98</v>
      </c>
      <c r="J17" s="398">
        <v>277.875</v>
      </c>
      <c r="K17" s="376"/>
      <c r="L17" s="399" t="s">
        <v>86</v>
      </c>
      <c r="M17" s="790">
        <v>9.681000000000001</v>
      </c>
      <c r="N17" s="791"/>
      <c r="O17" s="69"/>
      <c r="P17" s="276"/>
    </row>
    <row r="18" spans="1:16" ht="16.5" thickBot="1">
      <c r="A18" s="1"/>
      <c r="B18" s="272"/>
      <c r="C18" s="277"/>
      <c r="D18" s="68" t="s">
        <v>99</v>
      </c>
      <c r="E18" s="280">
        <v>0.025</v>
      </c>
      <c r="F18" s="65"/>
      <c r="G18" s="65"/>
      <c r="H18" s="402"/>
      <c r="I18" s="403" t="s">
        <v>100</v>
      </c>
      <c r="J18" s="404">
        <v>0.975</v>
      </c>
      <c r="K18" s="405"/>
      <c r="L18" s="406" t="s">
        <v>87</v>
      </c>
      <c r="M18" s="792">
        <v>9.681000000000001</v>
      </c>
      <c r="N18" s="793"/>
      <c r="O18" s="69"/>
      <c r="P18" s="276"/>
    </row>
    <row r="19" spans="1:16" ht="15.75">
      <c r="A19" s="1"/>
      <c r="B19" s="272"/>
      <c r="C19" s="277"/>
      <c r="D19" s="68"/>
      <c r="E19" s="280"/>
      <c r="F19" s="65"/>
      <c r="G19" s="65"/>
      <c r="H19" s="65"/>
      <c r="I19" s="65"/>
      <c r="L19" s="275"/>
      <c r="M19" s="69"/>
      <c r="N19" s="69"/>
      <c r="O19" s="69"/>
      <c r="P19" s="276"/>
    </row>
    <row r="20" spans="1:16" ht="15">
      <c r="A20" s="1"/>
      <c r="B20" s="272"/>
      <c r="C20" s="64" t="s">
        <v>101</v>
      </c>
      <c r="D20" s="71"/>
      <c r="E20" s="273"/>
      <c r="F20" s="274"/>
      <c r="G20" s="69"/>
      <c r="H20" s="69"/>
      <c r="I20" s="69"/>
      <c r="J20" s="68"/>
      <c r="K20" s="68"/>
      <c r="L20" s="275"/>
      <c r="M20" s="69"/>
      <c r="N20" s="69"/>
      <c r="O20" s="69"/>
      <c r="P20" s="276"/>
    </row>
    <row r="21" spans="1:16" ht="15">
      <c r="A21" s="1"/>
      <c r="B21" s="272"/>
      <c r="C21" s="69"/>
      <c r="D21" s="69"/>
      <c r="E21" s="69"/>
      <c r="F21" s="69"/>
      <c r="G21" s="69"/>
      <c r="H21" s="281"/>
      <c r="I21" s="69"/>
      <c r="J21" s="69"/>
      <c r="K21" s="69"/>
      <c r="L21" s="69"/>
      <c r="M21" s="69"/>
      <c r="N21" s="69"/>
      <c r="O21" s="69"/>
      <c r="P21" s="276"/>
    </row>
    <row r="22" spans="1:16" ht="15">
      <c r="A22" s="1"/>
      <c r="B22" s="272"/>
      <c r="C22" s="69"/>
      <c r="D22" s="68" t="s">
        <v>102</v>
      </c>
      <c r="E22" s="69"/>
      <c r="F22" s="281" t="s">
        <v>19</v>
      </c>
      <c r="G22" s="69"/>
      <c r="H22" s="67"/>
      <c r="I22" s="409">
        <v>0</v>
      </c>
      <c r="J22" s="69"/>
      <c r="K22" s="69"/>
      <c r="L22" s="410"/>
      <c r="M22" s="69"/>
      <c r="N22" s="69"/>
      <c r="O22" s="69"/>
      <c r="P22" s="276"/>
    </row>
    <row r="23" spans="1:16" ht="15">
      <c r="A23" s="1"/>
      <c r="B23" s="272"/>
      <c r="C23" s="69"/>
      <c r="D23" s="69"/>
      <c r="E23" s="69"/>
      <c r="F23" s="281" t="s">
        <v>103</v>
      </c>
      <c r="G23" s="69"/>
      <c r="H23" s="67"/>
      <c r="I23" s="409">
        <v>0</v>
      </c>
      <c r="J23" s="69"/>
      <c r="K23" s="69"/>
      <c r="L23" s="410"/>
      <c r="M23" s="69"/>
      <c r="N23" s="69"/>
      <c r="O23" s="69"/>
      <c r="P23" s="276"/>
    </row>
    <row r="24" spans="1:16" ht="15">
      <c r="A24" s="1"/>
      <c r="B24" s="272"/>
      <c r="C24" s="69"/>
      <c r="D24" s="69"/>
      <c r="E24" s="69"/>
      <c r="F24" s="281" t="s">
        <v>3</v>
      </c>
      <c r="G24" s="69"/>
      <c r="H24" s="67"/>
      <c r="I24" s="411">
        <f>'TOT-0514'!I30</f>
        <v>114.38101500000002</v>
      </c>
      <c r="J24" s="69"/>
      <c r="K24" s="69"/>
      <c r="L24" s="410" t="s">
        <v>104</v>
      </c>
      <c r="M24" s="69"/>
      <c r="N24" s="69"/>
      <c r="O24" s="69"/>
      <c r="P24" s="276"/>
    </row>
    <row r="25" spans="1:16" ht="15.75" thickBot="1">
      <c r="A25" s="1"/>
      <c r="B25" s="272"/>
      <c r="C25" s="69"/>
      <c r="D25" s="69"/>
      <c r="E25" s="69"/>
      <c r="F25" s="69"/>
      <c r="G25" s="69"/>
      <c r="H25" s="281"/>
      <c r="I25" s="69"/>
      <c r="J25" s="69"/>
      <c r="K25" s="69"/>
      <c r="L25" s="69"/>
      <c r="M25" s="69"/>
      <c r="N25" s="69"/>
      <c r="O25" s="69"/>
      <c r="P25" s="276"/>
    </row>
    <row r="26" spans="2:16" ht="20.25" thickBot="1" thickTop="1">
      <c r="B26" s="272"/>
      <c r="C26" s="75"/>
      <c r="H26" s="412" t="s">
        <v>105</v>
      </c>
      <c r="I26" s="162">
        <f>SUM(I22:I25)</f>
        <v>114.38101500000002</v>
      </c>
      <c r="L26" s="72"/>
      <c r="M26" s="72"/>
      <c r="N26" s="73"/>
      <c r="O26" s="74"/>
      <c r="P26" s="282"/>
    </row>
    <row r="27" spans="2:16" ht="15.75" thickTop="1">
      <c r="B27" s="272"/>
      <c r="C27" s="75"/>
      <c r="D27" s="71"/>
      <c r="E27" s="71"/>
      <c r="F27" s="77"/>
      <c r="G27" s="72"/>
      <c r="H27" s="72"/>
      <c r="I27" s="72"/>
      <c r="J27" s="72"/>
      <c r="K27" s="72"/>
      <c r="L27" s="72"/>
      <c r="M27" s="72"/>
      <c r="N27" s="73"/>
      <c r="O27" s="74"/>
      <c r="P27" s="282"/>
    </row>
    <row r="28" spans="2:16" ht="15">
      <c r="B28" s="272"/>
      <c r="C28" s="64" t="s">
        <v>106</v>
      </c>
      <c r="D28" s="71"/>
      <c r="E28" s="71"/>
      <c r="F28" s="77"/>
      <c r="G28" s="72"/>
      <c r="H28" s="72"/>
      <c r="I28" s="72"/>
      <c r="J28" s="72"/>
      <c r="K28" s="72"/>
      <c r="L28" s="72"/>
      <c r="M28" s="72"/>
      <c r="N28" s="73"/>
      <c r="O28" s="74"/>
      <c r="P28" s="282"/>
    </row>
    <row r="29" spans="2:16" ht="15">
      <c r="B29" s="272"/>
      <c r="C29" s="75"/>
      <c r="D29" s="71"/>
      <c r="E29" s="71"/>
      <c r="F29" s="77"/>
      <c r="G29" s="72"/>
      <c r="H29" s="72"/>
      <c r="I29" s="72"/>
      <c r="J29" s="72"/>
      <c r="K29" s="72"/>
      <c r="L29" s="72"/>
      <c r="M29" s="72"/>
      <c r="N29" s="73"/>
      <c r="O29" s="74"/>
      <c r="P29" s="282"/>
    </row>
    <row r="30" spans="2:16" ht="15.75">
      <c r="B30" s="272"/>
      <c r="C30" s="75"/>
      <c r="D30" s="413" t="s">
        <v>107</v>
      </c>
      <c r="E30" s="414" t="s">
        <v>15</v>
      </c>
      <c r="F30" s="415" t="s">
        <v>108</v>
      </c>
      <c r="G30" s="416"/>
      <c r="H30" s="657" t="s">
        <v>134</v>
      </c>
      <c r="I30" s="656" t="s">
        <v>133</v>
      </c>
      <c r="J30" s="652"/>
      <c r="K30" s="441"/>
      <c r="L30" s="419" t="s">
        <v>2</v>
      </c>
      <c r="N30" s="73"/>
      <c r="O30" s="74"/>
      <c r="P30" s="282"/>
    </row>
    <row r="31" spans="2:16" ht="15.75">
      <c r="B31" s="272"/>
      <c r="C31" s="75"/>
      <c r="D31" s="420" t="s">
        <v>4</v>
      </c>
      <c r="E31" s="421">
        <v>132</v>
      </c>
      <c r="F31" s="422">
        <v>31</v>
      </c>
      <c r="G31" s="423"/>
      <c r="H31" s="424">
        <f>F31*$J$17*$E$17/100</f>
        <v>64089.09</v>
      </c>
      <c r="I31" s="425">
        <v>0</v>
      </c>
      <c r="J31" s="654" t="s">
        <v>159</v>
      </c>
      <c r="K31" s="427"/>
      <c r="L31" s="428">
        <f>SUM(H31:K31)</f>
        <v>64089.09</v>
      </c>
      <c r="M31" s="72"/>
      <c r="N31" s="73"/>
      <c r="O31" s="74"/>
      <c r="P31" s="282"/>
    </row>
    <row r="32" spans="2:16" ht="15.75">
      <c r="B32" s="272"/>
      <c r="C32" s="75"/>
      <c r="D32" s="448" t="s">
        <v>5</v>
      </c>
      <c r="E32" s="71">
        <v>132</v>
      </c>
      <c r="F32" s="77">
        <v>110.3</v>
      </c>
      <c r="G32" s="72"/>
      <c r="H32" s="287">
        <f>F32*$J$17*$E$17/100</f>
        <v>228033.117</v>
      </c>
      <c r="I32" s="465">
        <v>14258</v>
      </c>
      <c r="J32" s="653" t="s">
        <v>159</v>
      </c>
      <c r="K32" s="279"/>
      <c r="L32" s="449">
        <f>SUM(H32:K32)</f>
        <v>242291.117</v>
      </c>
      <c r="M32" s="72"/>
      <c r="N32" s="73"/>
      <c r="O32" s="74"/>
      <c r="P32" s="282"/>
    </row>
    <row r="33" spans="2:16" ht="15.75">
      <c r="B33" s="272"/>
      <c r="C33" s="75"/>
      <c r="D33" s="448" t="s">
        <v>6</v>
      </c>
      <c r="E33" s="71">
        <v>132</v>
      </c>
      <c r="F33" s="77">
        <v>185.6</v>
      </c>
      <c r="G33" s="72"/>
      <c r="H33" s="287">
        <f>F33*$J$17*$E$17/100</f>
        <v>383707.584</v>
      </c>
      <c r="I33" s="465">
        <v>11436</v>
      </c>
      <c r="J33" s="653" t="s">
        <v>159</v>
      </c>
      <c r="K33" s="279"/>
      <c r="L33" s="449">
        <f>SUM(H33:K33)</f>
        <v>395143.584</v>
      </c>
      <c r="M33" s="72"/>
      <c r="N33" s="73"/>
      <c r="O33" s="74"/>
      <c r="P33" s="282"/>
    </row>
    <row r="34" spans="2:16" ht="15.75">
      <c r="B34" s="272"/>
      <c r="C34" s="75"/>
      <c r="D34" s="429" t="s">
        <v>7</v>
      </c>
      <c r="E34" s="430">
        <v>132</v>
      </c>
      <c r="F34" s="431">
        <v>7</v>
      </c>
      <c r="G34" s="432"/>
      <c r="H34" s="433">
        <f>F34*$J$17*$E$17/100</f>
        <v>14471.73</v>
      </c>
      <c r="I34" s="434">
        <v>0</v>
      </c>
      <c r="J34" s="655" t="s">
        <v>159</v>
      </c>
      <c r="K34" s="436"/>
      <c r="L34" s="437">
        <f>SUM(H34:K34)</f>
        <v>14471.73</v>
      </c>
      <c r="M34" s="72"/>
      <c r="N34" s="73"/>
      <c r="O34" s="74"/>
      <c r="P34" s="282"/>
    </row>
    <row r="35" spans="2:16" ht="15">
      <c r="B35" s="272"/>
      <c r="C35" s="75"/>
      <c r="D35" s="71"/>
      <c r="E35" s="71"/>
      <c r="F35" s="283"/>
      <c r="G35" s="72"/>
      <c r="I35" s="78"/>
      <c r="J35" s="279"/>
      <c r="K35" s="279"/>
      <c r="L35" s="438">
        <f>SUM(L31:L34)</f>
        <v>715995.521</v>
      </c>
      <c r="M35" s="72"/>
      <c r="N35" s="73"/>
      <c r="O35" s="74"/>
      <c r="P35" s="282"/>
    </row>
    <row r="36" spans="2:16" ht="15">
      <c r="B36" s="272"/>
      <c r="C36" s="75"/>
      <c r="D36" s="71"/>
      <c r="E36" s="71"/>
      <c r="F36" s="283"/>
      <c r="G36" s="72"/>
      <c r="I36" s="78"/>
      <c r="J36" s="279"/>
      <c r="K36" s="279"/>
      <c r="L36" s="284"/>
      <c r="M36" s="72"/>
      <c r="N36" s="73"/>
      <c r="O36" s="74"/>
      <c r="P36" s="282"/>
    </row>
    <row r="37" spans="2:16" ht="15.75">
      <c r="B37" s="272"/>
      <c r="C37" s="75"/>
      <c r="D37" s="413" t="s">
        <v>109</v>
      </c>
      <c r="E37" s="414" t="s">
        <v>110</v>
      </c>
      <c r="F37" s="466" t="s">
        <v>121</v>
      </c>
      <c r="G37" s="467"/>
      <c r="H37" s="658" t="s">
        <v>135</v>
      </c>
      <c r="J37" s="439" t="s">
        <v>112</v>
      </c>
      <c r="K37" s="440"/>
      <c r="L37" s="441" t="s">
        <v>51</v>
      </c>
      <c r="M37" s="414" t="s">
        <v>15</v>
      </c>
      <c r="N37" s="442" t="s">
        <v>113</v>
      </c>
      <c r="O37" s="443"/>
      <c r="P37" s="282"/>
    </row>
    <row r="38" spans="2:16" ht="15">
      <c r="B38" s="272"/>
      <c r="C38" s="75"/>
      <c r="D38" s="420" t="s">
        <v>9</v>
      </c>
      <c r="E38" s="421" t="s">
        <v>122</v>
      </c>
      <c r="F38" s="468">
        <v>30</v>
      </c>
      <c r="G38" s="469"/>
      <c r="H38" s="428">
        <f>+F38*$J$18*$E$17</f>
        <v>21762</v>
      </c>
      <c r="J38" s="444" t="s">
        <v>123</v>
      </c>
      <c r="K38" s="426"/>
      <c r="L38" s="423" t="s">
        <v>124</v>
      </c>
      <c r="M38" s="445">
        <v>132</v>
      </c>
      <c r="N38" s="446">
        <f>M16*E17</f>
        <v>9597.6</v>
      </c>
      <c r="O38" s="447"/>
      <c r="P38" s="282"/>
    </row>
    <row r="39" spans="2:16" ht="15">
      <c r="B39" s="272"/>
      <c r="C39" s="75"/>
      <c r="D39" s="448" t="s">
        <v>12</v>
      </c>
      <c r="E39" s="71" t="s">
        <v>125</v>
      </c>
      <c r="F39" s="470">
        <v>88</v>
      </c>
      <c r="G39" s="471"/>
      <c r="H39" s="449">
        <f>+F39*$J$18*$E$17</f>
        <v>63835.2</v>
      </c>
      <c r="J39" s="450" t="s">
        <v>10</v>
      </c>
      <c r="K39" s="451"/>
      <c r="L39" s="72" t="s">
        <v>126</v>
      </c>
      <c r="M39" s="73">
        <v>33</v>
      </c>
      <c r="N39" s="452">
        <f>+M17*E17*2</f>
        <v>14405.328000000001</v>
      </c>
      <c r="O39" s="453"/>
      <c r="P39" s="282"/>
    </row>
    <row r="40" spans="2:16" ht="15">
      <c r="B40" s="272"/>
      <c r="C40" s="75"/>
      <c r="D40" s="448" t="s">
        <v>10</v>
      </c>
      <c r="E40" s="71" t="s">
        <v>8</v>
      </c>
      <c r="F40" s="470">
        <v>7.5</v>
      </c>
      <c r="G40" s="471"/>
      <c r="H40" s="449">
        <f>+F40*$J$18*$E$17</f>
        <v>5440.5</v>
      </c>
      <c r="J40" s="450" t="s">
        <v>11</v>
      </c>
      <c r="K40" s="451"/>
      <c r="L40" s="72" t="s">
        <v>127</v>
      </c>
      <c r="M40" s="73">
        <v>33</v>
      </c>
      <c r="N40" s="452">
        <f>3*M17*E17</f>
        <v>21607.992000000002</v>
      </c>
      <c r="O40" s="453"/>
      <c r="P40" s="282"/>
    </row>
    <row r="41" spans="2:16" ht="15">
      <c r="B41" s="272"/>
      <c r="C41" s="75"/>
      <c r="D41" s="448" t="s">
        <v>11</v>
      </c>
      <c r="E41" s="71" t="s">
        <v>8</v>
      </c>
      <c r="F41" s="470">
        <v>15</v>
      </c>
      <c r="G41" s="471"/>
      <c r="H41" s="449">
        <f>+F41*$J$18*$E$17</f>
        <v>10881</v>
      </c>
      <c r="J41" s="450" t="s">
        <v>13</v>
      </c>
      <c r="K41" s="451"/>
      <c r="L41" s="72" t="s">
        <v>128</v>
      </c>
      <c r="M41" s="73">
        <v>13.2</v>
      </c>
      <c r="N41" s="452">
        <f>+M18*E17*6</f>
        <v>43215.984000000004</v>
      </c>
      <c r="O41" s="453"/>
      <c r="P41" s="282"/>
    </row>
    <row r="42" spans="2:16" ht="15">
      <c r="B42" s="272"/>
      <c r="C42" s="75"/>
      <c r="D42" s="429" t="s">
        <v>13</v>
      </c>
      <c r="E42" s="430" t="s">
        <v>129</v>
      </c>
      <c r="F42" s="472">
        <v>30</v>
      </c>
      <c r="G42" s="473"/>
      <c r="H42" s="449">
        <f>+F42*$J$18*$E$17</f>
        <v>21762</v>
      </c>
      <c r="J42" s="450" t="s">
        <v>9</v>
      </c>
      <c r="K42" s="451"/>
      <c r="L42" s="72" t="s">
        <v>130</v>
      </c>
      <c r="M42" s="73"/>
      <c r="N42" s="452">
        <f>+M17*E17+M18*E17*2</f>
        <v>21607.992000000002</v>
      </c>
      <c r="O42" s="453"/>
      <c r="P42" s="282"/>
    </row>
    <row r="43" spans="2:16" ht="15">
      <c r="B43" s="272"/>
      <c r="C43" s="75"/>
      <c r="D43" s="71"/>
      <c r="E43" s="71"/>
      <c r="F43" s="283"/>
      <c r="G43" s="72"/>
      <c r="H43" s="438">
        <f>SUM(H38:H42)</f>
        <v>123680.7</v>
      </c>
      <c r="J43" s="454" t="s">
        <v>12</v>
      </c>
      <c r="K43" s="435"/>
      <c r="L43" s="432" t="s">
        <v>131</v>
      </c>
      <c r="M43" s="455"/>
      <c r="N43" s="456">
        <f>(M16+M17+M18*5)*E17</f>
        <v>52813.584</v>
      </c>
      <c r="O43" s="457"/>
      <c r="P43" s="282"/>
    </row>
    <row r="44" spans="2:16" ht="15">
      <c r="B44" s="272"/>
      <c r="C44" s="75"/>
      <c r="D44" s="71"/>
      <c r="E44" s="71"/>
      <c r="F44" s="283"/>
      <c r="G44" s="72"/>
      <c r="I44" s="78"/>
      <c r="J44" s="279"/>
      <c r="K44" s="279"/>
      <c r="L44" s="284"/>
      <c r="M44" s="72"/>
      <c r="N44" s="458">
        <f>SUM(N38:N43)</f>
        <v>163248.48</v>
      </c>
      <c r="O44" s="443"/>
      <c r="P44" s="282"/>
    </row>
    <row r="45" spans="2:16" ht="12.75" customHeight="1" thickBot="1">
      <c r="B45" s="272"/>
      <c r="C45" s="75"/>
      <c r="D45" s="71"/>
      <c r="E45" s="71"/>
      <c r="F45" s="77"/>
      <c r="G45" s="72"/>
      <c r="H45" s="78"/>
      <c r="I45" s="71"/>
      <c r="J45" s="71"/>
      <c r="K45" s="71"/>
      <c r="L45" s="72"/>
      <c r="M45" s="72"/>
      <c r="N45" s="73"/>
      <c r="O45" s="74"/>
      <c r="P45" s="282"/>
    </row>
    <row r="46" spans="2:16" ht="20.25" thickBot="1" thickTop="1">
      <c r="B46" s="272"/>
      <c r="C46" s="75"/>
      <c r="D46" s="71"/>
      <c r="E46" s="71"/>
      <c r="F46" s="77"/>
      <c r="G46" s="72"/>
      <c r="H46" s="459" t="s">
        <v>114</v>
      </c>
      <c r="I46" s="460">
        <f>+H43+N44+L35</f>
        <v>1002924.7009999999</v>
      </c>
      <c r="J46" s="71"/>
      <c r="K46" s="71"/>
      <c r="L46" s="72"/>
      <c r="M46" s="72"/>
      <c r="N46" s="73"/>
      <c r="O46" s="74"/>
      <c r="P46" s="282"/>
    </row>
    <row r="47" spans="2:16" ht="15.75" thickTop="1">
      <c r="B47" s="272"/>
      <c r="C47" s="75"/>
      <c r="D47" s="71"/>
      <c r="E47" s="71"/>
      <c r="F47" s="77"/>
      <c r="G47" s="72"/>
      <c r="H47" s="78"/>
      <c r="I47" s="71"/>
      <c r="J47" s="71"/>
      <c r="K47" s="71"/>
      <c r="L47" s="72"/>
      <c r="M47" s="72"/>
      <c r="N47" s="73"/>
      <c r="O47" s="74"/>
      <c r="P47" s="282"/>
    </row>
    <row r="48" spans="2:16" ht="15.75">
      <c r="B48" s="272"/>
      <c r="C48" s="461" t="s">
        <v>115</v>
      </c>
      <c r="D48" s="71"/>
      <c r="E48" s="71"/>
      <c r="F48" s="77"/>
      <c r="G48" s="72"/>
      <c r="H48" s="78"/>
      <c r="I48" s="71"/>
      <c r="J48" s="71"/>
      <c r="K48" s="71"/>
      <c r="L48" s="72"/>
      <c r="M48" s="72"/>
      <c r="N48" s="73"/>
      <c r="O48" s="74"/>
      <c r="P48" s="282"/>
    </row>
    <row r="49" spans="2:16" ht="15.75" thickBot="1">
      <c r="B49" s="272"/>
      <c r="C49" s="75"/>
      <c r="D49" s="71"/>
      <c r="E49" s="71"/>
      <c r="F49" s="77"/>
      <c r="G49" s="72"/>
      <c r="H49" s="78"/>
      <c r="I49" s="71"/>
      <c r="J49" s="71"/>
      <c r="K49" s="71"/>
      <c r="L49" s="72"/>
      <c r="M49" s="72"/>
      <c r="N49" s="73"/>
      <c r="O49" s="74"/>
      <c r="P49" s="282"/>
    </row>
    <row r="50" spans="2:16" ht="20.25" thickBot="1" thickTop="1">
      <c r="B50" s="272"/>
      <c r="C50" s="75"/>
      <c r="D50" s="235" t="s">
        <v>116</v>
      </c>
      <c r="F50" s="285"/>
      <c r="G50" s="69"/>
      <c r="H50" s="161" t="s">
        <v>117</v>
      </c>
      <c r="I50" s="462">
        <f>E18*I46</f>
        <v>25073.117524999998</v>
      </c>
      <c r="J50" s="65"/>
      <c r="K50" s="65"/>
      <c r="O50" s="65"/>
      <c r="P50" s="282"/>
    </row>
    <row r="51" spans="2:16" ht="21.75" thickTop="1">
      <c r="B51" s="272"/>
      <c r="C51" s="75"/>
      <c r="F51" s="286"/>
      <c r="G51" s="42"/>
      <c r="I51" s="65"/>
      <c r="J51" s="65"/>
      <c r="K51" s="65"/>
      <c r="O51" s="65"/>
      <c r="P51" s="282"/>
    </row>
    <row r="52" spans="2:16" ht="15">
      <c r="B52" s="272"/>
      <c r="C52" s="64" t="s">
        <v>118</v>
      </c>
      <c r="E52" s="65"/>
      <c r="F52" s="65"/>
      <c r="G52" s="65"/>
      <c r="H52" s="65"/>
      <c r="I52" s="72"/>
      <c r="J52" s="72"/>
      <c r="K52" s="72"/>
      <c r="L52" s="72"/>
      <c r="M52" s="72"/>
      <c r="N52" s="73"/>
      <c r="O52" s="74"/>
      <c r="P52" s="282"/>
    </row>
    <row r="53" spans="2:16" ht="15">
      <c r="B53" s="272"/>
      <c r="C53" s="75"/>
      <c r="D53" s="70" t="s">
        <v>119</v>
      </c>
      <c r="E53" s="287">
        <f>10*I26*I50/I46</f>
        <v>28.59525375000001</v>
      </c>
      <c r="F53" s="463"/>
      <c r="H53" s="65"/>
      <c r="I53" s="72"/>
      <c r="J53" s="72"/>
      <c r="K53" s="72"/>
      <c r="L53" s="72"/>
      <c r="M53" s="72"/>
      <c r="N53" s="73"/>
      <c r="O53" s="74"/>
      <c r="P53" s="282"/>
    </row>
    <row r="54" spans="2:16" ht="15">
      <c r="B54" s="272"/>
      <c r="C54" s="75"/>
      <c r="D54" s="65"/>
      <c r="E54" s="65"/>
      <c r="J54" s="72"/>
      <c r="K54" s="72"/>
      <c r="L54" s="72"/>
      <c r="M54" s="72"/>
      <c r="N54" s="73"/>
      <c r="O54" s="74"/>
      <c r="P54" s="282"/>
    </row>
    <row r="55" spans="2:16" ht="15">
      <c r="B55" s="272"/>
      <c r="C55" s="75"/>
      <c r="D55" s="65" t="s">
        <v>132</v>
      </c>
      <c r="E55" s="65"/>
      <c r="F55" s="65"/>
      <c r="G55" s="65"/>
      <c r="H55" s="65"/>
      <c r="M55" s="72"/>
      <c r="N55" s="73"/>
      <c r="O55" s="74"/>
      <c r="P55" s="282"/>
    </row>
    <row r="56" spans="2:16" ht="15.75" thickBot="1">
      <c r="B56" s="272"/>
      <c r="C56" s="75"/>
      <c r="D56" s="65"/>
      <c r="E56" s="65"/>
      <c r="F56" s="65"/>
      <c r="G56" s="65"/>
      <c r="H56" s="65"/>
      <c r="M56" s="72"/>
      <c r="N56" s="73"/>
      <c r="O56" s="74"/>
      <c r="P56" s="282"/>
    </row>
    <row r="57" spans="2:16" ht="20.25" thickBot="1" thickTop="1">
      <c r="B57" s="272"/>
      <c r="C57" s="75"/>
      <c r="D57" s="71"/>
      <c r="E57" s="71"/>
      <c r="F57" s="77"/>
      <c r="G57" s="72"/>
      <c r="H57" s="236" t="s">
        <v>120</v>
      </c>
      <c r="I57" s="464">
        <f>IF($E$53&gt;3*I50,3*I50,$E$53)</f>
        <v>28.59525375000001</v>
      </c>
      <c r="J57" s="72"/>
      <c r="K57" s="72"/>
      <c r="L57" s="72"/>
      <c r="M57" s="72"/>
      <c r="N57" s="73"/>
      <c r="O57" s="74"/>
      <c r="P57" s="282"/>
    </row>
    <row r="58" spans="2:16" ht="16.5" thickBot="1" thickTop="1">
      <c r="B58" s="288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90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sheetProtection/>
  <mergeCells count="3">
    <mergeCell ref="M16:N16"/>
    <mergeCell ref="M17:N17"/>
    <mergeCell ref="M18:N18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1" r:id="rId4"/>
  <headerFooter alignWithMargins="0">
    <oddFooter>&amp;L&amp;"Times New Roman,Normal"&amp;8&amp;Z&amp;F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2014-12-17T13:57:54Z</cp:lastPrinted>
  <dcterms:created xsi:type="dcterms:W3CDTF">2000-10-04T20:14:32Z</dcterms:created>
  <dcterms:modified xsi:type="dcterms:W3CDTF">2015-02-02T14:14:18Z</dcterms:modified>
  <cp:category/>
  <cp:version/>
  <cp:contentType/>
  <cp:contentStatus/>
</cp:coreProperties>
</file>