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114" sheetId="1" r:id="rId1"/>
    <sheet name="LI-01 (1)" sheetId="2" r:id="rId2"/>
    <sheet name="LI-TRANSACUE-01 (1)" sheetId="3" r:id="rId3"/>
    <sheet name="TR-01 (1)" sheetId="4" r:id="rId4"/>
    <sheet name="TR-EDERSA-01 (1)" sheetId="5" r:id="rId5"/>
    <sheet name="TR-TRANSACUE-01 (1)" sheetId="6" r:id="rId6"/>
    <sheet name="SA-01 (1)" sheetId="7" r:id="rId7"/>
    <sheet name="SA-EDERSA-01 (1)" sheetId="8" r:id="rId8"/>
    <sheet name="SA-TRANSACUE-01 (1)" sheetId="9" r:id="rId9"/>
    <sheet name="SUP-EDERSA" sheetId="10" r:id="rId10"/>
    <sheet name="SUP-TRANSACUE" sheetId="11" r:id="rId11"/>
    <sheet name="TASA FALLA" sheetId="12" r:id="rId12"/>
  </sheets>
  <externalReferences>
    <externalReference r:id="rId15"/>
    <externalReference r:id="rId16"/>
  </externalReferences>
  <definedNames>
    <definedName name="_xlnm.Print_Area" localSheetId="11">'TASA FALLA'!$A$1:$T$74</definedName>
    <definedName name="DD" localSheetId="11">'TASA FALLA'!DD</definedName>
    <definedName name="DD">[0]!DD</definedName>
    <definedName name="DDD" localSheetId="11">'TASA FALLA'!DDD</definedName>
    <definedName name="DDD">[0]!DDD</definedName>
    <definedName name="DISTROCUYO" localSheetId="11">'TASA FALLA'!DISTROCUYO</definedName>
    <definedName name="DISTROCUYO">[0]!DISTROCUYO</definedName>
    <definedName name="INICIO" localSheetId="11">'TASA FALLA'!INICIO</definedName>
    <definedName name="INICIO">[0]!INICIO</definedName>
    <definedName name="INICIOTI" localSheetId="11">'TASA FALLA'!INICIOTI</definedName>
    <definedName name="INICIOTI">[0]!INICIOTI</definedName>
    <definedName name="LINEAS" localSheetId="11">'TASA FALLA'!LINEAS</definedName>
    <definedName name="LINEAS">[0]!LINEAS</definedName>
    <definedName name="NAME_L" localSheetId="11">'TASA FALLA'!NAME_L</definedName>
    <definedName name="NAME_L">[0]!NAME_L</definedName>
    <definedName name="NAME_L_TI" localSheetId="11">'TASA FALLA'!NAME_L_TI</definedName>
    <definedName name="NAME_L_TI">[0]!NAME_L_TI</definedName>
    <definedName name="TRAN" localSheetId="11">'TASA FALLA'!TRAN</definedName>
    <definedName name="TRAN">[0]!TRAN</definedName>
    <definedName name="TRANSNOA" localSheetId="11">'TASA FALLA'!TRANSNOA</definedName>
    <definedName name="TRANSNOA">[0]!TRANSNOA</definedName>
    <definedName name="x" localSheetId="11">'TASA FALLA'!x</definedName>
    <definedName name="x">[0]!x</definedName>
    <definedName name="XX" localSheetId="11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11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sharedStrings.xml><?xml version="1.0" encoding="utf-8"?>
<sst xmlns="http://schemas.openxmlformats.org/spreadsheetml/2006/main" count="504" uniqueCount="202">
  <si>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</si>
  <si>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</si>
  <si>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</si>
  <si>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</si>
  <si>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</si>
  <si>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</si>
  <si>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</si>
  <si>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</si>
  <si>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</si>
  <si>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</si>
  <si>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</si>
  <si>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</si>
  <si>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</si>
  <si>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</si>
  <si>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</si>
  <si>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</si>
  <si>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</si>
  <si>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</si>
  <si>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</si>
  <si>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</si>
  <si>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</si>
  <si>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</si>
  <si>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</si>
  <si>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</si>
  <si>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</si>
  <si>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</si>
  <si>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</si>
  <si>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</si>
  <si>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</si>
  <si>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</si>
  <si>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</si>
  <si>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2.1.3.-</t>
  </si>
  <si>
    <t>2.2.-</t>
  </si>
  <si>
    <t>Salidas</t>
  </si>
  <si>
    <t>2.2.1.-</t>
  </si>
  <si>
    <t>2.2.2.-</t>
  </si>
  <si>
    <t>2.2.3.-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</si>
  <si>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</si>
  <si>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</si>
  <si>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</si>
  <si>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</si>
  <si>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</si>
  <si>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</si>
  <si>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</si>
  <si>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</si>
  <si>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</si>
  <si>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</si>
  <si>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</si>
  <si>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</si>
  <si>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</si>
  <si>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</si>
  <si>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</si>
  <si>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</si>
  <si>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</si>
  <si>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</si>
  <si>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</si>
  <si>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</si>
  <si>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</si>
  <si>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</si>
  <si>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</si>
  <si>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</si>
  <si>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</si>
  <si>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</si>
  <si>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</si>
  <si>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</si>
  <si>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</si>
  <si>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</si>
  <si>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</si>
  <si>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</si>
  <si>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</si>
  <si>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</si>
  <si>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</si>
  <si>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</si>
  <si>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</si>
  <si>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</si>
  <si>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</si>
  <si>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</si>
  <si>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</si>
  <si>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</si>
  <si>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</si>
  <si>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</si>
  <si>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</si>
  <si>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</si>
  <si>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</si>
  <si>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</si>
  <si>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</si>
  <si>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</si>
  <si>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</si>
  <si>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</si>
  <si>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</si>
  <si>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</si>
  <si>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</si>
  <si>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</si>
  <si>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</si>
  <si>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</si>
  <si>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</si>
  <si>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</si>
  <si>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</si>
  <si>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</si>
  <si>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</si>
  <si>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</si>
  <si>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</si>
  <si>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</si>
  <si>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</si>
  <si>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</si>
  <si>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</si>
  <si>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</si>
  <si>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</si>
  <si>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</si>
  <si>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</si>
  <si>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</si>
  <si>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</si>
  <si>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</si>
  <si>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</si>
  <si>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</si>
  <si>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</si>
  <si>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</si>
  <si>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</si>
  <si>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</si>
  <si>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</si>
  <si>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</si>
  <si>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</si>
  <si>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</si>
  <si>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</si>
  <si>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</si>
  <si>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</si>
  <si>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</si>
  <si>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</si>
  <si>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</si>
  <si>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</si>
  <si>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</si>
  <si>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</si>
  <si>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</si>
  <si>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</si>
  <si>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</si>
  <si>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</si>
  <si>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</si>
  <si>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</si>
  <si>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</si>
  <si>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</si>
  <si>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</si>
  <si>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SALIDA ALIM Coop. C. RIVADAVIA</t>
  </si>
  <si>
    <t>SALIDA LIN PAMPA CASTILLO - EL TORDILLO</t>
  </si>
  <si>
    <t>2.2.4.- Transportista Independiente TRANSACUE S.A.</t>
  </si>
  <si>
    <t>2.2.2.-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</si>
  <si>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</si>
  <si>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</si>
  <si>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</si>
  <si>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</si>
  <si>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</si>
  <si>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enero de 2014</t>
  </si>
  <si>
    <t>FUTALEUFU - ESQUEL</t>
  </si>
  <si>
    <t>P</t>
  </si>
  <si>
    <t>SI</t>
  </si>
  <si>
    <t>0,000</t>
  </si>
  <si>
    <t>LAS HERAS - MINAS SAN JOSE</t>
  </si>
  <si>
    <t>ESQUEL</t>
  </si>
  <si>
    <t>132/33/13,2</t>
  </si>
  <si>
    <t>PLANTA DE ALUMINIO DGPA</t>
  </si>
  <si>
    <t>SALIDA TRAFO 4 COOP 16 DE OCTUBRE</t>
  </si>
  <si>
    <t>SALIDA LINEA EL COIHUE</t>
  </si>
  <si>
    <t>1.2.- Transportista Independiente TRANSACUE S.A.</t>
  </si>
  <si>
    <t>ESQUEL - EL COIHUE</t>
  </si>
  <si>
    <t>TRAFO 4</t>
  </si>
  <si>
    <t>RP</t>
  </si>
  <si>
    <t>TRAFO 9</t>
  </si>
  <si>
    <t>132/13,2</t>
  </si>
  <si>
    <t>F</t>
  </si>
  <si>
    <t xml:space="preserve"> 2.1.3.- Transportista Independiente TRANSACUE S.A.</t>
  </si>
  <si>
    <t>EL COIHUE</t>
  </si>
  <si>
    <t>132/33/6,6</t>
  </si>
  <si>
    <t>SALIDA ALIM. 5 VIEDMA 2</t>
  </si>
  <si>
    <t>S.A. OESTE</t>
  </si>
  <si>
    <t>SALIDA LINEA S.A.ESTE</t>
  </si>
  <si>
    <t>SALIDA ALIM. 2 C. PATAG.</t>
  </si>
  <si>
    <t>ALIM.A EL MAITEN</t>
  </si>
  <si>
    <t>ALIM. A EPUYEN Y CHOLILA</t>
  </si>
  <si>
    <t>EL COHIUE</t>
  </si>
  <si>
    <t>ALIM. A LAGO PUELO</t>
  </si>
  <si>
    <t>P - PROGRAMADA</t>
  </si>
  <si>
    <t>RP - REDUCCIÓN PROGRAMADA  ; F - FORZADA</t>
  </si>
  <si>
    <t>3.1.-</t>
  </si>
  <si>
    <t>3.2.-</t>
  </si>
  <si>
    <t>3.1.- SUPERVISIÓN - Transportista Independiente E.D.E.R.S.A.</t>
  </si>
  <si>
    <t>3.3.- SUPERVISIÓN - Transportista Independiente TRANSACUE S.A.</t>
  </si>
  <si>
    <t>(DTE 0114)</t>
  </si>
  <si>
    <t xml:space="preserve"> - </t>
  </si>
  <si>
    <t>SEGÚN 1.2.</t>
  </si>
  <si>
    <t>SEGÚN 2.2.3.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</si>
  <si>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</si>
  <si>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</si>
  <si>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</si>
  <si>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</si>
  <si>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</si>
  <si>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</si>
  <si>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</si>
  <si>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</si>
  <si>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</si>
  <si>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</si>
  <si>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enero de 2014</t>
  </si>
  <si>
    <t>Valores remuneratorios  de acuerdo al Acuerdo Instrumental del Acta Acuerdo -  Res. ENRE N° 645/08 - Nota ENRE Nº 112183</t>
  </si>
  <si>
    <t>ANEXO I al Memorándum  D.T.E.E.  N°        34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</si>
</sst>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sz val="8"/>
      <name val="MS Sans Serif"/>
      <family val="0"/>
    </font>
    <font>
      <sz val="20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71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4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03" fillId="0" borderId="9" applyNumberFormat="0" applyFill="0" applyAlignment="0" applyProtection="0"/>
    <xf numFmtId="0" fontId="113" fillId="0" borderId="10" applyNumberFormat="0" applyFill="0" applyAlignment="0" applyProtection="0"/>
  </cellStyleXfs>
  <cellXfs count="8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2" fontId="9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68" fontId="7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68" fontId="7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68" fontId="7" fillId="0" borderId="17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/>
    </xf>
    <xf numFmtId="22" fontId="7" fillId="0" borderId="19" xfId="0" applyNumberFormat="1" applyFont="1" applyFill="1" applyBorder="1" applyAlignment="1">
      <alignment horizontal="center"/>
    </xf>
    <xf numFmtId="22" fontId="7" fillId="0" borderId="20" xfId="0" applyNumberFormat="1" applyFont="1" applyFill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7" fontId="7" fillId="0" borderId="2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16" xfId="0" applyFont="1" applyFill="1" applyBorder="1" applyAlignment="1">
      <alignment/>
    </xf>
    <xf numFmtId="168" fontId="10" fillId="0" borderId="17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 applyProtection="1" quotePrefix="1">
      <alignment horizontal="center"/>
      <protection/>
    </xf>
    <xf numFmtId="168" fontId="10" fillId="0" borderId="1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7" fontId="8" fillId="0" borderId="32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2" xfId="0" applyFont="1" applyFill="1" applyBorder="1" applyAlignment="1">
      <alignment horizontal="centerContinuous"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 applyProtection="1" quotePrefix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 applyProtection="1" quotePrefix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 quotePrefix="1">
      <alignment horizontal="center" vertical="center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1" xfId="0" applyFont="1" applyBorder="1" applyAlignment="1" applyProtection="1">
      <alignment horizontal="left"/>
      <protection/>
    </xf>
    <xf numFmtId="171" fontId="0" fillId="0" borderId="34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171" fontId="25" fillId="0" borderId="3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168" fontId="10" fillId="0" borderId="13" xfId="0" applyNumberFormat="1" applyFont="1" applyFill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1" xfId="0" applyFont="1" applyFill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2" xfId="0" applyFont="1" applyBorder="1" applyAlignment="1" applyProtection="1">
      <alignment horizontal="centerContinuous"/>
      <protection/>
    </xf>
    <xf numFmtId="0" fontId="38" fillId="0" borderId="33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9" xfId="0" applyNumberFormat="1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68" fontId="47" fillId="33" borderId="13" xfId="0" applyNumberFormat="1" applyFont="1" applyFill="1" applyBorder="1" applyAlignment="1" applyProtection="1">
      <alignment horizontal="center"/>
      <protection/>
    </xf>
    <xf numFmtId="168" fontId="47" fillId="33" borderId="14" xfId="0" applyNumberFormat="1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171" fontId="47" fillId="33" borderId="1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2" fillId="34" borderId="2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2" fillId="35" borderId="29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27" fillId="36" borderId="29" xfId="0" applyFont="1" applyFill="1" applyBorder="1" applyAlignment="1" applyProtection="1">
      <alignment horizontal="centerContinuous" vertical="center" wrapText="1"/>
      <protection/>
    </xf>
    <xf numFmtId="0" fontId="25" fillId="36" borderId="30" xfId="0" applyFont="1" applyFill="1" applyBorder="1" applyAlignment="1">
      <alignment horizontal="centerContinuous"/>
    </xf>
    <xf numFmtId="0" fontId="27" fillId="36" borderId="32" xfId="0" applyFont="1" applyFill="1" applyBorder="1" applyAlignment="1">
      <alignment horizontal="centerContinuous" vertical="center"/>
    </xf>
    <xf numFmtId="0" fontId="55" fillId="36" borderId="35" xfId="0" applyFont="1" applyFill="1" applyBorder="1" applyAlignment="1">
      <alignment horizontal="center"/>
    </xf>
    <xf numFmtId="0" fontId="55" fillId="36" borderId="36" xfId="0" applyFont="1" applyFill="1" applyBorder="1" applyAlignment="1">
      <alignment/>
    </xf>
    <xf numFmtId="0" fontId="55" fillId="36" borderId="37" xfId="0" applyFont="1" applyFill="1" applyBorder="1" applyAlignment="1">
      <alignment/>
    </xf>
    <xf numFmtId="0" fontId="55" fillId="36" borderId="38" xfId="0" applyFont="1" applyFill="1" applyBorder="1" applyAlignment="1">
      <alignment horizontal="center"/>
    </xf>
    <xf numFmtId="0" fontId="55" fillId="36" borderId="39" xfId="0" applyFont="1" applyFill="1" applyBorder="1" applyAlignment="1">
      <alignment/>
    </xf>
    <xf numFmtId="0" fontId="55" fillId="36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7" fillId="37" borderId="29" xfId="0" applyFont="1" applyFill="1" applyBorder="1" applyAlignment="1" applyProtection="1">
      <alignment horizontal="centerContinuous" vertical="center" wrapText="1"/>
      <protection/>
    </xf>
    <xf numFmtId="0" fontId="25" fillId="37" borderId="30" xfId="0" applyFont="1" applyFill="1" applyBorder="1" applyAlignment="1">
      <alignment horizontal="centerContinuous"/>
    </xf>
    <xf numFmtId="0" fontId="27" fillId="37" borderId="32" xfId="0" applyFont="1" applyFill="1" applyBorder="1" applyAlignment="1">
      <alignment horizontal="centerContinuous" vertical="center"/>
    </xf>
    <xf numFmtId="0" fontId="55" fillId="37" borderId="35" xfId="0" applyFont="1" applyFill="1" applyBorder="1" applyAlignment="1">
      <alignment horizontal="center"/>
    </xf>
    <xf numFmtId="0" fontId="55" fillId="37" borderId="36" xfId="0" applyFont="1" applyFill="1" applyBorder="1" applyAlignment="1">
      <alignment/>
    </xf>
    <xf numFmtId="0" fontId="55" fillId="37" borderId="37" xfId="0" applyFont="1" applyFill="1" applyBorder="1" applyAlignment="1">
      <alignment/>
    </xf>
    <xf numFmtId="0" fontId="55" fillId="37" borderId="38" xfId="0" applyFont="1" applyFill="1" applyBorder="1" applyAlignment="1">
      <alignment horizontal="center"/>
    </xf>
    <xf numFmtId="0" fontId="55" fillId="37" borderId="39" xfId="0" applyFont="1" applyFill="1" applyBorder="1" applyAlignment="1">
      <alignment/>
    </xf>
    <xf numFmtId="0" fontId="55" fillId="37" borderId="17" xfId="0" applyFont="1" applyFill="1" applyBorder="1" applyAlignment="1">
      <alignment/>
    </xf>
    <xf numFmtId="0" fontId="27" fillId="36" borderId="29" xfId="0" applyFont="1" applyFill="1" applyBorder="1" applyAlignment="1">
      <alignment horizontal="center" vertical="center" wrapText="1"/>
    </xf>
    <xf numFmtId="0" fontId="27" fillId="38" borderId="29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/>
    </xf>
    <xf numFmtId="0" fontId="55" fillId="38" borderId="13" xfId="0" applyFont="1" applyFill="1" applyBorder="1" applyAlignment="1">
      <alignment/>
    </xf>
    <xf numFmtId="0" fontId="52" fillId="39" borderId="29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/>
    </xf>
    <xf numFmtId="0" fontId="53" fillId="39" borderId="13" xfId="0" applyFont="1" applyFill="1" applyBorder="1" applyAlignment="1">
      <alignment/>
    </xf>
    <xf numFmtId="2" fontId="51" fillId="34" borderId="29" xfId="0" applyNumberFormat="1" applyFont="1" applyFill="1" applyBorder="1" applyAlignment="1">
      <alignment horizontal="center"/>
    </xf>
    <xf numFmtId="2" fontId="51" fillId="35" borderId="29" xfId="0" applyNumberFormat="1" applyFont="1" applyFill="1" applyBorder="1" applyAlignment="1">
      <alignment horizontal="center"/>
    </xf>
    <xf numFmtId="168" fontId="56" fillId="36" borderId="29" xfId="0" applyNumberFormat="1" applyFont="1" applyFill="1" applyBorder="1" applyAlignment="1" applyProtection="1" quotePrefix="1">
      <alignment horizontal="center"/>
      <protection/>
    </xf>
    <xf numFmtId="4" fontId="56" fillId="36" borderId="29" xfId="0" applyNumberFormat="1" applyFont="1" applyFill="1" applyBorder="1" applyAlignment="1">
      <alignment horizontal="center"/>
    </xf>
    <xf numFmtId="168" fontId="56" fillId="37" borderId="29" xfId="0" applyNumberFormat="1" applyFont="1" applyFill="1" applyBorder="1" applyAlignment="1" applyProtection="1" quotePrefix="1">
      <alignment horizontal="center"/>
      <protection/>
    </xf>
    <xf numFmtId="4" fontId="56" fillId="37" borderId="29" xfId="0" applyNumberFormat="1" applyFont="1" applyFill="1" applyBorder="1" applyAlignment="1">
      <alignment horizontal="center"/>
    </xf>
    <xf numFmtId="168" fontId="56" fillId="38" borderId="29" xfId="0" applyNumberFormat="1" applyFont="1" applyFill="1" applyBorder="1" applyAlignment="1" applyProtection="1" quotePrefix="1">
      <alignment horizontal="center"/>
      <protection/>
    </xf>
    <xf numFmtId="4" fontId="51" fillId="39" borderId="29" xfId="0" applyNumberFormat="1" applyFont="1" applyFill="1" applyBorder="1" applyAlignment="1">
      <alignment horizontal="center"/>
    </xf>
    <xf numFmtId="0" fontId="52" fillId="39" borderId="29" xfId="0" applyFont="1" applyFill="1" applyBorder="1" applyAlignment="1" applyProtection="1">
      <alignment horizontal="center" vertical="center"/>
      <protection/>
    </xf>
    <xf numFmtId="0" fontId="51" fillId="39" borderId="16" xfId="0" applyFont="1" applyFill="1" applyBorder="1" applyAlignment="1">
      <alignment/>
    </xf>
    <xf numFmtId="0" fontId="51" fillId="39" borderId="13" xfId="0" applyFont="1" applyFill="1" applyBorder="1" applyAlignment="1">
      <alignment/>
    </xf>
    <xf numFmtId="4" fontId="51" fillId="39" borderId="13" xfId="0" applyNumberFormat="1" applyFont="1" applyFill="1" applyBorder="1" applyAlignment="1" applyProtection="1">
      <alignment horizontal="center"/>
      <protection/>
    </xf>
    <xf numFmtId="0" fontId="51" fillId="39" borderId="14" xfId="0" applyFont="1" applyFill="1" applyBorder="1" applyAlignment="1">
      <alignment/>
    </xf>
    <xf numFmtId="0" fontId="56" fillId="38" borderId="16" xfId="0" applyFont="1" applyFill="1" applyBorder="1" applyAlignment="1">
      <alignment/>
    </xf>
    <xf numFmtId="0" fontId="56" fillId="38" borderId="13" xfId="0" applyFont="1" applyFill="1" applyBorder="1" applyAlignment="1">
      <alignment/>
    </xf>
    <xf numFmtId="2" fontId="56" fillId="38" borderId="13" xfId="0" applyNumberFormat="1" applyFont="1" applyFill="1" applyBorder="1" applyAlignment="1">
      <alignment horizontal="center"/>
    </xf>
    <xf numFmtId="0" fontId="56" fillId="38" borderId="14" xfId="0" applyFont="1" applyFill="1" applyBorder="1" applyAlignment="1">
      <alignment/>
    </xf>
    <xf numFmtId="7" fontId="56" fillId="38" borderId="29" xfId="0" applyNumberFormat="1" applyFont="1" applyFill="1" applyBorder="1" applyAlignment="1">
      <alignment horizontal="center"/>
    </xf>
    <xf numFmtId="0" fontId="27" fillId="40" borderId="29" xfId="0" applyFont="1" applyFill="1" applyBorder="1" applyAlignment="1">
      <alignment horizontal="center" vertical="center" wrapText="1"/>
    </xf>
    <xf numFmtId="0" fontId="56" fillId="40" borderId="16" xfId="0" applyFont="1" applyFill="1" applyBorder="1" applyAlignment="1">
      <alignment/>
    </xf>
    <xf numFmtId="0" fontId="56" fillId="40" borderId="13" xfId="0" applyFont="1" applyFill="1" applyBorder="1" applyAlignment="1">
      <alignment/>
    </xf>
    <xf numFmtId="2" fontId="56" fillId="40" borderId="13" xfId="0" applyNumberFormat="1" applyFont="1" applyFill="1" applyBorder="1" applyAlignment="1">
      <alignment horizontal="center"/>
    </xf>
    <xf numFmtId="0" fontId="56" fillId="40" borderId="14" xfId="0" applyFont="1" applyFill="1" applyBorder="1" applyAlignment="1">
      <alignment/>
    </xf>
    <xf numFmtId="7" fontId="56" fillId="40" borderId="29" xfId="0" applyNumberFormat="1" applyFont="1" applyFill="1" applyBorder="1" applyAlignment="1">
      <alignment horizontal="center"/>
    </xf>
    <xf numFmtId="0" fontId="52" fillId="41" borderId="31" xfId="0" applyFont="1" applyFill="1" applyBorder="1" applyAlignment="1" applyProtection="1">
      <alignment horizontal="centerContinuous" vertical="center" wrapText="1"/>
      <protection/>
    </xf>
    <xf numFmtId="0" fontId="52" fillId="41" borderId="32" xfId="0" applyFont="1" applyFill="1" applyBorder="1" applyAlignment="1">
      <alignment horizontal="centerContinuous" vertical="center"/>
    </xf>
    <xf numFmtId="0" fontId="51" fillId="41" borderId="35" xfId="0" applyFont="1" applyFill="1" applyBorder="1" applyAlignment="1">
      <alignment horizontal="center"/>
    </xf>
    <xf numFmtId="0" fontId="51" fillId="41" borderId="37" xfId="0" applyFont="1" applyFill="1" applyBorder="1" applyAlignment="1">
      <alignment/>
    </xf>
    <xf numFmtId="0" fontId="51" fillId="41" borderId="38" xfId="0" applyFont="1" applyFill="1" applyBorder="1" applyAlignment="1">
      <alignment horizontal="center"/>
    </xf>
    <xf numFmtId="0" fontId="51" fillId="41" borderId="17" xfId="0" applyFont="1" applyFill="1" applyBorder="1" applyAlignment="1">
      <alignment/>
    </xf>
    <xf numFmtId="168" fontId="51" fillId="41" borderId="38" xfId="0" applyNumberFormat="1" applyFont="1" applyFill="1" applyBorder="1" applyAlignment="1" applyProtection="1" quotePrefix="1">
      <alignment horizontal="center"/>
      <protection/>
    </xf>
    <xf numFmtId="168" fontId="51" fillId="41" borderId="20" xfId="0" applyNumberFormat="1" applyFont="1" applyFill="1" applyBorder="1" applyAlignment="1" applyProtection="1" quotePrefix="1">
      <alignment horizontal="center"/>
      <protection/>
    </xf>
    <xf numFmtId="7" fontId="51" fillId="41" borderId="29" xfId="0" applyNumberFormat="1" applyFont="1" applyFill="1" applyBorder="1" applyAlignment="1">
      <alignment horizontal="center"/>
    </xf>
    <xf numFmtId="0" fontId="52" fillId="34" borderId="31" xfId="0" applyFont="1" applyFill="1" applyBorder="1" applyAlignment="1" applyProtection="1">
      <alignment horizontal="centerContinuous" vertical="center" wrapText="1"/>
      <protection/>
    </xf>
    <xf numFmtId="0" fontId="52" fillId="34" borderId="32" xfId="0" applyFont="1" applyFill="1" applyBorder="1" applyAlignment="1">
      <alignment horizontal="centerContinuous" vertical="center"/>
    </xf>
    <xf numFmtId="0" fontId="51" fillId="34" borderId="35" xfId="0" applyFont="1" applyFill="1" applyBorder="1" applyAlignment="1">
      <alignment horizontal="center"/>
    </xf>
    <xf numFmtId="0" fontId="51" fillId="34" borderId="37" xfId="0" applyFont="1" applyFill="1" applyBorder="1" applyAlignment="1">
      <alignment/>
    </xf>
    <xf numFmtId="0" fontId="51" fillId="34" borderId="38" xfId="0" applyFont="1" applyFill="1" applyBorder="1" applyAlignment="1">
      <alignment horizontal="center"/>
    </xf>
    <xf numFmtId="0" fontId="51" fillId="34" borderId="17" xfId="0" applyFont="1" applyFill="1" applyBorder="1" applyAlignment="1">
      <alignment/>
    </xf>
    <xf numFmtId="168" fontId="51" fillId="34" borderId="38" xfId="0" applyNumberFormat="1" applyFont="1" applyFill="1" applyBorder="1" applyAlignment="1" applyProtection="1" quotePrefix="1">
      <alignment horizontal="center"/>
      <protection/>
    </xf>
    <xf numFmtId="168" fontId="51" fillId="34" borderId="20" xfId="0" applyNumberFormat="1" applyFont="1" applyFill="1" applyBorder="1" applyAlignment="1" applyProtection="1" quotePrefix="1">
      <alignment horizontal="center"/>
      <protection/>
    </xf>
    <xf numFmtId="7" fontId="51" fillId="34" borderId="29" xfId="0" applyNumberFormat="1" applyFont="1" applyFill="1" applyBorder="1" applyAlignment="1">
      <alignment horizontal="center"/>
    </xf>
    <xf numFmtId="0" fontId="48" fillId="36" borderId="29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/>
    </xf>
    <xf numFmtId="0" fontId="49" fillId="36" borderId="13" xfId="0" applyFont="1" applyFill="1" applyBorder="1" applyAlignment="1">
      <alignment/>
    </xf>
    <xf numFmtId="168" fontId="49" fillId="36" borderId="13" xfId="0" applyNumberFormat="1" applyFont="1" applyFill="1" applyBorder="1" applyAlignment="1" applyProtection="1" quotePrefix="1">
      <alignment horizontal="center"/>
      <protection/>
    </xf>
    <xf numFmtId="0" fontId="49" fillId="36" borderId="14" xfId="0" applyFont="1" applyFill="1" applyBorder="1" applyAlignment="1">
      <alignment/>
    </xf>
    <xf numFmtId="7" fontId="49" fillId="36" borderId="29" xfId="0" applyNumberFormat="1" applyFont="1" applyFill="1" applyBorder="1" applyAlignment="1">
      <alignment horizontal="center"/>
    </xf>
    <xf numFmtId="0" fontId="27" fillId="37" borderId="29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/>
    </xf>
    <xf numFmtId="0" fontId="56" fillId="37" borderId="13" xfId="0" applyFont="1" applyFill="1" applyBorder="1" applyAlignment="1">
      <alignment/>
    </xf>
    <xf numFmtId="168" fontId="56" fillId="37" borderId="13" xfId="0" applyNumberFormat="1" applyFont="1" applyFill="1" applyBorder="1" applyAlignment="1" applyProtection="1" quotePrefix="1">
      <alignment horizontal="center"/>
      <protection/>
    </xf>
    <xf numFmtId="0" fontId="56" fillId="37" borderId="14" xfId="0" applyFont="1" applyFill="1" applyBorder="1" applyAlignment="1">
      <alignment/>
    </xf>
    <xf numFmtId="7" fontId="56" fillId="37" borderId="29" xfId="0" applyNumberFormat="1" applyFont="1" applyFill="1" applyBorder="1" applyAlignment="1">
      <alignment horizontal="center"/>
    </xf>
    <xf numFmtId="0" fontId="51" fillId="41" borderId="40" xfId="0" applyFont="1" applyFill="1" applyBorder="1" applyAlignment="1">
      <alignment/>
    </xf>
    <xf numFmtId="0" fontId="51" fillId="41" borderId="41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2" fillId="37" borderId="29" xfId="0" applyFont="1" applyFill="1" applyBorder="1" applyAlignment="1" applyProtection="1">
      <alignment horizontal="center" vertical="center"/>
      <protection/>
    </xf>
    <xf numFmtId="164" fontId="51" fillId="37" borderId="13" xfId="0" applyNumberFormat="1" applyFont="1" applyFill="1" applyBorder="1" applyAlignment="1" applyProtection="1">
      <alignment horizontal="center"/>
      <protection/>
    </xf>
    <xf numFmtId="168" fontId="7" fillId="0" borderId="37" xfId="0" applyNumberFormat="1" applyFont="1" applyFill="1" applyBorder="1" applyAlignment="1" applyProtection="1">
      <alignment horizontal="center"/>
      <protection/>
    </xf>
    <xf numFmtId="164" fontId="51" fillId="37" borderId="16" xfId="0" applyNumberFormat="1" applyFont="1" applyFill="1" applyBorder="1" applyAlignment="1" applyProtection="1">
      <alignment horizontal="center"/>
      <protection/>
    </xf>
    <xf numFmtId="168" fontId="10" fillId="0" borderId="16" xfId="0" applyNumberFormat="1" applyFont="1" applyFill="1" applyBorder="1" applyAlignment="1">
      <alignment horizontal="center"/>
    </xf>
    <xf numFmtId="2" fontId="56" fillId="36" borderId="16" xfId="0" applyNumberFormat="1" applyFont="1" applyFill="1" applyBorder="1" applyAlignment="1">
      <alignment horizontal="center"/>
    </xf>
    <xf numFmtId="2" fontId="56" fillId="36" borderId="13" xfId="0" applyNumberFormat="1" applyFont="1" applyFill="1" applyBorder="1" applyAlignment="1">
      <alignment horizontal="center"/>
    </xf>
    <xf numFmtId="168" fontId="51" fillId="34" borderId="35" xfId="0" applyNumberFormat="1" applyFont="1" applyFill="1" applyBorder="1" applyAlignment="1" applyProtection="1" quotePrefix="1">
      <alignment horizontal="center"/>
      <protection/>
    </xf>
    <xf numFmtId="168" fontId="51" fillId="34" borderId="42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52" fillId="39" borderId="29" xfId="0" applyFont="1" applyFill="1" applyBorder="1" applyAlignment="1" applyProtection="1">
      <alignment horizontal="centerContinuous" vertical="center" wrapText="1"/>
      <protection/>
    </xf>
    <xf numFmtId="168" fontId="51" fillId="39" borderId="16" xfId="0" applyNumberFormat="1" applyFont="1" applyFill="1" applyBorder="1" applyAlignment="1" applyProtection="1" quotePrefix="1">
      <alignment horizontal="center"/>
      <protection/>
    </xf>
    <xf numFmtId="168" fontId="51" fillId="39" borderId="13" xfId="0" applyNumberFormat="1" applyFont="1" applyFill="1" applyBorder="1" applyAlignment="1" applyProtection="1" quotePrefix="1">
      <alignment horizontal="center"/>
      <protection/>
    </xf>
    <xf numFmtId="2" fontId="56" fillId="36" borderId="29" xfId="0" applyNumberFormat="1" applyFont="1" applyFill="1" applyBorder="1" applyAlignment="1">
      <alignment horizontal="center"/>
    </xf>
    <xf numFmtId="2" fontId="51" fillId="39" borderId="29" xfId="0" applyNumberFormat="1" applyFont="1" applyFill="1" applyBorder="1" applyAlignment="1">
      <alignment horizontal="center"/>
    </xf>
    <xf numFmtId="0" fontId="58" fillId="33" borderId="16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68" fontId="59" fillId="33" borderId="13" xfId="0" applyNumberFormat="1" applyFont="1" applyFill="1" applyBorder="1" applyAlignment="1" applyProtection="1">
      <alignment horizontal="center"/>
      <protection/>
    </xf>
    <xf numFmtId="168" fontId="59" fillId="33" borderId="14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>
      <alignment/>
    </xf>
    <xf numFmtId="172" fontId="7" fillId="0" borderId="13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7" fillId="0" borderId="22" xfId="0" applyFont="1" applyBorder="1" applyAlignment="1">
      <alignment/>
    </xf>
    <xf numFmtId="0" fontId="0" fillId="0" borderId="27" xfId="0" applyBorder="1" applyAlignment="1">
      <alignment horizontal="center"/>
    </xf>
    <xf numFmtId="7" fontId="0" fillId="0" borderId="16" xfId="0" applyNumberFormat="1" applyBorder="1" applyAlignment="1">
      <alignment/>
    </xf>
    <xf numFmtId="7" fontId="10" fillId="0" borderId="16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3" xfId="0" applyFont="1" applyBorder="1" applyAlignment="1" applyProtection="1">
      <alignment horizontal="left"/>
      <protection/>
    </xf>
    <xf numFmtId="0" fontId="10" fillId="0" borderId="44" xfId="0" applyFont="1" applyFill="1" applyBorder="1" applyAlignment="1">
      <alignment/>
    </xf>
    <xf numFmtId="0" fontId="10" fillId="0" borderId="45" xfId="0" applyFont="1" applyBorder="1" applyAlignment="1" applyProtection="1">
      <alignment horizontal="right"/>
      <protection/>
    </xf>
    <xf numFmtId="173" fontId="1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10" fillId="0" borderId="48" xfId="0" applyFont="1" applyFill="1" applyBorder="1" applyAlignment="1">
      <alignment/>
    </xf>
    <xf numFmtId="168" fontId="10" fillId="0" borderId="49" xfId="0" applyNumberFormat="1" applyFont="1" applyBorder="1" applyAlignment="1" applyProtection="1">
      <alignment horizontal="right"/>
      <protection/>
    </xf>
    <xf numFmtId="171" fontId="10" fillId="0" borderId="5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2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2" fontId="10" fillId="0" borderId="54" xfId="0" applyNumberFormat="1" applyFont="1" applyBorder="1" applyAlignment="1" applyProtection="1">
      <alignment horizontal="center"/>
      <protection/>
    </xf>
    <xf numFmtId="168" fontId="10" fillId="0" borderId="54" xfId="0" applyNumberFormat="1" applyFont="1" applyBorder="1" applyAlignment="1" applyProtection="1">
      <alignment horizontal="center"/>
      <protection/>
    </xf>
    <xf numFmtId="7" fontId="19" fillId="0" borderId="55" xfId="0" applyNumberFormat="1" applyFont="1" applyBorder="1" applyAlignment="1">
      <alignment horizontal="center"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2" fontId="10" fillId="0" borderId="52" xfId="0" applyNumberFormat="1" applyFont="1" applyBorder="1" applyAlignment="1" applyProtection="1">
      <alignment horizontal="center"/>
      <protection/>
    </xf>
    <xf numFmtId="168" fontId="10" fillId="0" borderId="52" xfId="0" applyNumberFormat="1" applyFont="1" applyBorder="1" applyAlignment="1" applyProtection="1">
      <alignment horizontal="center"/>
      <protection/>
    </xf>
    <xf numFmtId="7" fontId="10" fillId="0" borderId="52" xfId="0" applyNumberFormat="1" applyFont="1" applyBorder="1" applyAlignment="1" applyProtection="1">
      <alignment horizontal="center"/>
      <protection/>
    </xf>
    <xf numFmtId="7" fontId="10" fillId="0" borderId="52" xfId="0" applyNumberFormat="1" applyFont="1" applyBorder="1" applyAlignment="1" applyProtection="1">
      <alignment horizontal="centerContinuous"/>
      <protection/>
    </xf>
    <xf numFmtId="0" fontId="10" fillId="0" borderId="52" xfId="0" applyFont="1" applyBorder="1" applyAlignment="1" applyProtection="1">
      <alignment horizontal="centerContinuous"/>
      <protection/>
    </xf>
    <xf numFmtId="0" fontId="10" fillId="0" borderId="52" xfId="0" applyFont="1" applyBorder="1" applyAlignment="1" applyProtection="1">
      <alignment horizontal="right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0" fontId="0" fillId="0" borderId="53" xfId="0" applyBorder="1" applyAlignment="1">
      <alignment horizontal="centerContinuous"/>
    </xf>
    <xf numFmtId="0" fontId="10" fillId="0" borderId="54" xfId="0" applyFont="1" applyBorder="1" applyAlignment="1" applyProtection="1">
      <alignment horizontal="centerContinuous"/>
      <protection/>
    </xf>
    <xf numFmtId="0" fontId="0" fillId="0" borderId="54" xfId="0" applyBorder="1" applyAlignment="1">
      <alignment horizontal="center"/>
    </xf>
    <xf numFmtId="168" fontId="10" fillId="0" borderId="53" xfId="0" applyNumberFormat="1" applyFont="1" applyBorder="1" applyAlignment="1" applyProtection="1">
      <alignment horizontal="centerContinuous"/>
      <protection/>
    </xf>
    <xf numFmtId="2" fontId="22" fillId="0" borderId="61" xfId="0" applyNumberFormat="1" applyFont="1" applyBorder="1" applyAlignment="1">
      <alignment horizontal="centerContinuous"/>
    </xf>
    <xf numFmtId="7" fontId="10" fillId="0" borderId="56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2" fontId="22" fillId="0" borderId="62" xfId="0" applyNumberFormat="1" applyFont="1" applyBorder="1" applyAlignment="1">
      <alignment horizontal="centerContinuous"/>
    </xf>
    <xf numFmtId="0" fontId="10" fillId="0" borderId="63" xfId="0" applyFont="1" applyBorder="1" applyAlignment="1" applyProtection="1">
      <alignment horizontal="center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63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52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39" xfId="0" applyNumberFormat="1" applyFont="1" applyBorder="1" applyAlignment="1">
      <alignment horizontal="centerContinuous"/>
    </xf>
    <xf numFmtId="7" fontId="10" fillId="0" borderId="53" xfId="0" applyNumberFormat="1" applyFont="1" applyBorder="1" applyAlignment="1" applyProtection="1">
      <alignment horizontal="centerContinuous"/>
      <protection/>
    </xf>
    <xf numFmtId="5" fontId="8" fillId="0" borderId="31" xfId="0" applyNumberFormat="1" applyFont="1" applyBorder="1" applyAlignment="1" applyProtection="1">
      <alignment horizontal="center"/>
      <protection/>
    </xf>
    <xf numFmtId="7" fontId="8" fillId="0" borderId="3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3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4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62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52" xfId="0" applyNumberFormat="1" applyFont="1" applyBorder="1" applyAlignment="1" applyProtection="1">
      <alignment horizontal="centerContinuous"/>
      <protection/>
    </xf>
    <xf numFmtId="2" fontId="10" fillId="0" borderId="39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31" xfId="0" applyFont="1" applyBorder="1" applyAlignment="1" applyProtection="1">
      <alignment horizontal="center" vertical="center"/>
      <protection/>
    </xf>
    <xf numFmtId="173" fontId="0" fillId="0" borderId="31" xfId="0" applyNumberFormat="1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2" fontId="7" fillId="0" borderId="67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51" fillId="34" borderId="14" xfId="0" applyNumberFormat="1" applyFont="1" applyFill="1" applyBorder="1" applyAlignment="1" applyProtection="1" quotePrefix="1">
      <alignment horizontal="center"/>
      <protection locked="0"/>
    </xf>
    <xf numFmtId="168" fontId="51" fillId="35" borderId="14" xfId="0" applyNumberFormat="1" applyFont="1" applyFill="1" applyBorder="1" applyAlignment="1" applyProtection="1" quotePrefix="1">
      <alignment horizontal="center"/>
      <protection locked="0"/>
    </xf>
    <xf numFmtId="168" fontId="56" fillId="36" borderId="40" xfId="0" applyNumberFormat="1" applyFont="1" applyFill="1" applyBorder="1" applyAlignment="1" applyProtection="1" quotePrefix="1">
      <alignment horizontal="center"/>
      <protection locked="0"/>
    </xf>
    <xf numFmtId="4" fontId="56" fillId="36" borderId="70" xfId="0" applyNumberFormat="1" applyFont="1" applyFill="1" applyBorder="1" applyAlignment="1" applyProtection="1">
      <alignment horizontal="center"/>
      <protection locked="0"/>
    </xf>
    <xf numFmtId="4" fontId="56" fillId="36" borderId="71" xfId="0" applyNumberFormat="1" applyFont="1" applyFill="1" applyBorder="1" applyAlignment="1" applyProtection="1">
      <alignment horizontal="center"/>
      <protection locked="0"/>
    </xf>
    <xf numFmtId="168" fontId="56" fillId="37" borderId="40" xfId="0" applyNumberFormat="1" applyFont="1" applyFill="1" applyBorder="1" applyAlignment="1" applyProtection="1" quotePrefix="1">
      <alignment horizontal="center"/>
      <protection locked="0"/>
    </xf>
    <xf numFmtId="4" fontId="56" fillId="37" borderId="70" xfId="0" applyNumberFormat="1" applyFont="1" applyFill="1" applyBorder="1" applyAlignment="1" applyProtection="1">
      <alignment horizontal="center"/>
      <protection locked="0"/>
    </xf>
    <xf numFmtId="4" fontId="56" fillId="37" borderId="71" xfId="0" applyNumberFormat="1" applyFont="1" applyFill="1" applyBorder="1" applyAlignment="1" applyProtection="1">
      <alignment horizontal="center"/>
      <protection locked="0"/>
    </xf>
    <xf numFmtId="4" fontId="56" fillId="38" borderId="14" xfId="0" applyNumberFormat="1" applyFont="1" applyFill="1" applyBorder="1" applyAlignment="1" applyProtection="1">
      <alignment horizontal="center"/>
      <protection locked="0"/>
    </xf>
    <xf numFmtId="4" fontId="51" fillId="39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53" fillId="34" borderId="13" xfId="0" applyFont="1" applyFill="1" applyBorder="1" applyAlignment="1" applyProtection="1">
      <alignment/>
      <protection locked="0"/>
    </xf>
    <xf numFmtId="0" fontId="53" fillId="35" borderId="13" xfId="0" applyFont="1" applyFill="1" applyBorder="1" applyAlignment="1" applyProtection="1">
      <alignment/>
      <protection locked="0"/>
    </xf>
    <xf numFmtId="0" fontId="55" fillId="36" borderId="38" xfId="0" applyFont="1" applyFill="1" applyBorder="1" applyAlignment="1" applyProtection="1">
      <alignment horizontal="center"/>
      <protection locked="0"/>
    </xf>
    <xf numFmtId="0" fontId="55" fillId="36" borderId="39" xfId="0" applyFont="1" applyFill="1" applyBorder="1" applyAlignment="1" applyProtection="1">
      <alignment/>
      <protection locked="0"/>
    </xf>
    <xf numFmtId="0" fontId="55" fillId="36" borderId="17" xfId="0" applyFont="1" applyFill="1" applyBorder="1" applyAlignment="1" applyProtection="1">
      <alignment/>
      <protection locked="0"/>
    </xf>
    <xf numFmtId="0" fontId="55" fillId="37" borderId="38" xfId="0" applyFont="1" applyFill="1" applyBorder="1" applyAlignment="1" applyProtection="1">
      <alignment horizontal="center"/>
      <protection locked="0"/>
    </xf>
    <xf numFmtId="0" fontId="55" fillId="37" borderId="39" xfId="0" applyFont="1" applyFill="1" applyBorder="1" applyAlignment="1" applyProtection="1">
      <alignment/>
      <protection locked="0"/>
    </xf>
    <xf numFmtId="0" fontId="55" fillId="37" borderId="17" xfId="0" applyFont="1" applyFill="1" applyBorder="1" applyAlignment="1" applyProtection="1">
      <alignment/>
      <protection locked="0"/>
    </xf>
    <xf numFmtId="0" fontId="55" fillId="38" borderId="13" xfId="0" applyFont="1" applyFill="1" applyBorder="1" applyAlignment="1" applyProtection="1">
      <alignment/>
      <protection locked="0"/>
    </xf>
    <xf numFmtId="0" fontId="53" fillId="39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7" fillId="38" borderId="29" xfId="0" applyFont="1" applyFill="1" applyBorder="1" applyAlignment="1" applyProtection="1">
      <alignment horizontal="center" vertical="center" wrapText="1"/>
      <protection/>
    </xf>
    <xf numFmtId="0" fontId="27" fillId="40" borderId="29" xfId="0" applyFont="1" applyFill="1" applyBorder="1" applyAlignment="1" applyProtection="1">
      <alignment horizontal="center" vertical="center" wrapText="1"/>
      <protection/>
    </xf>
    <xf numFmtId="0" fontId="52" fillId="41" borderId="32" xfId="0" applyFont="1" applyFill="1" applyBorder="1" applyAlignment="1" applyProtection="1">
      <alignment horizontal="centerContinuous" vertical="center"/>
      <protection/>
    </xf>
    <xf numFmtId="0" fontId="52" fillId="34" borderId="32" xfId="0" applyFont="1" applyFill="1" applyBorder="1" applyAlignment="1" applyProtection="1">
      <alignment horizontal="centerContinuous" vertical="center"/>
      <protection/>
    </xf>
    <xf numFmtId="0" fontId="48" fillId="36" borderId="29" xfId="0" applyFont="1" applyFill="1" applyBorder="1" applyAlignment="1" applyProtection="1">
      <alignment horizontal="center" vertical="center" wrapText="1"/>
      <protection/>
    </xf>
    <xf numFmtId="0" fontId="27" fillId="37" borderId="2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51" fillId="39" borderId="16" xfId="0" applyFont="1" applyFill="1" applyBorder="1" applyAlignment="1" applyProtection="1">
      <alignment/>
      <protection/>
    </xf>
    <xf numFmtId="0" fontId="56" fillId="38" borderId="16" xfId="0" applyFont="1" applyFill="1" applyBorder="1" applyAlignment="1" applyProtection="1">
      <alignment/>
      <protection/>
    </xf>
    <xf numFmtId="0" fontId="56" fillId="40" borderId="16" xfId="0" applyFont="1" applyFill="1" applyBorder="1" applyAlignment="1" applyProtection="1">
      <alignment/>
      <protection/>
    </xf>
    <xf numFmtId="0" fontId="51" fillId="41" borderId="35" xfId="0" applyFont="1" applyFill="1" applyBorder="1" applyAlignment="1" applyProtection="1">
      <alignment horizontal="center"/>
      <protection/>
    </xf>
    <xf numFmtId="0" fontId="51" fillId="41" borderId="37" xfId="0" applyFont="1" applyFill="1" applyBorder="1" applyAlignment="1" applyProtection="1">
      <alignment/>
      <protection/>
    </xf>
    <xf numFmtId="0" fontId="51" fillId="34" borderId="35" xfId="0" applyFont="1" applyFill="1" applyBorder="1" applyAlignment="1" applyProtection="1">
      <alignment horizontal="center"/>
      <protection/>
    </xf>
    <xf numFmtId="0" fontId="51" fillId="34" borderId="37" xfId="0" applyFont="1" applyFill="1" applyBorder="1" applyAlignment="1" applyProtection="1">
      <alignment/>
      <protection/>
    </xf>
    <xf numFmtId="0" fontId="49" fillId="36" borderId="16" xfId="0" applyFont="1" applyFill="1" applyBorder="1" applyAlignment="1" applyProtection="1">
      <alignment/>
      <protection/>
    </xf>
    <xf numFmtId="0" fontId="56" fillId="37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 applyProtection="1">
      <alignment/>
      <protection/>
    </xf>
    <xf numFmtId="0" fontId="56" fillId="38" borderId="13" xfId="0" applyFont="1" applyFill="1" applyBorder="1" applyAlignment="1" applyProtection="1">
      <alignment/>
      <protection/>
    </xf>
    <xf numFmtId="0" fontId="56" fillId="40" borderId="13" xfId="0" applyFont="1" applyFill="1" applyBorder="1" applyAlignment="1" applyProtection="1">
      <alignment/>
      <protection/>
    </xf>
    <xf numFmtId="0" fontId="51" fillId="41" borderId="38" xfId="0" applyFont="1" applyFill="1" applyBorder="1" applyAlignment="1" applyProtection="1">
      <alignment horizontal="center"/>
      <protection/>
    </xf>
    <xf numFmtId="0" fontId="51" fillId="41" borderId="17" xfId="0" applyFont="1" applyFill="1" applyBorder="1" applyAlignment="1" applyProtection="1">
      <alignment/>
      <protection/>
    </xf>
    <xf numFmtId="0" fontId="51" fillId="34" borderId="38" xfId="0" applyFont="1" applyFill="1" applyBorder="1" applyAlignment="1" applyProtection="1">
      <alignment horizontal="center"/>
      <protection/>
    </xf>
    <xf numFmtId="0" fontId="51" fillId="34" borderId="17" xfId="0" applyFont="1" applyFill="1" applyBorder="1" applyAlignment="1" applyProtection="1">
      <alignment/>
      <protection/>
    </xf>
    <xf numFmtId="0" fontId="49" fillId="36" borderId="13" xfId="0" applyFont="1" applyFill="1" applyBorder="1" applyAlignment="1" applyProtection="1">
      <alignment/>
      <protection/>
    </xf>
    <xf numFmtId="0" fontId="56" fillId="37" borderId="13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168" fontId="10" fillId="0" borderId="17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38" fillId="0" borderId="33" xfId="0" applyFont="1" applyBorder="1" applyAlignment="1" applyProtection="1">
      <alignment horizontal="center"/>
      <protection/>
    </xf>
    <xf numFmtId="7" fontId="56" fillId="38" borderId="29" xfId="0" applyNumberFormat="1" applyFont="1" applyFill="1" applyBorder="1" applyAlignment="1" applyProtection="1">
      <alignment horizontal="center"/>
      <protection/>
    </xf>
    <xf numFmtId="7" fontId="56" fillId="40" borderId="29" xfId="0" applyNumberFormat="1" applyFont="1" applyFill="1" applyBorder="1" applyAlignment="1" applyProtection="1">
      <alignment horizontal="center"/>
      <protection/>
    </xf>
    <xf numFmtId="7" fontId="51" fillId="41" borderId="29" xfId="0" applyNumberFormat="1" applyFont="1" applyFill="1" applyBorder="1" applyAlignment="1" applyProtection="1">
      <alignment horizontal="center"/>
      <protection/>
    </xf>
    <xf numFmtId="7" fontId="51" fillId="34" borderId="29" xfId="0" applyNumberFormat="1" applyFont="1" applyFill="1" applyBorder="1" applyAlignment="1" applyProtection="1">
      <alignment horizontal="center"/>
      <protection/>
    </xf>
    <xf numFmtId="7" fontId="49" fillId="36" borderId="29" xfId="0" applyNumberFormat="1" applyFont="1" applyFill="1" applyBorder="1" applyAlignment="1" applyProtection="1">
      <alignment horizontal="center"/>
      <protection/>
    </xf>
    <xf numFmtId="7" fontId="56" fillId="37" borderId="29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7" fontId="11" fillId="0" borderId="29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2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165" fontId="7" fillId="0" borderId="19" xfId="0" applyNumberFormat="1" applyFont="1" applyBorder="1" applyAlignment="1" applyProtection="1" quotePrefix="1">
      <alignment horizontal="center"/>
      <protection locked="0"/>
    </xf>
    <xf numFmtId="2" fontId="7" fillId="0" borderId="19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51" fillId="39" borderId="14" xfId="0" applyFont="1" applyFill="1" applyBorder="1" applyAlignment="1" applyProtection="1">
      <alignment/>
      <protection locked="0"/>
    </xf>
    <xf numFmtId="0" fontId="56" fillId="38" borderId="14" xfId="0" applyFont="1" applyFill="1" applyBorder="1" applyAlignment="1" applyProtection="1">
      <alignment/>
      <protection locked="0"/>
    </xf>
    <xf numFmtId="0" fontId="56" fillId="40" borderId="14" xfId="0" applyFont="1" applyFill="1" applyBorder="1" applyAlignment="1" applyProtection="1">
      <alignment/>
      <protection locked="0"/>
    </xf>
    <xf numFmtId="0" fontId="51" fillId="41" borderId="40" xfId="0" applyFont="1" applyFill="1" applyBorder="1" applyAlignment="1" applyProtection="1">
      <alignment/>
      <protection locked="0"/>
    </xf>
    <xf numFmtId="0" fontId="51" fillId="41" borderId="41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51" fillId="34" borderId="41" xfId="0" applyFont="1" applyFill="1" applyBorder="1" applyAlignment="1" applyProtection="1">
      <alignment/>
      <protection locked="0"/>
    </xf>
    <xf numFmtId="0" fontId="49" fillId="36" borderId="14" xfId="0" applyFont="1" applyFill="1" applyBorder="1" applyAlignment="1" applyProtection="1">
      <alignment/>
      <protection locked="0"/>
    </xf>
    <xf numFmtId="0" fontId="56" fillId="37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22" fontId="7" fillId="0" borderId="20" xfId="0" applyNumberFormat="1" applyFont="1" applyFill="1" applyBorder="1" applyAlignment="1" applyProtection="1">
      <alignment horizontal="center"/>
      <protection locked="0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51" fillId="37" borderId="14" xfId="0" applyFont="1" applyFill="1" applyBorder="1" applyAlignment="1" applyProtection="1">
      <alignment/>
      <protection locked="0"/>
    </xf>
    <xf numFmtId="0" fontId="56" fillId="36" borderId="14" xfId="0" applyFont="1" applyFill="1" applyBorder="1" applyAlignment="1" applyProtection="1">
      <alignment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8" fontId="11" fillId="0" borderId="54" xfId="0" applyNumberFormat="1" applyFont="1" applyBorder="1" applyAlignment="1" applyProtection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left"/>
      <protection/>
    </xf>
    <xf numFmtId="168" fontId="63" fillId="0" borderId="57" xfId="0" applyNumberFormat="1" applyFont="1" applyBorder="1" applyAlignment="1" applyProtection="1" quotePrefix="1">
      <alignment horizontal="left"/>
      <protection/>
    </xf>
    <xf numFmtId="168" fontId="63" fillId="0" borderId="52" xfId="0" applyNumberFormat="1" applyFont="1" applyBorder="1" applyAlignment="1" applyProtection="1" quotePrefix="1">
      <alignment horizontal="left"/>
      <protection/>
    </xf>
    <xf numFmtId="168" fontId="11" fillId="0" borderId="54" xfId="0" applyNumberFormat="1" applyFont="1" applyBorder="1" applyAlignment="1" applyProtection="1">
      <alignment horizontal="left"/>
      <protection/>
    </xf>
    <xf numFmtId="177" fontId="11" fillId="0" borderId="54" xfId="0" applyNumberFormat="1" applyFont="1" applyBorder="1" applyAlignment="1" applyProtection="1">
      <alignment horizontal="right"/>
      <protection/>
    </xf>
    <xf numFmtId="177" fontId="11" fillId="0" borderId="55" xfId="0" applyNumberFormat="1" applyFont="1" applyBorder="1" applyAlignment="1" applyProtection="1">
      <alignment horizontal="right"/>
      <protection/>
    </xf>
    <xf numFmtId="7" fontId="30" fillId="0" borderId="56" xfId="0" applyNumberFormat="1" applyFont="1" applyBorder="1" applyAlignment="1">
      <alignment horizontal="left"/>
    </xf>
    <xf numFmtId="0" fontId="30" fillId="0" borderId="57" xfId="0" applyFont="1" applyBorder="1" applyAlignment="1" applyProtection="1">
      <alignment horizontal="centerContinuous"/>
      <protection/>
    </xf>
    <xf numFmtId="168" fontId="30" fillId="0" borderId="57" xfId="0" applyNumberFormat="1" applyFont="1" applyBorder="1" applyAlignment="1" applyProtection="1">
      <alignment horizontal="left"/>
      <protection/>
    </xf>
    <xf numFmtId="7" fontId="30" fillId="0" borderId="63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59" xfId="0" applyNumberFormat="1" applyFont="1" applyBorder="1" applyAlignment="1">
      <alignment horizontal="left"/>
    </xf>
    <xf numFmtId="0" fontId="30" fillId="0" borderId="52" xfId="0" applyFont="1" applyBorder="1" applyAlignment="1" applyProtection="1">
      <alignment horizontal="centerContinuous"/>
      <protection/>
    </xf>
    <xf numFmtId="168" fontId="30" fillId="0" borderId="52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9" xfId="51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2" fontId="51" fillId="34" borderId="13" xfId="0" applyNumberFormat="1" applyFont="1" applyFill="1" applyBorder="1" applyAlignment="1" applyProtection="1">
      <alignment horizontal="center"/>
      <protection/>
    </xf>
    <xf numFmtId="2" fontId="51" fillId="35" borderId="13" xfId="0" applyNumberFormat="1" applyFont="1" applyFill="1" applyBorder="1" applyAlignment="1" applyProtection="1">
      <alignment horizontal="center"/>
      <protection/>
    </xf>
    <xf numFmtId="168" fontId="56" fillId="36" borderId="38" xfId="0" applyNumberFormat="1" applyFont="1" applyFill="1" applyBorder="1" applyAlignment="1" applyProtection="1" quotePrefix="1">
      <alignment horizontal="center"/>
      <protection/>
    </xf>
    <xf numFmtId="168" fontId="56" fillId="36" borderId="39" xfId="0" applyNumberFormat="1" applyFont="1" applyFill="1" applyBorder="1" applyAlignment="1" applyProtection="1" quotePrefix="1">
      <alignment horizontal="center"/>
      <protection/>
    </xf>
    <xf numFmtId="4" fontId="56" fillId="36" borderId="17" xfId="0" applyNumberFormat="1" applyFont="1" applyFill="1" applyBorder="1" applyAlignment="1" applyProtection="1">
      <alignment horizontal="center"/>
      <protection/>
    </xf>
    <xf numFmtId="168" fontId="56" fillId="37" borderId="38" xfId="0" applyNumberFormat="1" applyFont="1" applyFill="1" applyBorder="1" applyAlignment="1" applyProtection="1" quotePrefix="1">
      <alignment horizontal="center"/>
      <protection/>
    </xf>
    <xf numFmtId="168" fontId="56" fillId="37" borderId="39" xfId="0" applyNumberFormat="1" applyFont="1" applyFill="1" applyBorder="1" applyAlignment="1" applyProtection="1" quotePrefix="1">
      <alignment horizontal="center"/>
      <protection/>
    </xf>
    <xf numFmtId="4" fontId="56" fillId="37" borderId="17" xfId="0" applyNumberFormat="1" applyFont="1" applyFill="1" applyBorder="1" applyAlignment="1" applyProtection="1">
      <alignment horizontal="center"/>
      <protection/>
    </xf>
    <xf numFmtId="4" fontId="56" fillId="38" borderId="13" xfId="0" applyNumberFormat="1" applyFont="1" applyFill="1" applyBorder="1" applyAlignment="1" applyProtection="1">
      <alignment horizontal="center"/>
      <protection/>
    </xf>
    <xf numFmtId="4" fontId="51" fillId="39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Fill="1" applyBorder="1" applyAlignment="1" applyProtection="1" quotePrefix="1">
      <alignment horizontal="center"/>
      <protection/>
    </xf>
    <xf numFmtId="2" fontId="56" fillId="38" borderId="13" xfId="0" applyNumberFormat="1" applyFont="1" applyFill="1" applyBorder="1" applyAlignment="1" applyProtection="1">
      <alignment horizontal="center"/>
      <protection/>
    </xf>
    <xf numFmtId="2" fontId="56" fillId="40" borderId="13" xfId="0" applyNumberFormat="1" applyFont="1" applyFill="1" applyBorder="1" applyAlignment="1" applyProtection="1">
      <alignment horizontal="center"/>
      <protection/>
    </xf>
    <xf numFmtId="2" fontId="56" fillId="36" borderId="13" xfId="0" applyNumberFormat="1" applyFont="1" applyFill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72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72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7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73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8" fillId="0" borderId="22" xfId="0" applyFont="1" applyBorder="1" applyAlignment="1">
      <alignment/>
    </xf>
    <xf numFmtId="0" fontId="0" fillId="0" borderId="23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72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42" borderId="68" xfId="0" applyFont="1" applyFill="1" applyBorder="1" applyAlignment="1">
      <alignment horizontal="centerContinuous" vertical="center"/>
    </xf>
    <xf numFmtId="0" fontId="79" fillId="42" borderId="73" xfId="0" applyFont="1" applyFill="1" applyBorder="1" applyAlignment="1" applyProtection="1">
      <alignment horizontal="centerContinuous" vertical="center"/>
      <protection/>
    </xf>
    <xf numFmtId="0" fontId="79" fillId="42" borderId="73" xfId="0" applyFont="1" applyFill="1" applyBorder="1" applyAlignment="1" applyProtection="1">
      <alignment horizontal="centerContinuous" vertical="center" wrapText="1"/>
      <protection/>
    </xf>
    <xf numFmtId="168" fontId="79" fillId="42" borderId="29" xfId="0" applyNumberFormat="1" applyFont="1" applyFill="1" applyBorder="1" applyAlignment="1" applyProtection="1">
      <alignment horizontal="centerContinuous" vertical="center" wrapText="1"/>
      <protection/>
    </xf>
    <xf numFmtId="17" fontId="79" fillId="42" borderId="2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42" borderId="15" xfId="0" applyFont="1" applyFill="1" applyBorder="1" applyAlignment="1">
      <alignment/>
    </xf>
    <xf numFmtId="0" fontId="78" fillId="42" borderId="74" xfId="0" applyFont="1" applyFill="1" applyBorder="1" applyAlignment="1">
      <alignment/>
    </xf>
    <xf numFmtId="0" fontId="78" fillId="42" borderId="75" xfId="0" applyFont="1" applyFill="1" applyBorder="1" applyAlignment="1">
      <alignment/>
    </xf>
    <xf numFmtId="0" fontId="0" fillId="0" borderId="76" xfId="0" applyBorder="1" applyAlignment="1">
      <alignment/>
    </xf>
    <xf numFmtId="0" fontId="7" fillId="42" borderId="77" xfId="0" applyFont="1" applyFill="1" applyBorder="1" applyAlignment="1">
      <alignment horizontal="center"/>
    </xf>
    <xf numFmtId="0" fontId="7" fillId="42" borderId="78" xfId="0" applyFont="1" applyFill="1" applyBorder="1" applyAlignment="1" applyProtection="1">
      <alignment horizontal="center"/>
      <protection/>
    </xf>
    <xf numFmtId="2" fontId="7" fillId="42" borderId="79" xfId="0" applyNumberFormat="1" applyFont="1" applyFill="1" applyBorder="1" applyAlignment="1" applyProtection="1">
      <alignment horizontal="center"/>
      <protection/>
    </xf>
    <xf numFmtId="1" fontId="7" fillId="43" borderId="79" xfId="0" applyNumberFormat="1" applyFont="1" applyFill="1" applyBorder="1" applyAlignment="1">
      <alignment horizontal="center"/>
    </xf>
    <xf numFmtId="0" fontId="0" fillId="0" borderId="75" xfId="0" applyBorder="1" applyAlignment="1">
      <alignment/>
    </xf>
    <xf numFmtId="0" fontId="10" fillId="44" borderId="80" xfId="0" applyFont="1" applyFill="1" applyBorder="1" applyAlignment="1">
      <alignment horizontal="center"/>
    </xf>
    <xf numFmtId="0" fontId="10" fillId="44" borderId="19" xfId="0" applyFont="1" applyFill="1" applyBorder="1" applyAlignment="1">
      <alignment horizontal="center"/>
    </xf>
    <xf numFmtId="0" fontId="10" fillId="42" borderId="80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0" fontId="7" fillId="42" borderId="68" xfId="0" applyFont="1" applyFill="1" applyBorder="1" applyAlignment="1">
      <alignment horizontal="center"/>
    </xf>
    <xf numFmtId="0" fontId="7" fillId="42" borderId="81" xfId="0" applyFont="1" applyFill="1" applyBorder="1" applyAlignment="1" applyProtection="1">
      <alignment horizontal="left"/>
      <protection/>
    </xf>
    <xf numFmtId="0" fontId="7" fillId="42" borderId="81" xfId="0" applyFont="1" applyFill="1" applyBorder="1" applyAlignment="1" applyProtection="1">
      <alignment horizontal="center"/>
      <protection/>
    </xf>
    <xf numFmtId="2" fontId="7" fillId="42" borderId="69" xfId="0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right"/>
      <protection/>
    </xf>
    <xf numFmtId="168" fontId="5" fillId="0" borderId="69" xfId="0" applyNumberFormat="1" applyFont="1" applyFill="1" applyBorder="1" applyAlignment="1" applyProtection="1">
      <alignment horizontal="center"/>
      <protection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2" borderId="29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2" borderId="29" xfId="0" applyNumberFormat="1" applyFont="1" applyFill="1" applyBorder="1" applyAlignment="1">
      <alignment horizontal="center"/>
    </xf>
    <xf numFmtId="0" fontId="7" fillId="42" borderId="8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2" fontId="81" fillId="0" borderId="30" xfId="0" applyNumberFormat="1" applyFont="1" applyBorder="1" applyAlignment="1">
      <alignment horizontal="center"/>
    </xf>
    <xf numFmtId="0" fontId="80" fillId="0" borderId="24" xfId="0" applyFont="1" applyBorder="1" applyAlignment="1">
      <alignment/>
    </xf>
    <xf numFmtId="0" fontId="5" fillId="0" borderId="25" xfId="0" applyFont="1" applyBorder="1" applyAlignment="1" applyProtection="1">
      <alignment horizontal="left"/>
      <protection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3" fontId="0" fillId="0" borderId="31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1" fontId="0" fillId="0" borderId="83" xfId="0" applyNumberFormat="1" applyFont="1" applyBorder="1" applyAlignment="1" applyProtection="1">
      <alignment horizontal="center"/>
      <protection/>
    </xf>
    <xf numFmtId="171" fontId="0" fillId="0" borderId="84" xfId="0" applyNumberFormat="1" applyFont="1" applyBorder="1" applyAlignment="1" applyProtection="1">
      <alignment horizontal="center"/>
      <protection/>
    </xf>
    <xf numFmtId="171" fontId="25" fillId="0" borderId="53" xfId="0" applyNumberFormat="1" applyFont="1" applyBorder="1" applyAlignment="1">
      <alignment horizontal="center"/>
    </xf>
    <xf numFmtId="171" fontId="25" fillId="0" borderId="85" xfId="0" applyNumberFormat="1" applyFont="1" applyBorder="1" applyAlignment="1">
      <alignment horizontal="center"/>
    </xf>
    <xf numFmtId="171" fontId="25" fillId="0" borderId="86" xfId="0" applyNumberFormat="1" applyFont="1" applyBorder="1" applyAlignment="1">
      <alignment horizontal="center"/>
    </xf>
    <xf numFmtId="171" fontId="25" fillId="0" borderId="87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1</xdr:col>
      <xdr:colOff>409575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247650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191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19050</xdr:rowOff>
    </xdr:from>
    <xdr:to>
      <xdr:col>3</xdr:col>
      <xdr:colOff>161925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61912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247650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191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238125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96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T18">
            <v>2</v>
          </cell>
          <cell r="HW18">
            <v>1</v>
          </cell>
          <cell r="IB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  <cell r="IA34" t="str">
            <v>XXXX</v>
          </cell>
          <cell r="IB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  <cell r="IA35" t="str">
            <v>XXXX</v>
          </cell>
          <cell r="IB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  <cell r="IB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IB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IB49">
            <v>1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A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Q51">
            <v>2</v>
          </cell>
          <cell r="HS51">
            <v>1</v>
          </cell>
          <cell r="IB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Q52" t="str">
            <v>XXXX</v>
          </cell>
          <cell r="HR52" t="str">
            <v>XXXX</v>
          </cell>
          <cell r="HS52" t="str">
            <v>XXXX</v>
          </cell>
          <cell r="HT52" t="str">
            <v>XXXX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  <cell r="IA52" t="str">
            <v>XXXX</v>
          </cell>
          <cell r="IB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  <cell r="IB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Q58" t="str">
            <v>XXXX</v>
          </cell>
          <cell r="HR58" t="str">
            <v>XXXX</v>
          </cell>
          <cell r="HS58" t="str">
            <v>XXXX</v>
          </cell>
          <cell r="HT58" t="str">
            <v>XXXX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  <cell r="IA58" t="str">
            <v>XXXX</v>
          </cell>
          <cell r="IB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  <cell r="HQ65" t="str">
            <v>XXXX</v>
          </cell>
          <cell r="HR65" t="str">
            <v>XXXX</v>
          </cell>
          <cell r="HS65" t="str">
            <v>XXXX</v>
          </cell>
          <cell r="HT65" t="str">
            <v>XXXX</v>
          </cell>
          <cell r="HU65" t="str">
            <v>XXXX</v>
          </cell>
          <cell r="HV65" t="str">
            <v>XXXX</v>
          </cell>
          <cell r="HW65" t="str">
            <v>XXXX</v>
          </cell>
          <cell r="HX65" t="str">
            <v>XXXX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  <cell r="HQ66" t="str">
            <v>XXXX</v>
          </cell>
          <cell r="HR66" t="str">
            <v>XXXX</v>
          </cell>
          <cell r="HS66" t="str">
            <v>XXXX</v>
          </cell>
          <cell r="HT66" t="str">
            <v>XXXX</v>
          </cell>
          <cell r="HU66" t="str">
            <v>XXXX</v>
          </cell>
          <cell r="HV66" t="str">
            <v>XXXX</v>
          </cell>
          <cell r="HW66" t="str">
            <v>XXXX</v>
          </cell>
          <cell r="HX66" t="str">
            <v>XXXX</v>
          </cell>
        </row>
        <row r="73">
          <cell r="HQ73">
            <v>0.87</v>
          </cell>
          <cell r="HR73">
            <v>0.83</v>
          </cell>
          <cell r="HS73">
            <v>0.77</v>
          </cell>
          <cell r="HT73">
            <v>0.73</v>
          </cell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0.82</v>
          </cell>
          <cell r="IA73">
            <v>0.73</v>
          </cell>
          <cell r="IB73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5.14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2"/>
    </row>
    <row r="2" spans="2:10" s="109" customFormat="1" ht="26.25">
      <c r="B2" s="110" t="s">
        <v>201</v>
      </c>
      <c r="C2" s="725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7" t="s">
        <v>17</v>
      </c>
      <c r="B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s="112" customFormat="1" ht="11.25">
      <c r="A5" s="127" t="s">
        <v>18</v>
      </c>
      <c r="B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2:19" s="109" customFormat="1" ht="26.25">
      <c r="B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2:19" s="114" customFormat="1" ht="21">
      <c r="B7" s="166" t="s">
        <v>0</v>
      </c>
      <c r="C7" s="726"/>
      <c r="D7" s="132"/>
      <c r="E7" s="132"/>
      <c r="F7" s="133"/>
      <c r="G7" s="133"/>
      <c r="H7" s="133"/>
      <c r="I7" s="133"/>
      <c r="J7" s="133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6" t="s">
        <v>1</v>
      </c>
      <c r="C9" s="726"/>
      <c r="D9" s="132"/>
      <c r="E9" s="132"/>
      <c r="F9" s="132"/>
      <c r="G9" s="132"/>
      <c r="H9" s="132"/>
      <c r="I9" s="133"/>
      <c r="J9" s="133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4"/>
      <c r="E10" s="13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6" t="s">
        <v>189</v>
      </c>
      <c r="C11" s="85"/>
      <c r="D11" s="40"/>
      <c r="E11" s="40"/>
      <c r="F11" s="132"/>
      <c r="G11" s="132"/>
      <c r="H11" s="132"/>
      <c r="I11" s="133"/>
      <c r="J11" s="133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5" customFormat="1" ht="16.5" thickBot="1">
      <c r="D12" s="7"/>
      <c r="E12" s="7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2:19" s="135" customFormat="1" ht="16.5" thickTop="1">
      <c r="B13" s="385">
        <v>1</v>
      </c>
      <c r="C13" s="408"/>
      <c r="D13" s="137"/>
      <c r="E13" s="137"/>
      <c r="F13" s="137"/>
      <c r="G13" s="137"/>
      <c r="H13" s="137"/>
      <c r="I13" s="137"/>
      <c r="J13" s="138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2:19" s="121" customFormat="1" ht="19.5">
      <c r="B14" s="235" t="s">
        <v>150</v>
      </c>
      <c r="C14" s="139"/>
      <c r="D14" s="140"/>
      <c r="E14" s="141"/>
      <c r="F14" s="141"/>
      <c r="G14" s="141"/>
      <c r="H14" s="141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2"/>
      <c r="C15" s="143"/>
      <c r="D15" s="143"/>
      <c r="E15" s="47"/>
      <c r="F15" s="144"/>
      <c r="G15" s="144"/>
      <c r="H15" s="144"/>
      <c r="I15" s="47"/>
      <c r="J15" s="145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5">
        <f>IF(B13=2,"Sanciones duplicadas por tasa de falla &gt; 4 Sal. x año/100km.","")</f>
      </c>
      <c r="C16" s="238"/>
      <c r="D16" s="238"/>
      <c r="E16" s="117"/>
      <c r="F16" s="141"/>
      <c r="G16" s="141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2"/>
      <c r="C17" s="143"/>
      <c r="D17" s="143"/>
      <c r="E17" s="47"/>
      <c r="F17" s="144"/>
      <c r="G17" s="144"/>
      <c r="H17" s="47"/>
      <c r="I17"/>
      <c r="J17" s="145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2"/>
      <c r="C18" s="146" t="s">
        <v>19</v>
      </c>
      <c r="D18" s="147" t="s">
        <v>20</v>
      </c>
      <c r="E18" s="47"/>
      <c r="F18" s="144"/>
      <c r="G18" s="144"/>
      <c r="H18" s="144"/>
      <c r="I18" s="46"/>
      <c r="J18" s="145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2"/>
      <c r="C19"/>
      <c r="D19" s="146" t="s">
        <v>21</v>
      </c>
      <c r="E19" s="147" t="s">
        <v>22</v>
      </c>
      <c r="F19" s="144"/>
      <c r="G19" s="144"/>
      <c r="H19" s="144"/>
      <c r="I19" s="46">
        <f>'LI-01 (1)'!AA43</f>
        <v>1156.64</v>
      </c>
      <c r="J19" s="145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2"/>
      <c r="C20" s="146"/>
      <c r="D20" s="143" t="s">
        <v>23</v>
      </c>
      <c r="E20" s="147" t="s">
        <v>139</v>
      </c>
      <c r="F20" s="144"/>
      <c r="G20" s="144"/>
      <c r="H20" s="144"/>
      <c r="I20" s="46">
        <f>'LI-TRANSACUE-01 (1)'!AA43</f>
        <v>115.22</v>
      </c>
      <c r="J20" s="145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3.5">
      <c r="B21" s="44"/>
      <c r="C21" s="148"/>
      <c r="D21" s="149"/>
      <c r="E21" s="8"/>
      <c r="F21" s="150"/>
      <c r="G21" s="150"/>
      <c r="H21" s="150"/>
      <c r="I21" s="151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1" customFormat="1" ht="19.5">
      <c r="B22" s="142"/>
      <c r="C22" s="146" t="s">
        <v>25</v>
      </c>
      <c r="D22" s="147" t="s">
        <v>26</v>
      </c>
      <c r="E22" s="47"/>
      <c r="F22" s="144"/>
      <c r="G22" s="144"/>
      <c r="H22" s="144"/>
      <c r="I22" s="46"/>
      <c r="J22" s="145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8.25" customHeight="1">
      <c r="B23" s="44"/>
      <c r="C23" s="148"/>
      <c r="D23" s="148"/>
      <c r="E23" s="8"/>
      <c r="F23" s="150"/>
      <c r="G23" s="150"/>
      <c r="H23" s="150"/>
      <c r="I23" s="152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1" customFormat="1" ht="19.5">
      <c r="B24" s="142"/>
      <c r="C24" s="146"/>
      <c r="D24" s="146" t="s">
        <v>27</v>
      </c>
      <c r="E24" s="9" t="s">
        <v>28</v>
      </c>
      <c r="F24" s="144"/>
      <c r="G24" s="144"/>
      <c r="H24" s="144"/>
      <c r="I24" s="46"/>
      <c r="J24" s="145"/>
      <c r="K24" s="47"/>
      <c r="L24" s="47"/>
      <c r="M24" s="47"/>
      <c r="N24" s="47"/>
      <c r="O24" s="47"/>
      <c r="P24" s="47"/>
      <c r="Q24" s="47"/>
      <c r="R24" s="47"/>
      <c r="S24" s="47"/>
    </row>
    <row r="25" spans="2:19" s="121" customFormat="1" ht="19.5">
      <c r="B25" s="142"/>
      <c r="C25" s="146"/>
      <c r="D25" s="146"/>
      <c r="E25" s="146" t="s">
        <v>29</v>
      </c>
      <c r="F25" s="147" t="s">
        <v>22</v>
      </c>
      <c r="G25" s="144"/>
      <c r="H25" s="144"/>
      <c r="I25" s="46">
        <f>'TR-01 (1)'!AC45</f>
        <v>103.31</v>
      </c>
      <c r="J25" s="145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2"/>
      <c r="C26" s="146"/>
      <c r="D26" s="146"/>
      <c r="E26" s="146" t="s">
        <v>30</v>
      </c>
      <c r="F26" s="147" t="s">
        <v>24</v>
      </c>
      <c r="G26" s="144"/>
      <c r="H26" s="144"/>
      <c r="I26" s="46">
        <f>'TR-EDERSA-01 (1)'!AC45</f>
        <v>417.11</v>
      </c>
      <c r="J26" s="145"/>
      <c r="K26" s="47"/>
      <c r="L26" s="47"/>
      <c r="M26" s="47"/>
      <c r="N26" s="47"/>
      <c r="O26" s="47"/>
      <c r="P26" s="47"/>
      <c r="Q26" s="47"/>
      <c r="R26" s="47"/>
      <c r="S26" s="47"/>
    </row>
    <row r="27" spans="2:19" s="121" customFormat="1" ht="19.5">
      <c r="B27" s="142"/>
      <c r="C27" s="146"/>
      <c r="D27" s="146"/>
      <c r="E27" s="146" t="s">
        <v>31</v>
      </c>
      <c r="F27" s="722" t="s">
        <v>139</v>
      </c>
      <c r="G27" s="144"/>
      <c r="H27" s="144"/>
      <c r="I27" s="46">
        <f>'TR-TRANSACUE-01 (1)'!AC45</f>
        <v>47.39</v>
      </c>
      <c r="J27" s="145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3.5">
      <c r="B28" s="44"/>
      <c r="C28" s="148"/>
      <c r="D28" s="148"/>
      <c r="E28" s="8"/>
      <c r="F28" s="150"/>
      <c r="G28" s="150"/>
      <c r="H28" s="150"/>
      <c r="I28" s="152"/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21" customFormat="1" ht="19.5">
      <c r="B29" s="142"/>
      <c r="C29" s="146"/>
      <c r="D29" s="146" t="s">
        <v>32</v>
      </c>
      <c r="E29" s="9" t="s">
        <v>33</v>
      </c>
      <c r="F29" s="144"/>
      <c r="G29" s="144"/>
      <c r="H29" s="144"/>
      <c r="I29" s="46"/>
      <c r="J29" s="145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1" customFormat="1" ht="19.5">
      <c r="B30" s="142"/>
      <c r="C30" s="146"/>
      <c r="D30" s="146"/>
      <c r="E30" s="146" t="s">
        <v>34</v>
      </c>
      <c r="F30" s="147" t="s">
        <v>22</v>
      </c>
      <c r="G30" s="144"/>
      <c r="H30" s="144"/>
      <c r="I30" s="46">
        <f>'SA-01 (1)'!V45</f>
        <v>95.8</v>
      </c>
      <c r="J30" s="145"/>
      <c r="K30" s="47"/>
      <c r="L30" s="47"/>
      <c r="M30" s="47"/>
      <c r="N30" s="47"/>
      <c r="O30" s="47"/>
      <c r="P30" s="47"/>
      <c r="Q30" s="47"/>
      <c r="R30" s="47"/>
      <c r="S30" s="47"/>
    </row>
    <row r="31" spans="2:19" s="121" customFormat="1" ht="19.5">
      <c r="B31" s="142"/>
      <c r="C31" s="146"/>
      <c r="D31" s="146"/>
      <c r="E31" s="146" t="s">
        <v>35</v>
      </c>
      <c r="F31" s="147" t="s">
        <v>24</v>
      </c>
      <c r="G31" s="144"/>
      <c r="H31" s="144"/>
      <c r="I31" s="46">
        <f>'SA-EDERSA-01 (1)'!V45</f>
        <v>66.41166000000001</v>
      </c>
      <c r="J31" s="145"/>
      <c r="K31" s="47"/>
      <c r="L31" s="47"/>
      <c r="M31" s="47"/>
      <c r="N31" s="47"/>
      <c r="O31" s="47"/>
      <c r="P31" s="47"/>
      <c r="Q31" s="47"/>
      <c r="R31" s="47"/>
      <c r="S31" s="47"/>
    </row>
    <row r="32" spans="2:19" s="121" customFormat="1" ht="19.5">
      <c r="B32" s="142"/>
      <c r="C32" s="146"/>
      <c r="D32" s="146"/>
      <c r="E32" s="143" t="s">
        <v>36</v>
      </c>
      <c r="F32" s="147" t="s">
        <v>140</v>
      </c>
      <c r="G32" s="144"/>
      <c r="H32" s="144"/>
      <c r="I32" s="46">
        <f>'SA-TRANSACUE-01 (1)'!V45</f>
        <v>78.41610000000003</v>
      </c>
      <c r="J32" s="145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3.5">
      <c r="B33" s="44"/>
      <c r="C33" s="148"/>
      <c r="D33" s="149"/>
      <c r="E33" s="8"/>
      <c r="F33" s="150"/>
      <c r="G33" s="150"/>
      <c r="H33" s="150"/>
      <c r="I33" s="151"/>
      <c r="J33" s="11"/>
      <c r="K33" s="8"/>
      <c r="L33" s="8"/>
      <c r="M33" s="8"/>
      <c r="N33" s="8"/>
      <c r="O33" s="8"/>
      <c r="P33" s="8"/>
      <c r="Q33" s="8"/>
      <c r="R33" s="8"/>
      <c r="S33" s="8"/>
    </row>
    <row r="34" spans="2:19" s="121" customFormat="1" ht="19.5">
      <c r="B34" s="142"/>
      <c r="C34" s="146"/>
      <c r="D34" s="147"/>
      <c r="E34" s="47"/>
      <c r="F34" s="144"/>
      <c r="G34" s="144"/>
      <c r="H34" s="144"/>
      <c r="I34" s="46"/>
      <c r="J34" s="145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19.5">
      <c r="B35" s="142"/>
      <c r="C35" s="143" t="s">
        <v>37</v>
      </c>
      <c r="D35" s="9" t="s">
        <v>38</v>
      </c>
      <c r="E35" s="144"/>
      <c r="F35"/>
      <c r="G35" s="144"/>
      <c r="H35" s="144"/>
      <c r="I35" s="46"/>
      <c r="J35" s="145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19.5">
      <c r="B36" s="142"/>
      <c r="C36" s="146"/>
      <c r="D36" s="143" t="s">
        <v>181</v>
      </c>
      <c r="E36" s="147" t="s">
        <v>24</v>
      </c>
      <c r="F36"/>
      <c r="G36" s="144"/>
      <c r="H36" s="144"/>
      <c r="I36" s="46">
        <f>'SUP-EDERSA'!I57</f>
        <v>120.880415</v>
      </c>
      <c r="J36" s="145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19.5">
      <c r="B37" s="142"/>
      <c r="C37" s="146"/>
      <c r="D37" s="143" t="s">
        <v>182</v>
      </c>
      <c r="E37" s="147" t="s">
        <v>139</v>
      </c>
      <c r="F37"/>
      <c r="G37" s="144"/>
      <c r="H37" s="144"/>
      <c r="I37" s="46">
        <f>+'SUP-TRANSACUE'!I57</f>
        <v>60.25652500000001</v>
      </c>
      <c r="J37" s="145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20.25" thickBot="1">
      <c r="B38" s="142"/>
      <c r="C38" s="143"/>
      <c r="D38" s="143"/>
      <c r="E38" s="47"/>
      <c r="F38" s="144"/>
      <c r="G38" s="144"/>
      <c r="H38" s="144"/>
      <c r="I38" s="47"/>
      <c r="J38" s="145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21" customFormat="1" ht="20.25" thickBot="1" thickTop="1">
      <c r="B39" s="142"/>
      <c r="C39" s="146"/>
      <c r="D39" s="146"/>
      <c r="F39" s="153" t="s">
        <v>39</v>
      </c>
      <c r="G39" s="154">
        <f>SUM(I18:I37)</f>
        <v>2261.4347000000007</v>
      </c>
      <c r="H39" s="237"/>
      <c r="J39" s="145"/>
      <c r="K39" s="47"/>
      <c r="L39" s="47"/>
      <c r="M39" s="47"/>
      <c r="N39" s="47"/>
      <c r="O39" s="47"/>
      <c r="P39" s="47"/>
      <c r="Q39" s="47"/>
      <c r="R39" s="47"/>
      <c r="S39" s="47"/>
    </row>
    <row r="40" spans="2:19" s="121" customFormat="1" ht="8.25" customHeight="1" thickTop="1">
      <c r="B40" s="142"/>
      <c r="C40" s="146"/>
      <c r="D40" s="146"/>
      <c r="F40" s="660"/>
      <c r="G40" s="237"/>
      <c r="H40" s="237"/>
      <c r="J40" s="145"/>
      <c r="K40" s="47"/>
      <c r="L40" s="47"/>
      <c r="M40" s="47"/>
      <c r="N40" s="47"/>
      <c r="O40" s="47"/>
      <c r="P40" s="47"/>
      <c r="Q40" s="47"/>
      <c r="R40" s="47"/>
      <c r="S40" s="47"/>
    </row>
    <row r="41" spans="2:19" s="121" customFormat="1" ht="18.75">
      <c r="B41" s="142"/>
      <c r="C41" s="661" t="s">
        <v>200</v>
      </c>
      <c r="D41" s="146"/>
      <c r="F41" s="660"/>
      <c r="G41" s="237"/>
      <c r="H41" s="237"/>
      <c r="J41" s="145"/>
      <c r="K41" s="47"/>
      <c r="L41" s="47"/>
      <c r="M41" s="47"/>
      <c r="N41" s="47"/>
      <c r="O41" s="47"/>
      <c r="P41" s="47"/>
      <c r="Q41" s="47"/>
      <c r="R41" s="47"/>
      <c r="S41" s="47"/>
    </row>
    <row r="42" spans="2:19" s="135" customFormat="1" ht="6.75" customHeight="1" thickBot="1">
      <c r="B42" s="155"/>
      <c r="C42" s="156"/>
      <c r="D42" s="156"/>
      <c r="E42" s="157"/>
      <c r="F42" s="157"/>
      <c r="G42" s="157"/>
      <c r="H42" s="157"/>
      <c r="I42" s="157"/>
      <c r="J42" s="158"/>
      <c r="K42" s="136"/>
      <c r="L42" s="136"/>
      <c r="M42" s="84"/>
      <c r="N42" s="159"/>
      <c r="O42" s="159"/>
      <c r="P42" s="160"/>
      <c r="Q42" s="161"/>
      <c r="R42" s="136"/>
      <c r="S42" s="136"/>
    </row>
    <row r="43" spans="4:19" ht="13.5" thickTop="1">
      <c r="D43" s="8"/>
      <c r="F43" s="8"/>
      <c r="G43" s="8"/>
      <c r="H43" s="8"/>
      <c r="I43" s="8"/>
      <c r="J43" s="8"/>
      <c r="K43" s="8"/>
      <c r="L43" s="8"/>
      <c r="M43" s="30"/>
      <c r="N43" s="162"/>
      <c r="O43" s="162"/>
      <c r="P43" s="8"/>
      <c r="Q43" s="36"/>
      <c r="R43" s="8"/>
      <c r="S43" s="8"/>
    </row>
    <row r="44" spans="4:19" ht="12.75">
      <c r="D44" s="8"/>
      <c r="F44" s="8"/>
      <c r="G44" s="8"/>
      <c r="H44" s="8"/>
      <c r="I44" s="8"/>
      <c r="J44" s="8"/>
      <c r="K44" s="8"/>
      <c r="L44" s="8"/>
      <c r="M44" s="8"/>
      <c r="N44" s="163"/>
      <c r="O44" s="163"/>
      <c r="P44" s="164"/>
      <c r="Q44" s="36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163"/>
      <c r="O45" s="163"/>
      <c r="P45" s="164"/>
      <c r="Q45" s="36"/>
      <c r="R45" s="8"/>
      <c r="S45" s="8"/>
    </row>
    <row r="46" spans="4:19" ht="12.75">
      <c r="D46" s="8"/>
      <c r="E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4:19" ht="12.75">
      <c r="D51" s="8"/>
      <c r="E51" s="8"/>
      <c r="P51" s="8"/>
      <c r="Q51" s="8"/>
      <c r="R51" s="8"/>
      <c r="S51" s="8"/>
    </row>
    <row r="52" spans="16:19" ht="12.75">
      <c r="P52" s="8"/>
      <c r="Q52" s="8"/>
      <c r="R52" s="8"/>
      <c r="S52" s="8"/>
    </row>
    <row r="53" spans="16:19" ht="12.75">
      <c r="P53" s="8"/>
      <c r="Q53" s="8"/>
      <c r="R53" s="8"/>
      <c r="S53" s="8"/>
    </row>
  </sheetData>
  <sheetProtection/>
  <printOptions horizontalCentered="1"/>
  <pageMargins left="0.3937007874015748" right="0.1968503937007874" top="0.48" bottom="0.45" header="0.26" footer="0.25"/>
  <pageSetup fitToHeight="1" fitToWidth="1" orientation="landscape" paperSize="9" scale="76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J16" sqref="J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2"/>
    </row>
    <row r="2" spans="1:16" s="109" customFormat="1" ht="26.25">
      <c r="A2" s="168"/>
      <c r="B2" s="684" t="str">
        <f>'TOT-0114'!B2</f>
        <v>ANEXO I al Memorándum  D.T.E.E.  N°        34   / 2014.-</v>
      </c>
      <c r="C2" s="684"/>
      <c r="D2" s="684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89" t="s">
        <v>149</v>
      </c>
      <c r="B3" s="10"/>
      <c r="C3" s="10"/>
      <c r="D3" s="10"/>
    </row>
    <row r="4" spans="1:4" s="112" customFormat="1" ht="11.25">
      <c r="A4" s="689" t="s">
        <v>148</v>
      </c>
      <c r="B4" s="231"/>
      <c r="C4" s="231"/>
      <c r="D4" s="231"/>
    </row>
    <row r="5" spans="1:4" s="10" customFormat="1" ht="13.5" thickBot="1">
      <c r="A5" s="689"/>
      <c r="B5" s="231"/>
      <c r="C5" s="231"/>
      <c r="D5" s="231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5"/>
      <c r="C8" s="73"/>
      <c r="D8" s="41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9"/>
    </row>
    <row r="9" spans="1:19" s="114" customFormat="1" ht="20.25">
      <c r="A9" s="45"/>
      <c r="B9" s="414"/>
      <c r="C9"/>
      <c r="D9" s="22" t="s">
        <v>183</v>
      </c>
      <c r="E9" s="415"/>
      <c r="F9" s="415"/>
      <c r="G9" s="415"/>
      <c r="H9" s="416"/>
      <c r="I9" s="415"/>
      <c r="J9" s="415"/>
      <c r="K9" s="415"/>
      <c r="L9" s="415"/>
      <c r="M9" s="415"/>
      <c r="N9" s="415"/>
      <c r="O9" s="415"/>
      <c r="P9" s="417"/>
      <c r="Q9" s="232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5" t="str">
        <f>+'TOT-0114'!B14</f>
        <v>Desde el 01 al 31 de enero de 2014</v>
      </c>
      <c r="C11" s="141"/>
      <c r="D11" s="195"/>
      <c r="E11" s="195"/>
      <c r="F11" s="195"/>
      <c r="G11" s="195"/>
      <c r="H11" s="195"/>
      <c r="I11" s="141"/>
      <c r="J11" s="195"/>
      <c r="K11" s="195"/>
      <c r="L11" s="195"/>
      <c r="M11" s="195"/>
      <c r="N11" s="195"/>
      <c r="O11" s="195"/>
      <c r="P11" s="418"/>
      <c r="Q11" s="419"/>
      <c r="R11" s="419"/>
      <c r="S11" s="419"/>
    </row>
    <row r="12" spans="1:19" ht="15">
      <c r="A12" s="1"/>
      <c r="B12" s="275"/>
      <c r="C12" s="73"/>
      <c r="D12" s="69"/>
      <c r="E12" s="69"/>
      <c r="F12" s="69"/>
      <c r="G12" s="69"/>
      <c r="H12" s="42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1"/>
    </row>
    <row r="13" spans="1:19" ht="18" customHeight="1">
      <c r="A13" s="1"/>
      <c r="B13" s="275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1"/>
    </row>
    <row r="14" spans="1:19" ht="18" customHeight="1">
      <c r="A14" s="1"/>
      <c r="B14" s="275"/>
      <c r="C14" s="73"/>
      <c r="D14" s="68"/>
      <c r="E14" s="422"/>
      <c r="F14" s="69"/>
      <c r="G14" s="69"/>
      <c r="H14" s="81"/>
      <c r="I14" s="81"/>
      <c r="J14" s="69"/>
      <c r="K14" s="69"/>
      <c r="P14" s="70"/>
      <c r="Q14" s="4"/>
      <c r="R14" s="4"/>
      <c r="S14" s="421"/>
    </row>
    <row r="15" spans="1:16" ht="16.5" thickBot="1">
      <c r="A15" s="1"/>
      <c r="B15" s="275"/>
      <c r="C15" s="423" t="s">
        <v>89</v>
      </c>
      <c r="D15" s="71"/>
      <c r="E15" s="276"/>
      <c r="F15" s="277"/>
      <c r="G15" s="73"/>
      <c r="H15" s="73"/>
      <c r="I15" s="73"/>
      <c r="J15" s="72"/>
      <c r="K15" s="72"/>
      <c r="L15" s="278"/>
      <c r="M15" s="73"/>
      <c r="N15" s="73"/>
      <c r="O15" s="73"/>
      <c r="P15" s="279"/>
    </row>
    <row r="16" spans="1:16" ht="16.5" thickBot="1">
      <c r="A16" s="1"/>
      <c r="B16" s="275"/>
      <c r="C16" s="280"/>
      <c r="D16" s="71"/>
      <c r="E16" s="276"/>
      <c r="F16" s="277"/>
      <c r="G16" s="73"/>
      <c r="H16" s="73"/>
      <c r="L16" s="424" t="s">
        <v>85</v>
      </c>
      <c r="M16" s="793">
        <v>12.9</v>
      </c>
      <c r="N16" s="794"/>
      <c r="O16" s="73"/>
      <c r="P16" s="279"/>
    </row>
    <row r="17" spans="1:16" ht="15.75">
      <c r="A17" s="1"/>
      <c r="B17" s="275"/>
      <c r="C17" s="280"/>
      <c r="D17" s="72" t="s">
        <v>90</v>
      </c>
      <c r="E17" s="281">
        <f>MID(B11,16,2)*24</f>
        <v>744</v>
      </c>
      <c r="F17" s="73" t="s">
        <v>91</v>
      </c>
      <c r="G17" s="69"/>
      <c r="H17" s="425"/>
      <c r="I17" s="426" t="s">
        <v>92</v>
      </c>
      <c r="J17" s="427">
        <v>277.875</v>
      </c>
      <c r="K17" s="407"/>
      <c r="L17" s="428" t="s">
        <v>86</v>
      </c>
      <c r="M17" s="795">
        <v>9.681000000000001</v>
      </c>
      <c r="N17" s="796"/>
      <c r="O17" s="73"/>
      <c r="P17" s="279"/>
    </row>
    <row r="18" spans="1:16" ht="16.5" thickBot="1">
      <c r="A18" s="1"/>
      <c r="B18" s="275"/>
      <c r="C18" s="280"/>
      <c r="D18" s="72" t="s">
        <v>93</v>
      </c>
      <c r="E18" s="283">
        <v>0.025</v>
      </c>
      <c r="F18" s="69"/>
      <c r="G18" s="69"/>
      <c r="H18" s="429"/>
      <c r="I18" s="430" t="s">
        <v>94</v>
      </c>
      <c r="J18" s="431">
        <v>0.975</v>
      </c>
      <c r="K18" s="432"/>
      <c r="L18" s="433" t="s">
        <v>87</v>
      </c>
      <c r="M18" s="797">
        <v>9.681000000000001</v>
      </c>
      <c r="N18" s="798"/>
      <c r="O18" s="73"/>
      <c r="P18" s="279"/>
    </row>
    <row r="19" spans="1:16" ht="15.75">
      <c r="A19" s="1"/>
      <c r="B19" s="275"/>
      <c r="C19" s="280"/>
      <c r="D19" s="72"/>
      <c r="E19" s="283"/>
      <c r="F19" s="69"/>
      <c r="G19" s="69"/>
      <c r="H19" s="69"/>
      <c r="I19" s="69"/>
      <c r="L19" s="278"/>
      <c r="M19" s="73"/>
      <c r="N19" s="73"/>
      <c r="O19" s="73"/>
      <c r="P19" s="279"/>
    </row>
    <row r="20" spans="1:16" ht="15">
      <c r="A20" s="1"/>
      <c r="B20" s="275"/>
      <c r="C20" s="68" t="s">
        <v>95</v>
      </c>
      <c r="D20" s="76"/>
      <c r="E20" s="276"/>
      <c r="F20" s="277"/>
      <c r="G20" s="73"/>
      <c r="H20" s="73"/>
      <c r="I20" s="73"/>
      <c r="J20" s="72"/>
      <c r="K20" s="72"/>
      <c r="L20" s="278"/>
      <c r="M20" s="73"/>
      <c r="N20" s="73"/>
      <c r="O20" s="73"/>
      <c r="P20" s="279"/>
    </row>
    <row r="21" spans="1:16" ht="15">
      <c r="A21" s="1"/>
      <c r="B21" s="275"/>
      <c r="C21" s="73"/>
      <c r="D21" s="73"/>
      <c r="E21" s="73"/>
      <c r="F21" s="73"/>
      <c r="G21" s="73"/>
      <c r="H21" s="284"/>
      <c r="I21" s="73"/>
      <c r="J21" s="73"/>
      <c r="K21" s="73"/>
      <c r="L21" s="73"/>
      <c r="M21" s="73"/>
      <c r="N21" s="73"/>
      <c r="O21" s="73"/>
      <c r="P21" s="279"/>
    </row>
    <row r="22" spans="1:16" ht="15">
      <c r="A22" s="1"/>
      <c r="B22" s="275"/>
      <c r="C22" s="73"/>
      <c r="D22" s="72" t="s">
        <v>96</v>
      </c>
      <c r="E22" s="73"/>
      <c r="F22" s="284" t="s">
        <v>20</v>
      </c>
      <c r="G22" s="73"/>
      <c r="H22" s="71"/>
      <c r="I22" s="434">
        <v>0</v>
      </c>
      <c r="J22" s="73"/>
      <c r="K22" s="73"/>
      <c r="L22" s="435"/>
      <c r="M22" s="73"/>
      <c r="N22" s="73"/>
      <c r="O22" s="73"/>
      <c r="P22" s="279"/>
    </row>
    <row r="23" spans="1:16" ht="15">
      <c r="A23" s="1"/>
      <c r="B23" s="275"/>
      <c r="C23" s="73"/>
      <c r="D23" s="73"/>
      <c r="E23" s="73"/>
      <c r="F23" s="284" t="s">
        <v>97</v>
      </c>
      <c r="G23" s="73"/>
      <c r="H23" s="71"/>
      <c r="I23" s="434">
        <f>'TOT-0114'!I26</f>
        <v>417.11</v>
      </c>
      <c r="J23" s="73"/>
      <c r="K23" s="73"/>
      <c r="L23" s="435" t="s">
        <v>98</v>
      </c>
      <c r="M23" s="73"/>
      <c r="N23" s="73"/>
      <c r="O23" s="73"/>
      <c r="P23" s="279"/>
    </row>
    <row r="24" spans="1:16" ht="15">
      <c r="A24" s="1"/>
      <c r="B24" s="275"/>
      <c r="C24" s="73"/>
      <c r="D24" s="73"/>
      <c r="E24" s="73"/>
      <c r="F24" s="284" t="s">
        <v>3</v>
      </c>
      <c r="G24" s="73"/>
      <c r="H24" s="71"/>
      <c r="I24" s="436">
        <f>'TOT-0114'!I31</f>
        <v>66.41166000000001</v>
      </c>
      <c r="J24" s="73"/>
      <c r="K24" s="73"/>
      <c r="L24" s="435" t="s">
        <v>99</v>
      </c>
      <c r="M24" s="73"/>
      <c r="N24" s="73"/>
      <c r="O24" s="73"/>
      <c r="P24" s="279"/>
    </row>
    <row r="25" spans="1:16" ht="15.75" thickBot="1">
      <c r="A25" s="1"/>
      <c r="B25" s="275"/>
      <c r="C25" s="73"/>
      <c r="D25" s="73"/>
      <c r="E25" s="73"/>
      <c r="F25" s="73"/>
      <c r="G25" s="73"/>
      <c r="H25" s="284"/>
      <c r="I25" s="73"/>
      <c r="J25" s="73"/>
      <c r="K25" s="73"/>
      <c r="L25" s="73"/>
      <c r="M25" s="73"/>
      <c r="N25" s="73"/>
      <c r="O25" s="73"/>
      <c r="P25" s="279"/>
    </row>
    <row r="26" spans="2:16" ht="20.25" thickBot="1" thickTop="1">
      <c r="B26" s="275"/>
      <c r="C26" s="80"/>
      <c r="H26" s="437" t="s">
        <v>100</v>
      </c>
      <c r="I26" s="154">
        <f>SUM(I22:I25)</f>
        <v>483.52166</v>
      </c>
      <c r="L26" s="77"/>
      <c r="M26" s="77"/>
      <c r="N26" s="78"/>
      <c r="O26" s="79"/>
      <c r="P26" s="285"/>
    </row>
    <row r="27" spans="2:16" ht="15.75" thickTop="1">
      <c r="B27" s="275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5"/>
    </row>
    <row r="28" spans="2:16" ht="15">
      <c r="B28" s="275"/>
      <c r="C28" s="68" t="s">
        <v>101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5"/>
    </row>
    <row r="29" spans="2:16" ht="15">
      <c r="B29" s="275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5"/>
    </row>
    <row r="30" spans="2:16" ht="15.75">
      <c r="B30" s="275"/>
      <c r="C30" s="80"/>
      <c r="D30" s="438" t="s">
        <v>102</v>
      </c>
      <c r="E30" s="439" t="s">
        <v>16</v>
      </c>
      <c r="F30" s="440" t="s">
        <v>103</v>
      </c>
      <c r="G30" s="441"/>
      <c r="H30" s="667" t="s">
        <v>137</v>
      </c>
      <c r="I30" s="666" t="s">
        <v>136</v>
      </c>
      <c r="J30" s="662"/>
      <c r="K30" s="464"/>
      <c r="L30" s="442" t="s">
        <v>2</v>
      </c>
      <c r="N30" s="78"/>
      <c r="O30" s="79"/>
      <c r="P30" s="285"/>
    </row>
    <row r="31" spans="2:16" ht="15.75">
      <c r="B31" s="275"/>
      <c r="C31" s="80"/>
      <c r="D31" s="443" t="s">
        <v>4</v>
      </c>
      <c r="E31" s="444">
        <v>132</v>
      </c>
      <c r="F31" s="445">
        <v>31</v>
      </c>
      <c r="G31" s="446"/>
      <c r="H31" s="447">
        <f>F31*$J$17*$E$17/100</f>
        <v>64089.09</v>
      </c>
      <c r="I31" s="448">
        <v>0</v>
      </c>
      <c r="J31" s="664" t="s">
        <v>185</v>
      </c>
      <c r="K31" s="450"/>
      <c r="L31" s="451">
        <f>SUM(H31:K31)</f>
        <v>64089.09</v>
      </c>
      <c r="M31" s="77"/>
      <c r="N31" s="78"/>
      <c r="O31" s="79"/>
      <c r="P31" s="285"/>
    </row>
    <row r="32" spans="2:16" ht="15.75">
      <c r="B32" s="275"/>
      <c r="C32" s="80"/>
      <c r="D32" s="471" t="s">
        <v>5</v>
      </c>
      <c r="E32" s="76">
        <v>132</v>
      </c>
      <c r="F32" s="82">
        <v>110.3</v>
      </c>
      <c r="G32" s="77"/>
      <c r="H32" s="290">
        <f>F32*$J$17*$E$17/100</f>
        <v>228033.117</v>
      </c>
      <c r="I32" s="488">
        <v>11314</v>
      </c>
      <c r="J32" s="663" t="s">
        <v>185</v>
      </c>
      <c r="K32" s="282"/>
      <c r="L32" s="472">
        <f>SUM(H32:K32)</f>
        <v>239347.117</v>
      </c>
      <c r="M32" s="77"/>
      <c r="N32" s="78"/>
      <c r="O32" s="79"/>
      <c r="P32" s="285"/>
    </row>
    <row r="33" spans="2:16" ht="15.75">
      <c r="B33" s="275"/>
      <c r="C33" s="80"/>
      <c r="D33" s="471" t="s">
        <v>6</v>
      </c>
      <c r="E33" s="76">
        <v>132</v>
      </c>
      <c r="F33" s="82">
        <v>185.6</v>
      </c>
      <c r="G33" s="77"/>
      <c r="H33" s="290">
        <f>F33*$J$17*$E$17/100</f>
        <v>383707.584</v>
      </c>
      <c r="I33" s="488">
        <v>9046</v>
      </c>
      <c r="J33" s="663" t="s">
        <v>185</v>
      </c>
      <c r="K33" s="282"/>
      <c r="L33" s="472">
        <f>SUM(H33:K33)</f>
        <v>392753.584</v>
      </c>
      <c r="M33" s="77"/>
      <c r="N33" s="78"/>
      <c r="O33" s="79"/>
      <c r="P33" s="285"/>
    </row>
    <row r="34" spans="2:16" ht="15.75">
      <c r="B34" s="275"/>
      <c r="C34" s="80"/>
      <c r="D34" s="452" t="s">
        <v>7</v>
      </c>
      <c r="E34" s="453">
        <v>132</v>
      </c>
      <c r="F34" s="454">
        <v>7</v>
      </c>
      <c r="G34" s="455"/>
      <c r="H34" s="456">
        <f>F34*$J$17*$E$17/100</f>
        <v>14471.73</v>
      </c>
      <c r="I34" s="457">
        <v>0</v>
      </c>
      <c r="J34" s="665" t="s">
        <v>185</v>
      </c>
      <c r="K34" s="459"/>
      <c r="L34" s="460">
        <f>SUM(H34:K34)</f>
        <v>14471.73</v>
      </c>
      <c r="M34" s="77"/>
      <c r="N34" s="78"/>
      <c r="O34" s="79"/>
      <c r="P34" s="285"/>
    </row>
    <row r="35" spans="2:16" ht="15">
      <c r="B35" s="275"/>
      <c r="C35" s="80"/>
      <c r="D35" s="76"/>
      <c r="E35" s="76"/>
      <c r="F35" s="286"/>
      <c r="G35" s="77"/>
      <c r="I35" s="83"/>
      <c r="J35" s="282"/>
      <c r="K35" s="282"/>
      <c r="L35" s="461">
        <f>SUM(L31:L34)</f>
        <v>710661.521</v>
      </c>
      <c r="M35" s="77"/>
      <c r="N35" s="78"/>
      <c r="O35" s="79"/>
      <c r="P35" s="285"/>
    </row>
    <row r="36" spans="2:16" ht="15">
      <c r="B36" s="275"/>
      <c r="C36" s="80"/>
      <c r="D36" s="76"/>
      <c r="E36" s="76"/>
      <c r="F36" s="286"/>
      <c r="G36" s="77"/>
      <c r="I36" s="83"/>
      <c r="J36" s="282"/>
      <c r="K36" s="282"/>
      <c r="L36" s="287"/>
      <c r="M36" s="77"/>
      <c r="N36" s="78"/>
      <c r="O36" s="79"/>
      <c r="P36" s="285"/>
    </row>
    <row r="37" spans="2:16" ht="15.75">
      <c r="B37" s="275"/>
      <c r="C37" s="80"/>
      <c r="D37" s="438" t="s">
        <v>104</v>
      </c>
      <c r="E37" s="439" t="s">
        <v>105</v>
      </c>
      <c r="F37" s="489" t="s">
        <v>115</v>
      </c>
      <c r="G37" s="490"/>
      <c r="H37" s="668" t="s">
        <v>138</v>
      </c>
      <c r="J37" s="462" t="s">
        <v>106</v>
      </c>
      <c r="K37" s="463"/>
      <c r="L37" s="464" t="s">
        <v>50</v>
      </c>
      <c r="M37" s="439" t="s">
        <v>16</v>
      </c>
      <c r="N37" s="465" t="s">
        <v>107</v>
      </c>
      <c r="O37" s="466"/>
      <c r="P37" s="285"/>
    </row>
    <row r="38" spans="2:16" ht="15">
      <c r="B38" s="275"/>
      <c r="C38" s="80"/>
      <c r="D38" s="443" t="s">
        <v>10</v>
      </c>
      <c r="E38" s="444" t="s">
        <v>116</v>
      </c>
      <c r="F38" s="491">
        <v>30</v>
      </c>
      <c r="G38" s="492"/>
      <c r="H38" s="451">
        <f>+F38*$J$18*$E$17</f>
        <v>21762</v>
      </c>
      <c r="J38" s="467" t="s">
        <v>117</v>
      </c>
      <c r="K38" s="449"/>
      <c r="L38" s="446" t="s">
        <v>118</v>
      </c>
      <c r="M38" s="468">
        <v>132</v>
      </c>
      <c r="N38" s="469">
        <f>M16*E17</f>
        <v>9597.6</v>
      </c>
      <c r="O38" s="470"/>
      <c r="P38" s="285"/>
    </row>
    <row r="39" spans="2:16" ht="15">
      <c r="B39" s="275"/>
      <c r="C39" s="80"/>
      <c r="D39" s="471" t="s">
        <v>13</v>
      </c>
      <c r="E39" s="76" t="s">
        <v>119</v>
      </c>
      <c r="F39" s="493">
        <v>88</v>
      </c>
      <c r="G39" s="494"/>
      <c r="H39" s="472">
        <f>+F39*$J$18*$E$17</f>
        <v>63835.2</v>
      </c>
      <c r="J39" s="473" t="s">
        <v>11</v>
      </c>
      <c r="K39" s="474"/>
      <c r="L39" s="77" t="s">
        <v>120</v>
      </c>
      <c r="M39" s="78">
        <v>33</v>
      </c>
      <c r="N39" s="475">
        <f>+M17*E17*2</f>
        <v>14405.328000000001</v>
      </c>
      <c r="O39" s="476"/>
      <c r="P39" s="285"/>
    </row>
    <row r="40" spans="2:16" ht="15">
      <c r="B40" s="275"/>
      <c r="C40" s="80"/>
      <c r="D40" s="471" t="s">
        <v>11</v>
      </c>
      <c r="E40" s="76" t="s">
        <v>9</v>
      </c>
      <c r="F40" s="493">
        <v>7.5</v>
      </c>
      <c r="G40" s="494"/>
      <c r="H40" s="472">
        <f>+F40*$J$18*$E$17</f>
        <v>5440.5</v>
      </c>
      <c r="J40" s="473" t="s">
        <v>12</v>
      </c>
      <c r="K40" s="474"/>
      <c r="L40" s="77" t="s">
        <v>121</v>
      </c>
      <c r="M40" s="78">
        <v>33</v>
      </c>
      <c r="N40" s="475">
        <f>3*M17*E17</f>
        <v>21607.992000000002</v>
      </c>
      <c r="O40" s="476"/>
      <c r="P40" s="285"/>
    </row>
    <row r="41" spans="2:16" ht="15">
      <c r="B41" s="275"/>
      <c r="C41" s="80"/>
      <c r="D41" s="471" t="s">
        <v>12</v>
      </c>
      <c r="E41" s="76" t="s">
        <v>9</v>
      </c>
      <c r="F41" s="493">
        <v>15</v>
      </c>
      <c r="G41" s="494"/>
      <c r="H41" s="472">
        <f>+F41*$J$18*$E$17</f>
        <v>10881</v>
      </c>
      <c r="J41" s="473" t="s">
        <v>14</v>
      </c>
      <c r="K41" s="474"/>
      <c r="L41" s="77" t="s">
        <v>122</v>
      </c>
      <c r="M41" s="78">
        <v>13.2</v>
      </c>
      <c r="N41" s="475">
        <f>+M18*E17*6</f>
        <v>43215.984000000004</v>
      </c>
      <c r="O41" s="476"/>
      <c r="P41" s="285"/>
    </row>
    <row r="42" spans="2:16" ht="15">
      <c r="B42" s="275"/>
      <c r="C42" s="80"/>
      <c r="D42" s="452" t="s">
        <v>14</v>
      </c>
      <c r="E42" s="453" t="s">
        <v>123</v>
      </c>
      <c r="F42" s="495">
        <v>30</v>
      </c>
      <c r="G42" s="496"/>
      <c r="H42" s="472">
        <f>+F42*$J$18*$E$17</f>
        <v>21762</v>
      </c>
      <c r="J42" s="473" t="s">
        <v>10</v>
      </c>
      <c r="K42" s="474"/>
      <c r="L42" s="77" t="s">
        <v>124</v>
      </c>
      <c r="M42" s="78"/>
      <c r="N42" s="475">
        <f>+M17*E17+M18*E17*2</f>
        <v>21607.992000000002</v>
      </c>
      <c r="O42" s="476"/>
      <c r="P42" s="285"/>
    </row>
    <row r="43" spans="2:16" ht="15">
      <c r="B43" s="275"/>
      <c r="C43" s="80"/>
      <c r="D43" s="76"/>
      <c r="E43" s="76"/>
      <c r="F43" s="286"/>
      <c r="G43" s="77"/>
      <c r="H43" s="461">
        <f>SUM(H38:H42)</f>
        <v>123680.7</v>
      </c>
      <c r="J43" s="477" t="s">
        <v>13</v>
      </c>
      <c r="K43" s="458"/>
      <c r="L43" s="455" t="s">
        <v>125</v>
      </c>
      <c r="M43" s="478"/>
      <c r="N43" s="479">
        <f>(M16+M17+M18*5)*E17</f>
        <v>52813.584</v>
      </c>
      <c r="O43" s="480"/>
      <c r="P43" s="285"/>
    </row>
    <row r="44" spans="2:16" ht="15">
      <c r="B44" s="275"/>
      <c r="C44" s="80"/>
      <c r="D44" s="76"/>
      <c r="E44" s="76"/>
      <c r="F44" s="286"/>
      <c r="G44" s="77"/>
      <c r="I44" s="83"/>
      <c r="J44" s="282"/>
      <c r="K44" s="282"/>
      <c r="L44" s="287"/>
      <c r="M44" s="77"/>
      <c r="N44" s="481">
        <f>SUM(N38:N43)</f>
        <v>163248.48</v>
      </c>
      <c r="O44" s="466"/>
      <c r="P44" s="285"/>
    </row>
    <row r="45" spans="2:16" ht="12.75" customHeight="1" thickBot="1">
      <c r="B45" s="275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5"/>
    </row>
    <row r="46" spans="2:16" ht="20.25" thickBot="1" thickTop="1">
      <c r="B46" s="275"/>
      <c r="C46" s="80"/>
      <c r="D46" s="76"/>
      <c r="E46" s="76"/>
      <c r="F46" s="82"/>
      <c r="G46" s="77"/>
      <c r="H46" s="482" t="s">
        <v>108</v>
      </c>
      <c r="I46" s="483">
        <f>+H43+N44+L35</f>
        <v>997590.7009999999</v>
      </c>
      <c r="J46" s="76"/>
      <c r="K46" s="76"/>
      <c r="L46" s="77"/>
      <c r="M46" s="77"/>
      <c r="N46" s="78"/>
      <c r="O46" s="79"/>
      <c r="P46" s="285"/>
    </row>
    <row r="47" spans="2:16" ht="15.75" thickTop="1">
      <c r="B47" s="275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5"/>
    </row>
    <row r="48" spans="2:16" ht="15.75">
      <c r="B48" s="275"/>
      <c r="C48" s="484" t="s">
        <v>109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5"/>
    </row>
    <row r="49" spans="2:16" ht="15.75" thickBot="1">
      <c r="B49" s="275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5"/>
    </row>
    <row r="50" spans="2:16" ht="20.25" thickBot="1" thickTop="1">
      <c r="B50" s="275"/>
      <c r="C50" s="80"/>
      <c r="D50" s="233" t="s">
        <v>110</v>
      </c>
      <c r="F50" s="288"/>
      <c r="G50" s="73"/>
      <c r="H50" s="153" t="s">
        <v>111</v>
      </c>
      <c r="I50" s="485">
        <f>E18*I46</f>
        <v>24939.767525</v>
      </c>
      <c r="J50" s="69"/>
      <c r="K50" s="69"/>
      <c r="O50" s="69"/>
      <c r="P50" s="285"/>
    </row>
    <row r="51" spans="2:16" ht="21.75" thickTop="1">
      <c r="B51" s="275"/>
      <c r="C51" s="80"/>
      <c r="F51" s="289"/>
      <c r="G51" s="45"/>
      <c r="I51" s="69"/>
      <c r="J51" s="69"/>
      <c r="K51" s="69"/>
      <c r="O51" s="69"/>
      <c r="P51" s="285"/>
    </row>
    <row r="52" spans="2:16" ht="15">
      <c r="B52" s="275"/>
      <c r="C52" s="68" t="s">
        <v>112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5"/>
    </row>
    <row r="53" spans="2:16" ht="15">
      <c r="B53" s="275"/>
      <c r="C53" s="80"/>
      <c r="D53" s="75" t="s">
        <v>113</v>
      </c>
      <c r="E53" s="290">
        <f>10*I26*I50/I46</f>
        <v>120.880415</v>
      </c>
      <c r="F53" s="486"/>
      <c r="H53" s="69"/>
      <c r="I53" s="77"/>
      <c r="J53" s="77"/>
      <c r="K53" s="77"/>
      <c r="L53" s="77"/>
      <c r="M53" s="77"/>
      <c r="N53" s="78"/>
      <c r="O53" s="79"/>
      <c r="P53" s="285"/>
    </row>
    <row r="54" spans="2:16" ht="15">
      <c r="B54" s="275"/>
      <c r="C54" s="80"/>
      <c r="D54" s="69"/>
      <c r="E54" s="69"/>
      <c r="J54" s="77"/>
      <c r="K54" s="77"/>
      <c r="L54" s="77"/>
      <c r="M54" s="77"/>
      <c r="N54" s="78"/>
      <c r="O54" s="79"/>
      <c r="P54" s="285"/>
    </row>
    <row r="55" spans="2:16" ht="15">
      <c r="B55" s="275"/>
      <c r="C55" s="80"/>
      <c r="D55" s="69" t="s">
        <v>126</v>
      </c>
      <c r="E55" s="69"/>
      <c r="F55" s="69"/>
      <c r="G55" s="69"/>
      <c r="H55" s="69"/>
      <c r="M55" s="77"/>
      <c r="N55" s="78"/>
      <c r="O55" s="79"/>
      <c r="P55" s="285"/>
    </row>
    <row r="56" spans="2:16" ht="15.75" thickBot="1">
      <c r="B56" s="275"/>
      <c r="C56" s="80"/>
      <c r="D56" s="69"/>
      <c r="E56" s="69"/>
      <c r="F56" s="69"/>
      <c r="G56" s="69"/>
      <c r="H56" s="69"/>
      <c r="M56" s="77"/>
      <c r="N56" s="78"/>
      <c r="O56" s="79"/>
      <c r="P56" s="285"/>
    </row>
    <row r="57" spans="2:16" ht="20.25" thickBot="1" thickTop="1">
      <c r="B57" s="275"/>
      <c r="C57" s="80"/>
      <c r="D57" s="76"/>
      <c r="E57" s="76"/>
      <c r="F57" s="82"/>
      <c r="G57" s="77"/>
      <c r="H57" s="234" t="s">
        <v>114</v>
      </c>
      <c r="I57" s="487">
        <f>IF($E$53&gt;3*I50,3*I50,$E$53)</f>
        <v>120.880415</v>
      </c>
      <c r="J57" s="77"/>
      <c r="K57" s="77"/>
      <c r="L57" s="77"/>
      <c r="M57" s="77"/>
      <c r="N57" s="78"/>
      <c r="O57" s="79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3937007874015748" right="0.1968503937007874" top="0.7874015748031497" bottom="0.54" header="0.5118110236220472" footer="0.26"/>
  <pageSetup fitToHeight="1" fitToWidth="1" orientation="landscape" paperSize="9" scale="53" r:id="rId4"/>
  <headerFooter alignWithMargins="0">
    <oddFooter>&amp;L&amp;"Times New Roman,Normal"&amp;8&amp;Z&amp;F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22">
      <selection activeCell="M23" sqref="M2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2"/>
    </row>
    <row r="2" spans="1:16" s="109" customFormat="1" ht="26.25">
      <c r="A2" s="168"/>
      <c r="B2" s="684" t="str">
        <f>'TOT-0114'!B2</f>
        <v>ANEXO I al Memorándum  D.T.E.E.  N°        34   / 2014.-</v>
      </c>
      <c r="C2" s="684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" s="112" customFormat="1" ht="12.75">
      <c r="A3" s="689" t="s">
        <v>149</v>
      </c>
      <c r="B3" s="10"/>
      <c r="C3" s="10"/>
    </row>
    <row r="4" spans="1:3" s="112" customFormat="1" ht="11.25">
      <c r="A4" s="689" t="s">
        <v>148</v>
      </c>
      <c r="B4" s="231"/>
      <c r="C4" s="231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5"/>
      <c r="C8" s="73"/>
      <c r="D8" s="41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9"/>
    </row>
    <row r="9" spans="1:19" s="114" customFormat="1" ht="20.25">
      <c r="A9" s="45"/>
      <c r="B9" s="414"/>
      <c r="C9"/>
      <c r="D9" s="22" t="s">
        <v>184</v>
      </c>
      <c r="E9" s="415"/>
      <c r="F9" s="415"/>
      <c r="G9" s="415"/>
      <c r="H9" s="416"/>
      <c r="I9" s="415"/>
      <c r="J9" s="415"/>
      <c r="K9" s="415"/>
      <c r="L9" s="415"/>
      <c r="M9" s="415"/>
      <c r="N9" s="415"/>
      <c r="O9" s="415"/>
      <c r="P9" s="417"/>
      <c r="Q9" s="232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5" t="str">
        <f>+'TOT-0114'!B14</f>
        <v>Desde el 01 al 31 de enero de 2014</v>
      </c>
      <c r="C11" s="141"/>
      <c r="D11" s="195"/>
      <c r="E11" s="195"/>
      <c r="F11" s="195"/>
      <c r="G11" s="195"/>
      <c r="H11" s="195"/>
      <c r="I11" s="141"/>
      <c r="J11" s="195"/>
      <c r="K11" s="195"/>
      <c r="L11" s="195"/>
      <c r="M11" s="195"/>
      <c r="N11" s="195"/>
      <c r="O11" s="195"/>
      <c r="P11" s="418"/>
      <c r="Q11" s="419"/>
      <c r="R11" s="419"/>
      <c r="S11" s="419"/>
    </row>
    <row r="12" spans="1:19" ht="15">
      <c r="A12" s="1"/>
      <c r="B12" s="275"/>
      <c r="C12" s="73"/>
      <c r="D12" s="69"/>
      <c r="E12" s="69"/>
      <c r="F12" s="69"/>
      <c r="G12" s="69"/>
      <c r="H12" s="42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1"/>
    </row>
    <row r="13" spans="1:19" ht="18" customHeight="1">
      <c r="A13" s="1"/>
      <c r="B13" s="275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1"/>
    </row>
    <row r="14" spans="1:19" ht="18" customHeight="1">
      <c r="A14" s="1"/>
      <c r="B14" s="275"/>
      <c r="C14" s="73"/>
      <c r="D14" s="68"/>
      <c r="E14" s="422"/>
      <c r="F14" s="69"/>
      <c r="G14" s="69"/>
      <c r="H14" s="81"/>
      <c r="I14" s="81"/>
      <c r="J14" s="69"/>
      <c r="K14" s="69"/>
      <c r="P14" s="70"/>
      <c r="Q14" s="4"/>
      <c r="R14" s="4"/>
      <c r="S14" s="421"/>
    </row>
    <row r="15" spans="1:16" ht="16.5" thickBot="1">
      <c r="A15" s="1"/>
      <c r="B15" s="275"/>
      <c r="C15" s="423" t="s">
        <v>89</v>
      </c>
      <c r="D15" s="71"/>
      <c r="E15" s="276"/>
      <c r="F15" s="277"/>
      <c r="G15" s="73"/>
      <c r="H15" s="73"/>
      <c r="I15" s="73"/>
      <c r="J15" s="72"/>
      <c r="K15" s="72"/>
      <c r="L15" s="278"/>
      <c r="M15" s="73"/>
      <c r="N15" s="73"/>
      <c r="O15" s="73"/>
      <c r="P15" s="279"/>
    </row>
    <row r="16" spans="1:16" ht="16.5" thickBot="1">
      <c r="A16" s="1"/>
      <c r="B16" s="275"/>
      <c r="C16" s="280"/>
      <c r="D16" s="71"/>
      <c r="E16" s="276"/>
      <c r="F16" s="277"/>
      <c r="G16" s="73"/>
      <c r="H16" s="73"/>
      <c r="L16" s="424" t="s">
        <v>85</v>
      </c>
      <c r="M16" s="793">
        <v>12.9</v>
      </c>
      <c r="N16" s="794"/>
      <c r="O16" s="73"/>
      <c r="P16" s="279"/>
    </row>
    <row r="17" spans="1:16" ht="15.75">
      <c r="A17" s="1"/>
      <c r="B17" s="275"/>
      <c r="C17" s="280"/>
      <c r="D17" s="72" t="s">
        <v>90</v>
      </c>
      <c r="E17" s="281">
        <f>MID(B11,16,2)*24</f>
        <v>744</v>
      </c>
      <c r="F17" s="73" t="s">
        <v>91</v>
      </c>
      <c r="G17" s="69"/>
      <c r="H17" s="425"/>
      <c r="I17" s="426" t="s">
        <v>92</v>
      </c>
      <c r="J17" s="427">
        <v>277.875</v>
      </c>
      <c r="K17" s="407"/>
      <c r="L17" s="428" t="s">
        <v>86</v>
      </c>
      <c r="M17" s="795">
        <v>9.681000000000001</v>
      </c>
      <c r="N17" s="796"/>
      <c r="O17" s="73"/>
      <c r="P17" s="279"/>
    </row>
    <row r="18" spans="1:16" ht="16.5" thickBot="1">
      <c r="A18" s="1"/>
      <c r="B18" s="275"/>
      <c r="C18" s="280"/>
      <c r="D18" s="72" t="s">
        <v>93</v>
      </c>
      <c r="E18" s="283">
        <v>0.025</v>
      </c>
      <c r="F18" s="69"/>
      <c r="G18" s="69"/>
      <c r="H18" s="429"/>
      <c r="I18" s="430" t="s">
        <v>94</v>
      </c>
      <c r="J18" s="431">
        <v>0.975</v>
      </c>
      <c r="K18" s="432"/>
      <c r="L18" s="433" t="s">
        <v>87</v>
      </c>
      <c r="M18" s="797">
        <v>9.681000000000001</v>
      </c>
      <c r="N18" s="798"/>
      <c r="O18" s="73"/>
      <c r="P18" s="279"/>
    </row>
    <row r="19" spans="1:16" ht="15.75">
      <c r="A19" s="1"/>
      <c r="B19" s="275"/>
      <c r="C19" s="280"/>
      <c r="D19" s="72"/>
      <c r="E19" s="283"/>
      <c r="F19" s="69"/>
      <c r="G19" s="69"/>
      <c r="H19" s="69"/>
      <c r="I19" s="69"/>
      <c r="L19" s="278"/>
      <c r="M19" s="73"/>
      <c r="N19" s="73"/>
      <c r="O19" s="73"/>
      <c r="P19" s="279"/>
    </row>
    <row r="20" spans="1:16" ht="15">
      <c r="A20" s="1"/>
      <c r="B20" s="275"/>
      <c r="C20" s="68" t="s">
        <v>95</v>
      </c>
      <c r="D20" s="76"/>
      <c r="E20" s="276"/>
      <c r="F20" s="277"/>
      <c r="G20" s="73"/>
      <c r="H20" s="73"/>
      <c r="I20" s="73"/>
      <c r="J20" s="72"/>
      <c r="K20" s="72"/>
      <c r="L20" s="278"/>
      <c r="M20" s="73"/>
      <c r="N20" s="73"/>
      <c r="O20" s="73"/>
      <c r="P20" s="279"/>
    </row>
    <row r="21" spans="1:16" ht="15">
      <c r="A21" s="1"/>
      <c r="B21" s="275"/>
      <c r="C21" s="73"/>
      <c r="D21" s="73"/>
      <c r="E21" s="73"/>
      <c r="F21" s="73"/>
      <c r="G21" s="73"/>
      <c r="H21" s="284"/>
      <c r="I21" s="73"/>
      <c r="J21" s="73"/>
      <c r="K21" s="73"/>
      <c r="L21" s="73"/>
      <c r="M21" s="73"/>
      <c r="N21" s="73"/>
      <c r="O21" s="73"/>
      <c r="P21" s="279"/>
    </row>
    <row r="22" spans="1:16" ht="15">
      <c r="A22" s="1"/>
      <c r="B22" s="275"/>
      <c r="C22" s="73"/>
      <c r="D22" s="72" t="s">
        <v>96</v>
      </c>
      <c r="E22" s="73"/>
      <c r="F22" s="284" t="s">
        <v>20</v>
      </c>
      <c r="G22" s="73"/>
      <c r="H22" s="71"/>
      <c r="I22" s="434">
        <f>'TOT-0114'!I20</f>
        <v>115.22</v>
      </c>
      <c r="J22" s="73"/>
      <c r="K22" s="73"/>
      <c r="L22" s="724" t="s">
        <v>187</v>
      </c>
      <c r="M22" s="73"/>
      <c r="N22" s="73"/>
      <c r="O22" s="73"/>
      <c r="P22" s="279"/>
    </row>
    <row r="23" spans="1:16" ht="15">
      <c r="A23" s="1"/>
      <c r="B23" s="275"/>
      <c r="C23" s="73"/>
      <c r="D23" s="73"/>
      <c r="E23" s="73"/>
      <c r="F23" s="284" t="s">
        <v>97</v>
      </c>
      <c r="G23" s="73"/>
      <c r="H23" s="71"/>
      <c r="I23" s="434">
        <f>'TOT-0114'!I27</f>
        <v>47.39</v>
      </c>
      <c r="J23" s="73"/>
      <c r="K23" s="73"/>
      <c r="L23" s="435"/>
      <c r="M23" s="73"/>
      <c r="N23" s="73"/>
      <c r="O23" s="73"/>
      <c r="P23" s="279"/>
    </row>
    <row r="24" spans="1:16" ht="15">
      <c r="A24" s="1"/>
      <c r="B24" s="275"/>
      <c r="C24" s="73"/>
      <c r="D24" s="73"/>
      <c r="E24" s="73"/>
      <c r="F24" s="284" t="s">
        <v>3</v>
      </c>
      <c r="G24" s="73"/>
      <c r="H24" s="71"/>
      <c r="I24" s="436">
        <f>'TOT-0114'!I32</f>
        <v>78.41610000000003</v>
      </c>
      <c r="J24" s="73"/>
      <c r="K24" s="73"/>
      <c r="L24" s="724" t="s">
        <v>188</v>
      </c>
      <c r="M24" s="73"/>
      <c r="N24" s="73"/>
      <c r="O24" s="73"/>
      <c r="P24" s="279"/>
    </row>
    <row r="25" spans="1:16" ht="15.75" thickBot="1">
      <c r="A25" s="1"/>
      <c r="B25" s="275"/>
      <c r="C25" s="73"/>
      <c r="D25" s="73"/>
      <c r="E25" s="73"/>
      <c r="F25" s="73"/>
      <c r="G25" s="73"/>
      <c r="H25" s="284"/>
      <c r="I25" s="73"/>
      <c r="J25" s="73"/>
      <c r="K25" s="73"/>
      <c r="L25" s="73"/>
      <c r="M25" s="73"/>
      <c r="N25" s="73"/>
      <c r="O25" s="73"/>
      <c r="P25" s="279"/>
    </row>
    <row r="26" spans="2:16" ht="20.25" thickBot="1" thickTop="1">
      <c r="B26" s="275"/>
      <c r="C26" s="80"/>
      <c r="H26" s="437" t="s">
        <v>100</v>
      </c>
      <c r="I26" s="154">
        <f>SUM(I22:I25)</f>
        <v>241.02610000000004</v>
      </c>
      <c r="L26" s="77"/>
      <c r="M26" s="77"/>
      <c r="N26" s="78"/>
      <c r="O26" s="79"/>
      <c r="P26" s="285"/>
    </row>
    <row r="27" spans="2:16" ht="15.75" thickTop="1">
      <c r="B27" s="275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5"/>
    </row>
    <row r="28" spans="2:16" ht="15">
      <c r="B28" s="275"/>
      <c r="C28" s="68" t="s">
        <v>101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5"/>
    </row>
    <row r="29" spans="2:16" ht="15">
      <c r="B29" s="275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5"/>
    </row>
    <row r="30" spans="2:16" ht="15.75">
      <c r="B30" s="275"/>
      <c r="C30" s="80"/>
      <c r="D30" s="438" t="s">
        <v>102</v>
      </c>
      <c r="E30" s="439" t="s">
        <v>16</v>
      </c>
      <c r="F30" s="440" t="s">
        <v>103</v>
      </c>
      <c r="G30" s="441"/>
      <c r="H30" s="667" t="s">
        <v>137</v>
      </c>
      <c r="I30" s="666" t="s">
        <v>136</v>
      </c>
      <c r="J30" s="662"/>
      <c r="K30" s="464"/>
      <c r="L30" s="442" t="s">
        <v>2</v>
      </c>
      <c r="N30" s="78"/>
      <c r="O30" s="79"/>
      <c r="P30" s="285"/>
    </row>
    <row r="31" spans="2:16" ht="15.75">
      <c r="B31" s="275"/>
      <c r="C31" s="80"/>
      <c r="D31" s="443" t="s">
        <v>127</v>
      </c>
      <c r="E31" s="444">
        <v>132</v>
      </c>
      <c r="F31" s="445">
        <v>42.6</v>
      </c>
      <c r="G31" s="446"/>
      <c r="H31" s="447">
        <v>44729</v>
      </c>
      <c r="I31" s="448">
        <v>44729</v>
      </c>
      <c r="J31" s="664" t="s">
        <v>185</v>
      </c>
      <c r="K31" s="450"/>
      <c r="L31" s="451">
        <f>SUM(H31:K31)</f>
        <v>89458</v>
      </c>
      <c r="M31" s="77"/>
      <c r="N31" s="78"/>
      <c r="O31" s="79"/>
      <c r="P31" s="285"/>
    </row>
    <row r="32" spans="2:16" ht="15.75">
      <c r="B32" s="275"/>
      <c r="C32" s="80"/>
      <c r="D32" s="471" t="s">
        <v>128</v>
      </c>
      <c r="E32" s="76">
        <v>132</v>
      </c>
      <c r="F32" s="82">
        <v>33.6</v>
      </c>
      <c r="G32" s="77"/>
      <c r="H32" s="290">
        <f>F32*$J$17*$E$17/100</f>
        <v>69464.304</v>
      </c>
      <c r="I32" s="488">
        <v>8386</v>
      </c>
      <c r="J32" s="663" t="s">
        <v>185</v>
      </c>
      <c r="K32" s="282"/>
      <c r="L32" s="472">
        <f>SUM(H32:K32)</f>
        <v>77850.304</v>
      </c>
      <c r="M32" s="77"/>
      <c r="N32" s="78"/>
      <c r="O32" s="79"/>
      <c r="P32" s="285"/>
    </row>
    <row r="33" spans="2:16" ht="15.75">
      <c r="B33" s="275"/>
      <c r="C33" s="80"/>
      <c r="D33" s="471" t="s">
        <v>129</v>
      </c>
      <c r="E33" s="76">
        <v>132</v>
      </c>
      <c r="F33" s="82">
        <v>41</v>
      </c>
      <c r="G33" s="77"/>
      <c r="H33" s="290">
        <f>F33*$J$17*$E$17/100</f>
        <v>84762.99</v>
      </c>
      <c r="I33" s="488">
        <v>576</v>
      </c>
      <c r="J33" s="663" t="s">
        <v>185</v>
      </c>
      <c r="K33" s="282"/>
      <c r="L33" s="472">
        <f>SUM(H33:K33)</f>
        <v>85338.99</v>
      </c>
      <c r="M33" s="77"/>
      <c r="N33" s="78"/>
      <c r="O33" s="79"/>
      <c r="P33" s="285"/>
    </row>
    <row r="34" spans="2:16" ht="15.75">
      <c r="B34" s="275"/>
      <c r="C34" s="80"/>
      <c r="D34" s="452"/>
      <c r="E34" s="453"/>
      <c r="F34" s="454"/>
      <c r="G34" s="455"/>
      <c r="H34" s="456"/>
      <c r="I34" s="457"/>
      <c r="J34" s="665"/>
      <c r="K34" s="459"/>
      <c r="L34" s="460"/>
      <c r="M34" s="77"/>
      <c r="N34" s="78"/>
      <c r="O34" s="79"/>
      <c r="P34" s="285"/>
    </row>
    <row r="35" spans="2:16" ht="15">
      <c r="B35" s="275"/>
      <c r="C35" s="80"/>
      <c r="D35" s="76"/>
      <c r="E35" s="76"/>
      <c r="F35" s="286"/>
      <c r="G35" s="77"/>
      <c r="I35" s="83"/>
      <c r="J35" s="282"/>
      <c r="K35" s="282"/>
      <c r="L35" s="461">
        <f>SUM(L31:L34)</f>
        <v>252647.294</v>
      </c>
      <c r="M35" s="77"/>
      <c r="N35" s="78"/>
      <c r="O35" s="79"/>
      <c r="P35" s="285"/>
    </row>
    <row r="36" spans="2:16" ht="15">
      <c r="B36" s="275"/>
      <c r="C36" s="80"/>
      <c r="D36" s="76"/>
      <c r="E36" s="76"/>
      <c r="F36" s="286"/>
      <c r="G36" s="77"/>
      <c r="I36" s="83"/>
      <c r="J36" s="282"/>
      <c r="K36" s="282"/>
      <c r="L36" s="287"/>
      <c r="M36" s="77"/>
      <c r="N36" s="78"/>
      <c r="O36" s="79"/>
      <c r="P36" s="285"/>
    </row>
    <row r="37" spans="2:16" ht="15.75">
      <c r="B37" s="275"/>
      <c r="C37" s="80"/>
      <c r="D37" s="438" t="s">
        <v>104</v>
      </c>
      <c r="E37" s="439" t="s">
        <v>105</v>
      </c>
      <c r="F37" s="489" t="s">
        <v>115</v>
      </c>
      <c r="G37" s="490"/>
      <c r="H37" s="668" t="s">
        <v>138</v>
      </c>
      <c r="J37" s="462" t="s">
        <v>106</v>
      </c>
      <c r="K37" s="463"/>
      <c r="L37" s="464" t="s">
        <v>50</v>
      </c>
      <c r="M37" s="439" t="s">
        <v>16</v>
      </c>
      <c r="N37" s="465" t="s">
        <v>107</v>
      </c>
      <c r="O37" s="466"/>
      <c r="P37" s="285"/>
    </row>
    <row r="38" spans="2:16" ht="15">
      <c r="B38" s="275"/>
      <c r="C38" s="80"/>
      <c r="D38" s="443"/>
      <c r="E38" s="444"/>
      <c r="F38" s="491"/>
      <c r="G38" s="492"/>
      <c r="H38" s="451">
        <f>+F38*$J$18*$E$17</f>
        <v>0</v>
      </c>
      <c r="J38" s="669" t="s">
        <v>130</v>
      </c>
      <c r="K38" s="670"/>
      <c r="L38" s="671" t="s">
        <v>132</v>
      </c>
      <c r="M38" s="468">
        <v>132</v>
      </c>
      <c r="N38" s="469">
        <f aca="true" t="shared" si="0" ref="N38:N43">$M$16*$E$17</f>
        <v>9597.6</v>
      </c>
      <c r="O38" s="470"/>
      <c r="P38" s="285"/>
    </row>
    <row r="39" spans="2:16" ht="15">
      <c r="B39" s="275"/>
      <c r="C39" s="80"/>
      <c r="D39" s="471"/>
      <c r="E39" s="76"/>
      <c r="F39" s="493"/>
      <c r="G39" s="494"/>
      <c r="H39" s="472">
        <f>+F39*$J$18*$E$17</f>
        <v>0</v>
      </c>
      <c r="J39" s="672" t="s">
        <v>130</v>
      </c>
      <c r="K39" s="673"/>
      <c r="L39" s="674" t="s">
        <v>141</v>
      </c>
      <c r="M39" s="78">
        <v>132</v>
      </c>
      <c r="N39" s="475">
        <f t="shared" si="0"/>
        <v>9597.6</v>
      </c>
      <c r="O39" s="476"/>
      <c r="P39" s="285"/>
    </row>
    <row r="40" spans="2:16" ht="15">
      <c r="B40" s="275"/>
      <c r="C40" s="80"/>
      <c r="D40" s="471"/>
      <c r="E40" s="76"/>
      <c r="F40" s="493"/>
      <c r="G40" s="494"/>
      <c r="H40" s="472">
        <f>+F40*$J$18*$E$17</f>
        <v>0</v>
      </c>
      <c r="J40" s="672" t="s">
        <v>131</v>
      </c>
      <c r="K40" s="673"/>
      <c r="L40" s="674" t="s">
        <v>132</v>
      </c>
      <c r="M40" s="78">
        <v>132</v>
      </c>
      <c r="N40" s="475">
        <f t="shared" si="0"/>
        <v>9597.6</v>
      </c>
      <c r="O40" s="476"/>
      <c r="P40" s="285"/>
    </row>
    <row r="41" spans="2:16" ht="15">
      <c r="B41" s="275"/>
      <c r="C41" s="80"/>
      <c r="D41" s="471"/>
      <c r="E41" s="76"/>
      <c r="F41" s="493"/>
      <c r="G41" s="494"/>
      <c r="H41" s="472">
        <f>+F41*$J$18*$E$17</f>
        <v>0</v>
      </c>
      <c r="J41" s="672" t="s">
        <v>133</v>
      </c>
      <c r="K41" s="673"/>
      <c r="L41" s="674" t="s">
        <v>134</v>
      </c>
      <c r="M41" s="78">
        <v>132</v>
      </c>
      <c r="N41" s="475">
        <f t="shared" si="0"/>
        <v>9597.6</v>
      </c>
      <c r="O41" s="476"/>
      <c r="P41" s="285"/>
    </row>
    <row r="42" spans="2:16" ht="15">
      <c r="B42" s="275"/>
      <c r="C42" s="80"/>
      <c r="D42" s="452"/>
      <c r="E42" s="453"/>
      <c r="F42" s="495"/>
      <c r="G42" s="496"/>
      <c r="H42" s="472">
        <f>+F42*$J$18*$E$17</f>
        <v>0</v>
      </c>
      <c r="J42" s="672" t="s">
        <v>133</v>
      </c>
      <c r="K42" s="673"/>
      <c r="L42" s="674" t="s">
        <v>135</v>
      </c>
      <c r="M42" s="78">
        <v>132</v>
      </c>
      <c r="N42" s="475">
        <f t="shared" si="0"/>
        <v>9597.6</v>
      </c>
      <c r="O42" s="476"/>
      <c r="P42" s="285"/>
    </row>
    <row r="43" spans="2:16" ht="15">
      <c r="B43" s="275"/>
      <c r="C43" s="80"/>
      <c r="D43" s="76"/>
      <c r="E43" s="76"/>
      <c r="F43" s="286"/>
      <c r="G43" s="77"/>
      <c r="H43" s="461">
        <f>SUM(H38:H42)</f>
        <v>0</v>
      </c>
      <c r="J43" s="675" t="s">
        <v>133</v>
      </c>
      <c r="K43" s="676"/>
      <c r="L43" s="677" t="s">
        <v>142</v>
      </c>
      <c r="M43" s="478">
        <v>132</v>
      </c>
      <c r="N43" s="479">
        <f t="shared" si="0"/>
        <v>9597.6</v>
      </c>
      <c r="O43" s="480"/>
      <c r="P43" s="285"/>
    </row>
    <row r="44" spans="2:16" ht="15">
      <c r="B44" s="275"/>
      <c r="C44" s="80"/>
      <c r="D44" s="76"/>
      <c r="E44" s="76"/>
      <c r="F44" s="286"/>
      <c r="G44" s="77"/>
      <c r="I44" s="83"/>
      <c r="J44" s="282"/>
      <c r="K44" s="282"/>
      <c r="L44" s="287"/>
      <c r="M44" s="77"/>
      <c r="N44" s="481">
        <f>SUM(N38:N43)</f>
        <v>57585.6</v>
      </c>
      <c r="O44" s="466"/>
      <c r="P44" s="285"/>
    </row>
    <row r="45" spans="2:16" ht="12.75" customHeight="1" thickBot="1">
      <c r="B45" s="275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5"/>
    </row>
    <row r="46" spans="2:16" ht="20.25" thickBot="1" thickTop="1">
      <c r="B46" s="275"/>
      <c r="C46" s="80"/>
      <c r="D46" s="76"/>
      <c r="E46" s="76"/>
      <c r="F46" s="82"/>
      <c r="G46" s="77"/>
      <c r="H46" s="482" t="s">
        <v>108</v>
      </c>
      <c r="I46" s="483">
        <f>+H43+N44+L35</f>
        <v>310232.894</v>
      </c>
      <c r="J46" s="76"/>
      <c r="K46" s="76"/>
      <c r="L46" s="77"/>
      <c r="M46" s="77"/>
      <c r="N46" s="78"/>
      <c r="O46" s="79"/>
      <c r="P46" s="285"/>
    </row>
    <row r="47" spans="2:16" ht="15.75" thickTop="1">
      <c r="B47" s="275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5"/>
    </row>
    <row r="48" spans="2:16" ht="15.75">
      <c r="B48" s="275"/>
      <c r="C48" s="484" t="s">
        <v>109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5"/>
    </row>
    <row r="49" spans="2:16" ht="15.75" thickBot="1">
      <c r="B49" s="275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5"/>
    </row>
    <row r="50" spans="2:16" ht="20.25" thickBot="1" thickTop="1">
      <c r="B50" s="275"/>
      <c r="C50" s="80"/>
      <c r="D50" s="233" t="s">
        <v>110</v>
      </c>
      <c r="F50" s="288"/>
      <c r="G50" s="73"/>
      <c r="H50" s="153" t="s">
        <v>111</v>
      </c>
      <c r="I50" s="485">
        <f>E18*I46</f>
        <v>7755.8223499999995</v>
      </c>
      <c r="J50" s="69"/>
      <c r="K50" s="69"/>
      <c r="O50" s="69"/>
      <c r="P50" s="285"/>
    </row>
    <row r="51" spans="2:16" ht="21.75" thickTop="1">
      <c r="B51" s="275"/>
      <c r="C51" s="80"/>
      <c r="F51" s="289"/>
      <c r="G51" s="45"/>
      <c r="I51" s="69"/>
      <c r="J51" s="69"/>
      <c r="K51" s="69"/>
      <c r="O51" s="69"/>
      <c r="P51" s="285"/>
    </row>
    <row r="52" spans="2:16" ht="15">
      <c r="B52" s="275"/>
      <c r="C52" s="68" t="s">
        <v>112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5"/>
    </row>
    <row r="53" spans="2:16" ht="15">
      <c r="B53" s="275"/>
      <c r="C53" s="80"/>
      <c r="D53" s="75" t="s">
        <v>113</v>
      </c>
      <c r="E53" s="290">
        <f>10*I26*I50/I46</f>
        <v>60.25652500000001</v>
      </c>
      <c r="F53" s="486"/>
      <c r="H53" s="69"/>
      <c r="I53" s="77"/>
      <c r="J53" s="77"/>
      <c r="K53" s="77"/>
      <c r="L53" s="77"/>
      <c r="M53" s="77"/>
      <c r="N53" s="78"/>
      <c r="O53" s="79"/>
      <c r="P53" s="285"/>
    </row>
    <row r="54" spans="2:16" ht="15">
      <c r="B54" s="275"/>
      <c r="C54" s="80"/>
      <c r="D54" s="69"/>
      <c r="E54" s="69"/>
      <c r="J54" s="77"/>
      <c r="K54" s="77"/>
      <c r="L54" s="77"/>
      <c r="M54" s="77"/>
      <c r="N54" s="78"/>
      <c r="O54" s="79"/>
      <c r="P54" s="285"/>
    </row>
    <row r="55" spans="2:16" ht="15">
      <c r="B55" s="275"/>
      <c r="C55" s="80"/>
      <c r="D55" s="69" t="s">
        <v>126</v>
      </c>
      <c r="E55" s="69"/>
      <c r="F55" s="69"/>
      <c r="G55" s="69"/>
      <c r="H55" s="69"/>
      <c r="M55" s="77"/>
      <c r="N55" s="78"/>
      <c r="O55" s="79"/>
      <c r="P55" s="285"/>
    </row>
    <row r="56" spans="2:16" ht="15.75" thickBot="1">
      <c r="B56" s="275"/>
      <c r="C56" s="80"/>
      <c r="D56" s="69"/>
      <c r="E56" s="69"/>
      <c r="F56" s="69"/>
      <c r="G56" s="69"/>
      <c r="H56" s="69"/>
      <c r="M56" s="77"/>
      <c r="N56" s="78"/>
      <c r="O56" s="79"/>
      <c r="P56" s="285"/>
    </row>
    <row r="57" spans="2:16" ht="20.25" thickBot="1" thickTop="1">
      <c r="B57" s="275"/>
      <c r="C57" s="80"/>
      <c r="D57" s="76"/>
      <c r="E57" s="76"/>
      <c r="F57" s="82"/>
      <c r="G57" s="77"/>
      <c r="H57" s="234" t="s">
        <v>114</v>
      </c>
      <c r="I57" s="487">
        <f>IF($E$53&gt;3*I50,3*I50,$E$53)</f>
        <v>60.25652500000001</v>
      </c>
      <c r="J57" s="77"/>
      <c r="K57" s="77"/>
      <c r="L57" s="77"/>
      <c r="M57" s="77"/>
      <c r="N57" s="78"/>
      <c r="O57" s="79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61" right="0.1968503937007874" top="0.67" bottom="0.56" header="0.5118110236220472" footer="0.26"/>
  <pageSetup fitToHeight="1" fitToWidth="1" orientation="landscape" paperSize="9" scale="54" r:id="rId4"/>
  <headerFooter alignWithMargins="0">
    <oddFooter>&amp;L&amp;"Times New Roman,Normal"&amp;8&amp;Z&amp;F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C1">
      <selection activeCell="N15" sqref="N1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12"/>
    </row>
    <row r="2" spans="2:20" s="727" customFormat="1" ht="30.75">
      <c r="B2" s="110" t="str">
        <f>'TOT-0114'!B2</f>
        <v>ANEXO I al Memorándum  D.T.E.E.  N°        34   / 2014.-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</row>
    <row r="3" spans="1:2" ht="17.25" customHeight="1">
      <c r="A3" s="729" t="s">
        <v>17</v>
      </c>
      <c r="B3" s="730"/>
    </row>
    <row r="4" spans="1:4" ht="12.75" customHeight="1">
      <c r="A4" s="729" t="s">
        <v>18</v>
      </c>
      <c r="B4" s="730"/>
      <c r="D4" s="731"/>
    </row>
    <row r="5" spans="1:4" ht="21.75" customHeight="1">
      <c r="A5" s="732"/>
      <c r="D5" s="731"/>
    </row>
    <row r="6" spans="1:20" ht="26.25">
      <c r="A6" s="732"/>
      <c r="B6" s="733" t="s">
        <v>190</v>
      </c>
      <c r="C6" s="85"/>
      <c r="D6" s="731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32"/>
      <c r="D7" s="731"/>
    </row>
    <row r="8" spans="1:20" ht="26.25">
      <c r="A8" s="732"/>
      <c r="B8" s="734" t="s">
        <v>1</v>
      </c>
      <c r="C8" s="85"/>
      <c r="D8" s="731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32"/>
      <c r="D9" s="731"/>
    </row>
    <row r="10" spans="1:20" ht="26.25">
      <c r="A10" s="732"/>
      <c r="B10" s="734" t="s">
        <v>191</v>
      </c>
      <c r="C10" s="85"/>
      <c r="D10" s="731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35"/>
      <c r="C12" s="736"/>
      <c r="D12" s="737"/>
      <c r="E12" s="737"/>
      <c r="F12" s="737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8"/>
    </row>
    <row r="13" spans="2:20" ht="19.5">
      <c r="B13" s="235" t="s">
        <v>199</v>
      </c>
      <c r="C13" s="85"/>
      <c r="D13" s="739"/>
      <c r="E13" s="739"/>
      <c r="F13" s="739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1"/>
    </row>
    <row r="14" spans="2:20" ht="18.75" customHeight="1" thickBot="1">
      <c r="B14" s="2"/>
      <c r="C14" s="742"/>
      <c r="D14" s="743"/>
      <c r="E14" s="743"/>
      <c r="F14" s="74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52" customFormat="1" ht="34.5" customHeight="1" thickBot="1" thickTop="1">
      <c r="A15" s="730"/>
      <c r="B15" s="745"/>
      <c r="C15" s="746"/>
      <c r="D15" s="747" t="s">
        <v>20</v>
      </c>
      <c r="E15" s="748" t="s">
        <v>47</v>
      </c>
      <c r="F15" s="749" t="s">
        <v>48</v>
      </c>
      <c r="G15" s="750">
        <f>'[2]Tasa de Falla'!HQ15</f>
        <v>41275</v>
      </c>
      <c r="H15" s="750">
        <f>'[2]Tasa de Falla'!HR15</f>
        <v>41306</v>
      </c>
      <c r="I15" s="750">
        <f>'[2]Tasa de Falla'!HS15</f>
        <v>41334</v>
      </c>
      <c r="J15" s="750">
        <f>'[2]Tasa de Falla'!HT15</f>
        <v>41365</v>
      </c>
      <c r="K15" s="750">
        <f>'[2]Tasa de Falla'!HU15</f>
        <v>41395</v>
      </c>
      <c r="L15" s="750">
        <f>'[2]Tasa de Falla'!HV15</f>
        <v>41426</v>
      </c>
      <c r="M15" s="750">
        <f>'[2]Tasa de Falla'!HW15</f>
        <v>41456</v>
      </c>
      <c r="N15" s="750">
        <f>'[2]Tasa de Falla'!HX15</f>
        <v>41487</v>
      </c>
      <c r="O15" s="750">
        <f>'[2]Tasa de Falla'!HY15</f>
        <v>41518</v>
      </c>
      <c r="P15" s="750">
        <f>'[2]Tasa de Falla'!HZ15</f>
        <v>41548</v>
      </c>
      <c r="Q15" s="750">
        <f>'[2]Tasa de Falla'!IA15</f>
        <v>41579</v>
      </c>
      <c r="R15" s="750">
        <f>'[2]Tasa de Falla'!IB15</f>
        <v>41609</v>
      </c>
      <c r="S15" s="750">
        <f>'[2]Tasa de Falla'!IC15</f>
        <v>41640</v>
      </c>
      <c r="T15" s="751"/>
    </row>
    <row r="16" spans="2:20" ht="15" customHeight="1" thickTop="1">
      <c r="B16" s="2"/>
      <c r="C16" s="753"/>
      <c r="D16" s="754"/>
      <c r="E16" s="754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6"/>
      <c r="T16" s="3"/>
    </row>
    <row r="17" spans="2:20" ht="12.75" hidden="1">
      <c r="B17" s="2"/>
      <c r="C17" s="757">
        <f>IF('[1]Tasa de Falla'!C17=0,"",'[1]Tasa de Falla'!C17)</f>
        <v>1</v>
      </c>
      <c r="D17" s="758" t="str">
        <f>IF('[1]Tasa de Falla'!D17=0,"",'[1]Tasa de Falla'!D17)</f>
        <v>AMEGHINO - COMODORO RIVADAVIA</v>
      </c>
      <c r="E17" s="758">
        <f>IF('[1]Tasa de Falla'!E17=0,"",'[1]Tasa de Falla'!E17)</f>
        <v>132</v>
      </c>
      <c r="F17" s="759">
        <f>IF('[1]Tasa de Falla'!F17=0,"",'[1]Tasa de Falla'!F17)</f>
        <v>305</v>
      </c>
      <c r="G17" s="760" t="str">
        <f>IF('[1]Tasa de Falla'!EA17=0,"",'[1]Tasa de Falla'!EA17)</f>
        <v>XXXX</v>
      </c>
      <c r="H17" s="760" t="str">
        <f>IF('[1]Tasa de Falla'!EB17=0,"",'[1]Tasa de Falla'!EB17)</f>
        <v>XXXX</v>
      </c>
      <c r="I17" s="760" t="str">
        <f>IF('[1]Tasa de Falla'!EC17=0,"",'[1]Tasa de Falla'!EC17)</f>
        <v>XXXX</v>
      </c>
      <c r="J17" s="760" t="str">
        <f>IF('[1]Tasa de Falla'!ED17=0,"",'[1]Tasa de Falla'!ED17)</f>
        <v>XXXX</v>
      </c>
      <c r="K17" s="760" t="str">
        <f>IF('[1]Tasa de Falla'!EE17=0,"",'[1]Tasa de Falla'!EE17)</f>
        <v>XXXX</v>
      </c>
      <c r="L17" s="760" t="str">
        <f>IF('[1]Tasa de Falla'!EF17=0,"",'[1]Tasa de Falla'!EF17)</f>
        <v>XXXX</v>
      </c>
      <c r="M17" s="760" t="str">
        <f>IF('[1]Tasa de Falla'!EG17=0,"",'[1]Tasa de Falla'!EG17)</f>
        <v>XXXX</v>
      </c>
      <c r="N17" s="760" t="str">
        <f>IF('[1]Tasa de Falla'!EH17=0,"",'[1]Tasa de Falla'!EH17)</f>
        <v>XXXX</v>
      </c>
      <c r="O17" s="760" t="str">
        <f>IF('[1]Tasa de Falla'!EI17=0,"",'[1]Tasa de Falla'!EI17)</f>
        <v>XXXX</v>
      </c>
      <c r="P17" s="760" t="str">
        <f>IF('[1]Tasa de Falla'!EJ17=0,"",'[1]Tasa de Falla'!EJ17)</f>
        <v>XXXX</v>
      </c>
      <c r="Q17" s="760" t="str">
        <f>IF('[1]Tasa de Falla'!EK17=0,"",'[1]Tasa de Falla'!EK17)</f>
        <v>XXXX</v>
      </c>
      <c r="R17" s="760" t="str">
        <f>IF('[1]Tasa de Falla'!EL17=0,"",'[1]Tasa de Falla'!EL17)</f>
        <v>XXXX</v>
      </c>
      <c r="S17" s="761"/>
      <c r="T17" s="3"/>
    </row>
    <row r="18" spans="2:20" ht="18" customHeight="1">
      <c r="B18" s="2"/>
      <c r="C18" s="762">
        <f>IF('[2]Tasa de Falla'!C17="","",'[2]Tasa de Falla'!C17)</f>
        <v>1</v>
      </c>
      <c r="D18" s="762" t="str">
        <f>IF('[2]Tasa de Falla'!D17="","",'[2]Tasa de Falla'!D17)</f>
        <v>AMEGHINO - COMODORO RIVADAVIA</v>
      </c>
      <c r="E18" s="762">
        <f>IF('[2]Tasa de Falla'!E17="","",'[2]Tasa de Falla'!E17)</f>
        <v>132</v>
      </c>
      <c r="F18" s="762">
        <f>IF('[2]Tasa de Falla'!F17="","",'[2]Tasa de Falla'!F17)</f>
        <v>305</v>
      </c>
      <c r="G18" s="763" t="str">
        <f>IF('[2]Tasa de Falla'!HQ17="","",'[2]Tasa de Falla'!HQ17)</f>
        <v>XXXX</v>
      </c>
      <c r="H18" s="763" t="str">
        <f>IF('[2]Tasa de Falla'!HR17="","",'[2]Tasa de Falla'!HR17)</f>
        <v>XXXX</v>
      </c>
      <c r="I18" s="763" t="str">
        <f>IF('[2]Tasa de Falla'!HS17="","",'[2]Tasa de Falla'!HS17)</f>
        <v>XXXX</v>
      </c>
      <c r="J18" s="763" t="str">
        <f>IF('[2]Tasa de Falla'!HT17="","",'[2]Tasa de Falla'!HT17)</f>
        <v>XXXX</v>
      </c>
      <c r="K18" s="763" t="str">
        <f>IF('[2]Tasa de Falla'!HU17="","",'[2]Tasa de Falla'!HU17)</f>
        <v>XXXX</v>
      </c>
      <c r="L18" s="763" t="str">
        <f>IF('[2]Tasa de Falla'!HV17="","",'[2]Tasa de Falla'!HV17)</f>
        <v>XXXX</v>
      </c>
      <c r="M18" s="763" t="str">
        <f>IF('[2]Tasa de Falla'!HW17="","",'[2]Tasa de Falla'!HW17)</f>
        <v>XXXX</v>
      </c>
      <c r="N18" s="763" t="str">
        <f>IF('[2]Tasa de Falla'!HX17="","",'[2]Tasa de Falla'!HX17)</f>
        <v>XXXX</v>
      </c>
      <c r="O18" s="763" t="str">
        <f>IF('[2]Tasa de Falla'!HY17="","",'[2]Tasa de Falla'!HY17)</f>
        <v>XXXX</v>
      </c>
      <c r="P18" s="763" t="str">
        <f>IF('[2]Tasa de Falla'!HZ17="","",'[2]Tasa de Falla'!HZ17)</f>
        <v>XXXX</v>
      </c>
      <c r="Q18" s="763" t="str">
        <f>IF('[2]Tasa de Falla'!IA17="","",'[2]Tasa de Falla'!IA17)</f>
        <v>XXXX</v>
      </c>
      <c r="R18" s="763" t="str">
        <f>IF('[2]Tasa de Falla'!IB17="","",'[2]Tasa de Falla'!IB17)</f>
        <v>XXXX</v>
      </c>
      <c r="S18" s="761"/>
      <c r="T18" s="3"/>
    </row>
    <row r="19" spans="2:20" ht="15" customHeight="1">
      <c r="B19" s="2"/>
      <c r="C19" s="764">
        <f>IF('[2]Tasa de Falla'!C18="","",'[2]Tasa de Falla'!C18)</f>
        <v>2</v>
      </c>
      <c r="D19" s="764" t="str">
        <f>IF('[2]Tasa de Falla'!D18="","",'[2]Tasa de Falla'!D18)</f>
        <v>AMEGHINO - ESTACION PATAGONIA</v>
      </c>
      <c r="E19" s="764">
        <f>IF('[2]Tasa de Falla'!E18="","",'[2]Tasa de Falla'!E18)</f>
        <v>132</v>
      </c>
      <c r="F19" s="764">
        <f>IF('[2]Tasa de Falla'!F18="","",'[2]Tasa de Falla'!F18)</f>
        <v>299.6</v>
      </c>
      <c r="G19" s="765">
        <f>IF('[2]Tasa de Falla'!HQ18="","",'[2]Tasa de Falla'!HQ18)</f>
      </c>
      <c r="H19" s="765">
        <f>IF('[2]Tasa de Falla'!HR18="","",'[2]Tasa de Falla'!HR18)</f>
      </c>
      <c r="I19" s="765">
        <f>IF('[2]Tasa de Falla'!HS18="","",'[2]Tasa de Falla'!HS18)</f>
      </c>
      <c r="J19" s="765">
        <f>IF('[2]Tasa de Falla'!HT18="","",'[2]Tasa de Falla'!HT18)</f>
        <v>2</v>
      </c>
      <c r="K19" s="765">
        <f>IF('[2]Tasa de Falla'!HU18="","",'[2]Tasa de Falla'!HU18)</f>
      </c>
      <c r="L19" s="765">
        <f>IF('[2]Tasa de Falla'!HV18="","",'[2]Tasa de Falla'!HV18)</f>
      </c>
      <c r="M19" s="765">
        <f>IF('[2]Tasa de Falla'!HW18="","",'[2]Tasa de Falla'!HW18)</f>
        <v>1</v>
      </c>
      <c r="N19" s="765">
        <f>IF('[2]Tasa de Falla'!HX18="","",'[2]Tasa de Falla'!HX18)</f>
      </c>
      <c r="O19" s="765">
        <f>IF('[2]Tasa de Falla'!HY18="","",'[2]Tasa de Falla'!HY18)</f>
      </c>
      <c r="P19" s="765">
        <f>IF('[2]Tasa de Falla'!HZ18="","",'[2]Tasa de Falla'!HZ18)</f>
      </c>
      <c r="Q19" s="765">
        <f>IF('[2]Tasa de Falla'!IA18="","",'[2]Tasa de Falla'!IA18)</f>
      </c>
      <c r="R19" s="765">
        <f>IF('[2]Tasa de Falla'!IB18="","",'[2]Tasa de Falla'!IB18)</f>
        <v>1</v>
      </c>
      <c r="S19" s="761"/>
      <c r="T19" s="3"/>
    </row>
    <row r="20" spans="2:20" ht="18" customHeight="1">
      <c r="B20" s="2"/>
      <c r="C20" s="762">
        <f>IF('[2]Tasa de Falla'!C19="","",'[2]Tasa de Falla'!C19)</f>
        <v>3</v>
      </c>
      <c r="D20" s="762" t="str">
        <f>IF('[2]Tasa de Falla'!D19="","",'[2]Tasa de Falla'!D19)</f>
        <v>AMEGHINO - TRELEW</v>
      </c>
      <c r="E20" s="762">
        <f>IF('[2]Tasa de Falla'!E19="","",'[2]Tasa de Falla'!E19)</f>
        <v>132</v>
      </c>
      <c r="F20" s="762">
        <f>IF('[2]Tasa de Falla'!F19="","",'[2]Tasa de Falla'!F19)</f>
        <v>112</v>
      </c>
      <c r="G20" s="763">
        <f>IF('[2]Tasa de Falla'!HQ19="","",'[2]Tasa de Falla'!HQ19)</f>
      </c>
      <c r="H20" s="763">
        <f>IF('[2]Tasa de Falla'!HR19="","",'[2]Tasa de Falla'!HR19)</f>
        <v>1</v>
      </c>
      <c r="I20" s="763">
        <f>IF('[2]Tasa de Falla'!HS19="","",'[2]Tasa de Falla'!HS19)</f>
      </c>
      <c r="J20" s="763">
        <f>IF('[2]Tasa de Falla'!HT19="","",'[2]Tasa de Falla'!HT19)</f>
      </c>
      <c r="K20" s="763">
        <f>IF('[2]Tasa de Falla'!HU19="","",'[2]Tasa de Falla'!HU19)</f>
      </c>
      <c r="L20" s="763">
        <f>IF('[2]Tasa de Falla'!HV19="","",'[2]Tasa de Falla'!HV19)</f>
      </c>
      <c r="M20" s="763">
        <f>IF('[2]Tasa de Falla'!HW19="","",'[2]Tasa de Falla'!HW19)</f>
      </c>
      <c r="N20" s="763">
        <f>IF('[2]Tasa de Falla'!HX19="","",'[2]Tasa de Falla'!HX19)</f>
      </c>
      <c r="O20" s="763">
        <f>IF('[2]Tasa de Falla'!HY19="","",'[2]Tasa de Falla'!HY19)</f>
      </c>
      <c r="P20" s="763">
        <f>IF('[2]Tasa de Falla'!HZ19="","",'[2]Tasa de Falla'!HZ19)</f>
      </c>
      <c r="Q20" s="763">
        <f>IF('[2]Tasa de Falla'!IA19="","",'[2]Tasa de Falla'!IA19)</f>
      </c>
      <c r="R20" s="763">
        <f>IF('[2]Tasa de Falla'!IB19="","",'[2]Tasa de Falla'!IB19)</f>
      </c>
      <c r="S20" s="761"/>
      <c r="T20" s="3"/>
    </row>
    <row r="21" spans="2:20" ht="15" customHeight="1">
      <c r="B21" s="2"/>
      <c r="C21" s="764">
        <f>IF('[2]Tasa de Falla'!C20="","",'[2]Tasa de Falla'!C20)</f>
        <v>4</v>
      </c>
      <c r="D21" s="764" t="str">
        <f>IF('[2]Tasa de Falla'!D20="","",'[2]Tasa de Falla'!D20)</f>
        <v>FUTALEUFU - ESQUEL</v>
      </c>
      <c r="E21" s="764">
        <f>IF('[2]Tasa de Falla'!E20="","",'[2]Tasa de Falla'!E20)</f>
        <v>132</v>
      </c>
      <c r="F21" s="764">
        <f>IF('[2]Tasa de Falla'!F20="","",'[2]Tasa de Falla'!F20)</f>
        <v>28.4</v>
      </c>
      <c r="G21" s="765">
        <f>IF('[2]Tasa de Falla'!HQ20="","",'[2]Tasa de Falla'!HQ20)</f>
      </c>
      <c r="H21" s="765">
        <f>IF('[2]Tasa de Falla'!HR20="","",'[2]Tasa de Falla'!HR20)</f>
      </c>
      <c r="I21" s="765">
        <f>IF('[2]Tasa de Falla'!HS20="","",'[2]Tasa de Falla'!HS20)</f>
      </c>
      <c r="J21" s="765">
        <f>IF('[2]Tasa de Falla'!HT20="","",'[2]Tasa de Falla'!HT20)</f>
      </c>
      <c r="K21" s="765">
        <f>IF('[2]Tasa de Falla'!HU20="","",'[2]Tasa de Falla'!HU20)</f>
      </c>
      <c r="L21" s="765">
        <f>IF('[2]Tasa de Falla'!HV20="","",'[2]Tasa de Falla'!HV20)</f>
      </c>
      <c r="M21" s="765">
        <f>IF('[2]Tasa de Falla'!HW20="","",'[2]Tasa de Falla'!HW20)</f>
      </c>
      <c r="N21" s="765">
        <f>IF('[2]Tasa de Falla'!HX20="","",'[2]Tasa de Falla'!HX20)</f>
        <v>1</v>
      </c>
      <c r="O21" s="765">
        <f>IF('[2]Tasa de Falla'!HY20="","",'[2]Tasa de Falla'!HY20)</f>
      </c>
      <c r="P21" s="765">
        <f>IF('[2]Tasa de Falla'!HZ20="","",'[2]Tasa de Falla'!HZ20)</f>
      </c>
      <c r="Q21" s="765">
        <f>IF('[2]Tasa de Falla'!IA20="","",'[2]Tasa de Falla'!IA20)</f>
      </c>
      <c r="R21" s="765">
        <f>IF('[2]Tasa de Falla'!IB20="","",'[2]Tasa de Falla'!IB20)</f>
      </c>
      <c r="S21" s="761"/>
      <c r="T21" s="3"/>
    </row>
    <row r="22" spans="2:20" ht="18" customHeight="1">
      <c r="B22" s="2"/>
      <c r="C22" s="762">
        <f>IF('[2]Tasa de Falla'!C21="","",'[2]Tasa de Falla'!C21)</f>
        <v>5</v>
      </c>
      <c r="D22" s="762" t="str">
        <f>IF('[2]Tasa de Falla'!D21="","",'[2]Tasa de Falla'!D21)</f>
        <v>BARRIO SAN MARTIN - ESTACION PATAGONIA</v>
      </c>
      <c r="E22" s="762">
        <f>IF('[2]Tasa de Falla'!E21="","",'[2]Tasa de Falla'!E21)</f>
        <v>132</v>
      </c>
      <c r="F22" s="762">
        <f>IF('[2]Tasa de Falla'!F21="","",'[2]Tasa de Falla'!F21)</f>
        <v>9.4</v>
      </c>
      <c r="G22" s="763">
        <f>IF('[2]Tasa de Falla'!HQ21="","",'[2]Tasa de Falla'!HQ21)</f>
      </c>
      <c r="H22" s="763">
        <f>IF('[2]Tasa de Falla'!HR21="","",'[2]Tasa de Falla'!HR21)</f>
      </c>
      <c r="I22" s="763">
        <f>IF('[2]Tasa de Falla'!HS21="","",'[2]Tasa de Falla'!HS21)</f>
      </c>
      <c r="J22" s="763">
        <f>IF('[2]Tasa de Falla'!HT21="","",'[2]Tasa de Falla'!HT21)</f>
      </c>
      <c r="K22" s="763">
        <f>IF('[2]Tasa de Falla'!HU21="","",'[2]Tasa de Falla'!HU21)</f>
      </c>
      <c r="L22" s="763">
        <f>IF('[2]Tasa de Falla'!HV21="","",'[2]Tasa de Falla'!HV21)</f>
      </c>
      <c r="M22" s="763">
        <f>IF('[2]Tasa de Falla'!HW21="","",'[2]Tasa de Falla'!HW21)</f>
      </c>
      <c r="N22" s="763">
        <f>IF('[2]Tasa de Falla'!HX21="","",'[2]Tasa de Falla'!HX21)</f>
      </c>
      <c r="O22" s="763">
        <f>IF('[2]Tasa de Falla'!HY21="","",'[2]Tasa de Falla'!HY21)</f>
      </c>
      <c r="P22" s="763">
        <f>IF('[2]Tasa de Falla'!HZ21="","",'[2]Tasa de Falla'!HZ21)</f>
      </c>
      <c r="Q22" s="763">
        <f>IF('[2]Tasa de Falla'!IA21="","",'[2]Tasa de Falla'!IA21)</f>
      </c>
      <c r="R22" s="763">
        <f>IF('[2]Tasa de Falla'!IB21="","",'[2]Tasa de Falla'!IB21)</f>
      </c>
      <c r="S22" s="761"/>
      <c r="T22" s="3"/>
    </row>
    <row r="23" spans="2:20" ht="15" customHeight="1">
      <c r="B23" s="2"/>
      <c r="C23" s="764">
        <f>IF('[2]Tasa de Falla'!C22="","",'[2]Tasa de Falla'!C22)</f>
        <v>6</v>
      </c>
      <c r="D23" s="764" t="str">
        <f>IF('[2]Tasa de Falla'!D22="","",'[2]Tasa de Falla'!D22)</f>
        <v>COMODORO RIVADAVIA - E.T. A1</v>
      </c>
      <c r="E23" s="764">
        <f>IF('[2]Tasa de Falla'!E22="","",'[2]Tasa de Falla'!E22)</f>
        <v>132</v>
      </c>
      <c r="F23" s="764">
        <f>IF('[2]Tasa de Falla'!F22="","",'[2]Tasa de Falla'!F22)</f>
        <v>0.5</v>
      </c>
      <c r="G23" s="765">
        <f>IF('[2]Tasa de Falla'!HQ22="","",'[2]Tasa de Falla'!HQ22)</f>
      </c>
      <c r="H23" s="765">
        <f>IF('[2]Tasa de Falla'!HR22="","",'[2]Tasa de Falla'!HR22)</f>
      </c>
      <c r="I23" s="765">
        <f>IF('[2]Tasa de Falla'!HS22="","",'[2]Tasa de Falla'!HS22)</f>
      </c>
      <c r="J23" s="765">
        <f>IF('[2]Tasa de Falla'!HT22="","",'[2]Tasa de Falla'!HT22)</f>
      </c>
      <c r="K23" s="765">
        <f>IF('[2]Tasa de Falla'!HU22="","",'[2]Tasa de Falla'!HU22)</f>
      </c>
      <c r="L23" s="765">
        <f>IF('[2]Tasa de Falla'!HV22="","",'[2]Tasa de Falla'!HV22)</f>
      </c>
      <c r="M23" s="765">
        <f>IF('[2]Tasa de Falla'!HW22="","",'[2]Tasa de Falla'!HW22)</f>
      </c>
      <c r="N23" s="765">
        <f>IF('[2]Tasa de Falla'!HX22="","",'[2]Tasa de Falla'!HX22)</f>
      </c>
      <c r="O23" s="765">
        <f>IF('[2]Tasa de Falla'!HY22="","",'[2]Tasa de Falla'!HY22)</f>
      </c>
      <c r="P23" s="765">
        <f>IF('[2]Tasa de Falla'!HZ22="","",'[2]Tasa de Falla'!HZ22)</f>
      </c>
      <c r="Q23" s="765">
        <f>IF('[2]Tasa de Falla'!IA22="","",'[2]Tasa de Falla'!IA22)</f>
      </c>
      <c r="R23" s="765">
        <f>IF('[2]Tasa de Falla'!IB22="","",'[2]Tasa de Falla'!IB22)</f>
      </c>
      <c r="S23" s="761"/>
      <c r="T23" s="3"/>
    </row>
    <row r="24" spans="2:20" ht="18" customHeight="1">
      <c r="B24" s="2"/>
      <c r="C24" s="762">
        <f>IF('[2]Tasa de Falla'!C23="","",'[2]Tasa de Falla'!C23)</f>
        <v>7</v>
      </c>
      <c r="D24" s="762" t="str">
        <f>IF('[2]Tasa de Falla'!D23="","",'[2]Tasa de Falla'!D23)</f>
        <v>COMODORO RIVADAVIA (A1) - ESTACION PATAGONIA</v>
      </c>
      <c r="E24" s="762">
        <f>IF('[2]Tasa de Falla'!E23="","",'[2]Tasa de Falla'!E23)</f>
        <v>132</v>
      </c>
      <c r="F24" s="762">
        <f>IF('[2]Tasa de Falla'!F23="","",'[2]Tasa de Falla'!F23)</f>
        <v>6.9</v>
      </c>
      <c r="G24" s="763">
        <f>IF('[2]Tasa de Falla'!HQ23="","",'[2]Tasa de Falla'!HQ23)</f>
      </c>
      <c r="H24" s="763">
        <f>IF('[2]Tasa de Falla'!HR23="","",'[2]Tasa de Falla'!HR23)</f>
      </c>
      <c r="I24" s="763">
        <f>IF('[2]Tasa de Falla'!HS23="","",'[2]Tasa de Falla'!HS23)</f>
      </c>
      <c r="J24" s="763">
        <f>IF('[2]Tasa de Falla'!HT23="","",'[2]Tasa de Falla'!HT23)</f>
      </c>
      <c r="K24" s="763">
        <f>IF('[2]Tasa de Falla'!HU23="","",'[2]Tasa de Falla'!HU23)</f>
      </c>
      <c r="L24" s="763">
        <f>IF('[2]Tasa de Falla'!HV23="","",'[2]Tasa de Falla'!HV23)</f>
      </c>
      <c r="M24" s="763">
        <f>IF('[2]Tasa de Falla'!HW23="","",'[2]Tasa de Falla'!HW23)</f>
      </c>
      <c r="N24" s="763">
        <f>IF('[2]Tasa de Falla'!HX23="","",'[2]Tasa de Falla'!HX23)</f>
      </c>
      <c r="O24" s="763">
        <f>IF('[2]Tasa de Falla'!HY23="","",'[2]Tasa de Falla'!HY23)</f>
      </c>
      <c r="P24" s="763">
        <f>IF('[2]Tasa de Falla'!HZ23="","",'[2]Tasa de Falla'!HZ23)</f>
      </c>
      <c r="Q24" s="763">
        <f>IF('[2]Tasa de Falla'!IA23="","",'[2]Tasa de Falla'!IA23)</f>
      </c>
      <c r="R24" s="763">
        <f>IF('[2]Tasa de Falla'!IB23="","",'[2]Tasa de Falla'!IB23)</f>
      </c>
      <c r="S24" s="761"/>
      <c r="T24" s="3"/>
    </row>
    <row r="25" spans="2:20" ht="15" customHeight="1">
      <c r="B25" s="2"/>
      <c r="C25" s="764">
        <f>IF('[2]Tasa de Falla'!C24="","",'[2]Tasa de Falla'!C24)</f>
        <v>8</v>
      </c>
      <c r="D25" s="764" t="str">
        <f>IF('[2]Tasa de Falla'!D24="","",'[2]Tasa de Falla'!D24)</f>
        <v>COMODORO RIVADAVIA - PICO TRUNCADO</v>
      </c>
      <c r="E25" s="764">
        <f>IF('[2]Tasa de Falla'!E24="","",'[2]Tasa de Falla'!E24)</f>
        <v>132</v>
      </c>
      <c r="F25" s="764">
        <f>IF('[2]Tasa de Falla'!F24="","",'[2]Tasa de Falla'!F24)</f>
        <v>138</v>
      </c>
      <c r="G25" s="765">
        <f>IF('[2]Tasa de Falla'!HQ24="","",'[2]Tasa de Falla'!HQ24)</f>
      </c>
      <c r="H25" s="765">
        <f>IF('[2]Tasa de Falla'!HR24="","",'[2]Tasa de Falla'!HR24)</f>
      </c>
      <c r="I25" s="765">
        <f>IF('[2]Tasa de Falla'!HS24="","",'[2]Tasa de Falla'!HS24)</f>
      </c>
      <c r="J25" s="765">
        <f>IF('[2]Tasa de Falla'!HT24="","",'[2]Tasa de Falla'!HT24)</f>
      </c>
      <c r="K25" s="765">
        <f>IF('[2]Tasa de Falla'!HU24="","",'[2]Tasa de Falla'!HU24)</f>
      </c>
      <c r="L25" s="765">
        <f>IF('[2]Tasa de Falla'!HV24="","",'[2]Tasa de Falla'!HV24)</f>
      </c>
      <c r="M25" s="765">
        <f>IF('[2]Tasa de Falla'!HW24="","",'[2]Tasa de Falla'!HW24)</f>
      </c>
      <c r="N25" s="765">
        <f>IF('[2]Tasa de Falla'!HX24="","",'[2]Tasa de Falla'!HX24)</f>
        <v>1</v>
      </c>
      <c r="O25" s="765">
        <f>IF('[2]Tasa de Falla'!HY24="","",'[2]Tasa de Falla'!HY24)</f>
      </c>
      <c r="P25" s="765">
        <f>IF('[2]Tasa de Falla'!HZ24="","",'[2]Tasa de Falla'!HZ24)</f>
      </c>
      <c r="Q25" s="765">
        <f>IF('[2]Tasa de Falla'!IA24="","",'[2]Tasa de Falla'!IA24)</f>
      </c>
      <c r="R25" s="765">
        <f>IF('[2]Tasa de Falla'!IB24="","",'[2]Tasa de Falla'!IB24)</f>
      </c>
      <c r="S25" s="761"/>
      <c r="T25" s="3"/>
    </row>
    <row r="26" spans="2:20" ht="18" customHeight="1">
      <c r="B26" s="2"/>
      <c r="C26" s="762">
        <f>IF('[2]Tasa de Falla'!C25="","",'[2]Tasa de Falla'!C25)</f>
        <v>9</v>
      </c>
      <c r="D26" s="762" t="str">
        <f>IF('[2]Tasa de Falla'!D25="","",'[2]Tasa de Falla'!D25)</f>
        <v>FUTALEUFÚ - PUERTO MADRYN 1</v>
      </c>
      <c r="E26" s="762">
        <f>IF('[2]Tasa de Falla'!E25="","",'[2]Tasa de Falla'!E25)</f>
        <v>330</v>
      </c>
      <c r="F26" s="762">
        <f>IF('[2]Tasa de Falla'!F25="","",'[2]Tasa de Falla'!F25)</f>
        <v>550</v>
      </c>
      <c r="G26" s="763">
        <f>IF('[2]Tasa de Falla'!HQ25="","",'[2]Tasa de Falla'!HQ25)</f>
      </c>
      <c r="H26" s="763">
        <f>IF('[2]Tasa de Falla'!HR25="","",'[2]Tasa de Falla'!HR25)</f>
      </c>
      <c r="I26" s="763">
        <f>IF('[2]Tasa de Falla'!HS25="","",'[2]Tasa de Falla'!HS25)</f>
      </c>
      <c r="J26" s="763">
        <f>IF('[2]Tasa de Falla'!HT25="","",'[2]Tasa de Falla'!HT25)</f>
      </c>
      <c r="K26" s="763">
        <f>IF('[2]Tasa de Falla'!HU25="","",'[2]Tasa de Falla'!HU25)</f>
      </c>
      <c r="L26" s="763">
        <f>IF('[2]Tasa de Falla'!HV25="","",'[2]Tasa de Falla'!HV25)</f>
      </c>
      <c r="M26" s="763">
        <f>IF('[2]Tasa de Falla'!HW25="","",'[2]Tasa de Falla'!HW25)</f>
        <v>1</v>
      </c>
      <c r="N26" s="763">
        <f>IF('[2]Tasa de Falla'!HX25="","",'[2]Tasa de Falla'!HX25)</f>
      </c>
      <c r="O26" s="763">
        <f>IF('[2]Tasa de Falla'!HY25="","",'[2]Tasa de Falla'!HY25)</f>
      </c>
      <c r="P26" s="763">
        <f>IF('[2]Tasa de Falla'!HZ25="","",'[2]Tasa de Falla'!HZ25)</f>
      </c>
      <c r="Q26" s="763">
        <f>IF('[2]Tasa de Falla'!IA25="","",'[2]Tasa de Falla'!IA25)</f>
      </c>
      <c r="R26" s="763">
        <f>IF('[2]Tasa de Falla'!IB25="","",'[2]Tasa de Falla'!IB25)</f>
      </c>
      <c r="S26" s="761"/>
      <c r="T26" s="3"/>
    </row>
    <row r="27" spans="2:20" ht="15" customHeight="1">
      <c r="B27" s="2"/>
      <c r="C27" s="764">
        <f>IF('[2]Tasa de Falla'!C26="","",'[2]Tasa de Falla'!C26)</f>
        <v>10</v>
      </c>
      <c r="D27" s="764" t="str">
        <f>IF('[2]Tasa de Falla'!D26="","",'[2]Tasa de Falla'!D26)</f>
        <v>FUTALEUFÚ - PUERTO MADRYN 2</v>
      </c>
      <c r="E27" s="764">
        <f>IF('[2]Tasa de Falla'!E26="","",'[2]Tasa de Falla'!E26)</f>
        <v>330</v>
      </c>
      <c r="F27" s="764">
        <f>IF('[2]Tasa de Falla'!F26="","",'[2]Tasa de Falla'!F26)</f>
        <v>550</v>
      </c>
      <c r="G27" s="765">
        <f>IF('[2]Tasa de Falla'!HQ26="","",'[2]Tasa de Falla'!HQ26)</f>
      </c>
      <c r="H27" s="765">
        <f>IF('[2]Tasa de Falla'!HR26="","",'[2]Tasa de Falla'!HR26)</f>
      </c>
      <c r="I27" s="765">
        <f>IF('[2]Tasa de Falla'!HS26="","",'[2]Tasa de Falla'!HS26)</f>
      </c>
      <c r="J27" s="765">
        <f>IF('[2]Tasa de Falla'!HT26="","",'[2]Tasa de Falla'!HT26)</f>
      </c>
      <c r="K27" s="765">
        <f>IF('[2]Tasa de Falla'!HU26="","",'[2]Tasa de Falla'!HU26)</f>
      </c>
      <c r="L27" s="765">
        <f>IF('[2]Tasa de Falla'!HV26="","",'[2]Tasa de Falla'!HV26)</f>
      </c>
      <c r="M27" s="765">
        <f>IF('[2]Tasa de Falla'!HW26="","",'[2]Tasa de Falla'!HW26)</f>
      </c>
      <c r="N27" s="765">
        <f>IF('[2]Tasa de Falla'!HX26="","",'[2]Tasa de Falla'!HX26)</f>
      </c>
      <c r="O27" s="765">
        <f>IF('[2]Tasa de Falla'!HY26="","",'[2]Tasa de Falla'!HY26)</f>
      </c>
      <c r="P27" s="765">
        <f>IF('[2]Tasa de Falla'!HZ26="","",'[2]Tasa de Falla'!HZ26)</f>
      </c>
      <c r="Q27" s="765">
        <f>IF('[2]Tasa de Falla'!IA26="","",'[2]Tasa de Falla'!IA26)</f>
      </c>
      <c r="R27" s="765">
        <f>IF('[2]Tasa de Falla'!IB26="","",'[2]Tasa de Falla'!IB26)</f>
      </c>
      <c r="S27" s="761"/>
      <c r="T27" s="3"/>
    </row>
    <row r="28" spans="2:20" ht="18" customHeight="1">
      <c r="B28" s="2"/>
      <c r="C28" s="762">
        <f>IF('[2]Tasa de Falla'!C27="","",'[2]Tasa de Falla'!C27)</f>
        <v>11</v>
      </c>
      <c r="D28" s="762" t="str">
        <f>IF('[2]Tasa de Falla'!D27="","",'[2]Tasa de Falla'!D27)</f>
        <v>PLANTA ALUMINIO APPA - PUERTO MADRYN 1</v>
      </c>
      <c r="E28" s="762">
        <f>IF('[2]Tasa de Falla'!E27="","",'[2]Tasa de Falla'!E27)</f>
        <v>330</v>
      </c>
      <c r="F28" s="762">
        <f>IF('[2]Tasa de Falla'!F27="","",'[2]Tasa de Falla'!F27)</f>
        <v>5.5</v>
      </c>
      <c r="G28" s="763">
        <f>IF('[2]Tasa de Falla'!HQ27="","",'[2]Tasa de Falla'!HQ27)</f>
        <v>1</v>
      </c>
      <c r="H28" s="763">
        <f>IF('[2]Tasa de Falla'!HR27="","",'[2]Tasa de Falla'!HR27)</f>
      </c>
      <c r="I28" s="763">
        <f>IF('[2]Tasa de Falla'!HS27="","",'[2]Tasa de Falla'!HS27)</f>
      </c>
      <c r="J28" s="763">
        <f>IF('[2]Tasa de Falla'!HT27="","",'[2]Tasa de Falla'!HT27)</f>
      </c>
      <c r="K28" s="763">
        <f>IF('[2]Tasa de Falla'!HU27="","",'[2]Tasa de Falla'!HU27)</f>
      </c>
      <c r="L28" s="763">
        <f>IF('[2]Tasa de Falla'!HV27="","",'[2]Tasa de Falla'!HV27)</f>
      </c>
      <c r="M28" s="763">
        <f>IF('[2]Tasa de Falla'!HW27="","",'[2]Tasa de Falla'!HW27)</f>
      </c>
      <c r="N28" s="763">
        <f>IF('[2]Tasa de Falla'!HX27="","",'[2]Tasa de Falla'!HX27)</f>
      </c>
      <c r="O28" s="763">
        <f>IF('[2]Tasa de Falla'!HY27="","",'[2]Tasa de Falla'!HY27)</f>
      </c>
      <c r="P28" s="763">
        <f>IF('[2]Tasa de Falla'!HZ27="","",'[2]Tasa de Falla'!HZ27)</f>
      </c>
      <c r="Q28" s="763">
        <f>IF('[2]Tasa de Falla'!IA27="","",'[2]Tasa de Falla'!IA27)</f>
      </c>
      <c r="R28" s="763">
        <f>IF('[2]Tasa de Falla'!IB27="","",'[2]Tasa de Falla'!IB27)</f>
      </c>
      <c r="S28" s="761"/>
      <c r="T28" s="3"/>
    </row>
    <row r="29" spans="2:20" ht="15" customHeight="1">
      <c r="B29" s="2"/>
      <c r="C29" s="764">
        <f>IF('[2]Tasa de Falla'!C28="","",'[2]Tasa de Falla'!C28)</f>
        <v>12</v>
      </c>
      <c r="D29" s="764" t="str">
        <f>IF('[2]Tasa de Falla'!D28="","",'[2]Tasa de Falla'!D28)</f>
        <v>PLANTA ALUMINIO APPA - PUERTO MADRYN 2</v>
      </c>
      <c r="E29" s="764">
        <f>IF('[2]Tasa de Falla'!E28="","",'[2]Tasa de Falla'!E28)</f>
        <v>330</v>
      </c>
      <c r="F29" s="764">
        <f>IF('[2]Tasa de Falla'!F28="","",'[2]Tasa de Falla'!F28)</f>
        <v>5.5</v>
      </c>
      <c r="G29" s="765">
        <f>IF('[2]Tasa de Falla'!HQ28="","",'[2]Tasa de Falla'!HQ28)</f>
      </c>
      <c r="H29" s="765">
        <f>IF('[2]Tasa de Falla'!HR28="","",'[2]Tasa de Falla'!HR28)</f>
      </c>
      <c r="I29" s="765">
        <f>IF('[2]Tasa de Falla'!HS28="","",'[2]Tasa de Falla'!HS28)</f>
      </c>
      <c r="J29" s="765">
        <f>IF('[2]Tasa de Falla'!HT28="","",'[2]Tasa de Falla'!HT28)</f>
      </c>
      <c r="K29" s="765">
        <f>IF('[2]Tasa de Falla'!HU28="","",'[2]Tasa de Falla'!HU28)</f>
      </c>
      <c r="L29" s="765">
        <f>IF('[2]Tasa de Falla'!HV28="","",'[2]Tasa de Falla'!HV28)</f>
      </c>
      <c r="M29" s="765">
        <f>IF('[2]Tasa de Falla'!HW28="","",'[2]Tasa de Falla'!HW28)</f>
      </c>
      <c r="N29" s="765">
        <f>IF('[2]Tasa de Falla'!HX28="","",'[2]Tasa de Falla'!HX28)</f>
      </c>
      <c r="O29" s="765">
        <f>IF('[2]Tasa de Falla'!HY28="","",'[2]Tasa de Falla'!HY28)</f>
      </c>
      <c r="P29" s="765">
        <f>IF('[2]Tasa de Falla'!HZ28="","",'[2]Tasa de Falla'!HZ28)</f>
      </c>
      <c r="Q29" s="765">
        <f>IF('[2]Tasa de Falla'!IA28="","",'[2]Tasa de Falla'!IA28)</f>
      </c>
      <c r="R29" s="765">
        <f>IF('[2]Tasa de Falla'!IB28="","",'[2]Tasa de Falla'!IB28)</f>
      </c>
      <c r="S29" s="761"/>
      <c r="T29" s="3"/>
    </row>
    <row r="30" spans="2:20" ht="18" customHeight="1">
      <c r="B30" s="2"/>
      <c r="C30" s="762">
        <f>IF('[2]Tasa de Falla'!C29="","",'[2]Tasa de Falla'!C29)</f>
        <v>13</v>
      </c>
      <c r="D30" s="762" t="str">
        <f>IF('[2]Tasa de Falla'!D29="","",'[2]Tasa de Falla'!D29)</f>
        <v>PICO TRUNCADO I - PICO TRUNCADO II</v>
      </c>
      <c r="E30" s="762">
        <f>IF('[2]Tasa de Falla'!E29="","",'[2]Tasa de Falla'!E29)</f>
        <v>132</v>
      </c>
      <c r="F30" s="762">
        <f>IF('[2]Tasa de Falla'!F29="","",'[2]Tasa de Falla'!F29)</f>
        <v>13.4</v>
      </c>
      <c r="G30" s="763">
        <f>IF('[2]Tasa de Falla'!HQ29="","",'[2]Tasa de Falla'!HQ29)</f>
      </c>
      <c r="H30" s="763">
        <f>IF('[2]Tasa de Falla'!HR29="","",'[2]Tasa de Falla'!HR29)</f>
      </c>
      <c r="I30" s="763">
        <f>IF('[2]Tasa de Falla'!HS29="","",'[2]Tasa de Falla'!HS29)</f>
      </c>
      <c r="J30" s="763">
        <f>IF('[2]Tasa de Falla'!HT29="","",'[2]Tasa de Falla'!HT29)</f>
      </c>
      <c r="K30" s="763">
        <f>IF('[2]Tasa de Falla'!HU29="","",'[2]Tasa de Falla'!HU29)</f>
      </c>
      <c r="L30" s="763">
        <f>IF('[2]Tasa de Falla'!HV29="","",'[2]Tasa de Falla'!HV29)</f>
      </c>
      <c r="M30" s="763">
        <f>IF('[2]Tasa de Falla'!HW29="","",'[2]Tasa de Falla'!HW29)</f>
      </c>
      <c r="N30" s="763">
        <f>IF('[2]Tasa de Falla'!HX29="","",'[2]Tasa de Falla'!HX29)</f>
      </c>
      <c r="O30" s="763">
        <f>IF('[2]Tasa de Falla'!HY29="","",'[2]Tasa de Falla'!HY29)</f>
      </c>
      <c r="P30" s="763">
        <f>IF('[2]Tasa de Falla'!HZ29="","",'[2]Tasa de Falla'!HZ29)</f>
      </c>
      <c r="Q30" s="763">
        <f>IF('[2]Tasa de Falla'!IA29="","",'[2]Tasa de Falla'!IA29)</f>
      </c>
      <c r="R30" s="763">
        <f>IF('[2]Tasa de Falla'!IB29="","",'[2]Tasa de Falla'!IB29)</f>
      </c>
      <c r="S30" s="761"/>
      <c r="T30" s="3"/>
    </row>
    <row r="31" spans="2:20" ht="15" customHeight="1">
      <c r="B31" s="2"/>
      <c r="C31" s="764">
        <f>IF('[2]Tasa de Falla'!C30="","",'[2]Tasa de Falla'!C30)</f>
        <v>14</v>
      </c>
      <c r="D31" s="764" t="str">
        <f>IF('[2]Tasa de Falla'!D30="","",'[2]Tasa de Falla'!D30)</f>
        <v>PLANTA ALUMINIO DGPA - PTO MADRYN</v>
      </c>
      <c r="E31" s="764">
        <f>IF('[2]Tasa de Falla'!E30="","",'[2]Tasa de Falla'!E30)</f>
        <v>132</v>
      </c>
      <c r="F31" s="764">
        <f>IF('[2]Tasa de Falla'!F30="","",'[2]Tasa de Falla'!F30)</f>
        <v>5.7</v>
      </c>
      <c r="G31" s="765">
        <f>IF('[2]Tasa de Falla'!HQ30="","",'[2]Tasa de Falla'!HQ30)</f>
      </c>
      <c r="H31" s="765">
        <f>IF('[2]Tasa de Falla'!HR30="","",'[2]Tasa de Falla'!HR30)</f>
      </c>
      <c r="I31" s="765">
        <f>IF('[2]Tasa de Falla'!HS30="","",'[2]Tasa de Falla'!HS30)</f>
      </c>
      <c r="J31" s="765">
        <f>IF('[2]Tasa de Falla'!HT30="","",'[2]Tasa de Falla'!HT30)</f>
      </c>
      <c r="K31" s="765">
        <f>IF('[2]Tasa de Falla'!HU30="","",'[2]Tasa de Falla'!HU30)</f>
      </c>
      <c r="L31" s="765">
        <f>IF('[2]Tasa de Falla'!HV30="","",'[2]Tasa de Falla'!HV30)</f>
      </c>
      <c r="M31" s="765">
        <f>IF('[2]Tasa de Falla'!HW30="","",'[2]Tasa de Falla'!HW30)</f>
      </c>
      <c r="N31" s="765">
        <f>IF('[2]Tasa de Falla'!HX30="","",'[2]Tasa de Falla'!HX30)</f>
      </c>
      <c r="O31" s="765">
        <f>IF('[2]Tasa de Falla'!HY30="","",'[2]Tasa de Falla'!HY30)</f>
      </c>
      <c r="P31" s="765">
        <f>IF('[2]Tasa de Falla'!HZ30="","",'[2]Tasa de Falla'!HZ30)</f>
      </c>
      <c r="Q31" s="765">
        <f>IF('[2]Tasa de Falla'!IA30="","",'[2]Tasa de Falla'!IA30)</f>
      </c>
      <c r="R31" s="765">
        <f>IF('[2]Tasa de Falla'!IB30="","",'[2]Tasa de Falla'!IB30)</f>
      </c>
      <c r="S31" s="761"/>
      <c r="T31" s="3"/>
    </row>
    <row r="32" spans="2:20" ht="18" customHeight="1">
      <c r="B32" s="2"/>
      <c r="C32" s="762">
        <f>IF('[2]Tasa de Falla'!C31="","",'[2]Tasa de Falla'!C31)</f>
        <v>15</v>
      </c>
      <c r="D32" s="762" t="str">
        <f>IF('[2]Tasa de Falla'!D31="","",'[2]Tasa de Falla'!D31)</f>
        <v>PLANTA ALUMINIO DGPA - SS.AA. PTO MADRYN</v>
      </c>
      <c r="E32" s="762">
        <f>IF('[2]Tasa de Falla'!E31="","",'[2]Tasa de Falla'!E31)</f>
        <v>33</v>
      </c>
      <c r="F32" s="762">
        <f>IF('[2]Tasa de Falla'!F31="","",'[2]Tasa de Falla'!F31)</f>
        <v>6</v>
      </c>
      <c r="G32" s="763" t="str">
        <f>IF('[2]Tasa de Falla'!HQ31="","",'[2]Tasa de Falla'!HQ31)</f>
        <v>XXXX</v>
      </c>
      <c r="H32" s="763" t="str">
        <f>IF('[2]Tasa de Falla'!HR31="","",'[2]Tasa de Falla'!HR31)</f>
        <v>XXXX</v>
      </c>
      <c r="I32" s="763" t="str">
        <f>IF('[2]Tasa de Falla'!HS31="","",'[2]Tasa de Falla'!HS31)</f>
        <v>XXXX</v>
      </c>
      <c r="J32" s="763" t="str">
        <f>IF('[2]Tasa de Falla'!HT31="","",'[2]Tasa de Falla'!HT31)</f>
        <v>XXXX</v>
      </c>
      <c r="K32" s="763" t="str">
        <f>IF('[2]Tasa de Falla'!HU31="","",'[2]Tasa de Falla'!HU31)</f>
        <v>XXXX</v>
      </c>
      <c r="L32" s="763" t="str">
        <f>IF('[2]Tasa de Falla'!HV31="","",'[2]Tasa de Falla'!HV31)</f>
        <v>XXXX</v>
      </c>
      <c r="M32" s="763" t="str">
        <f>IF('[2]Tasa de Falla'!HW31="","",'[2]Tasa de Falla'!HW31)</f>
        <v>XXXX</v>
      </c>
      <c r="N32" s="763" t="str">
        <f>IF('[2]Tasa de Falla'!HX31="","",'[2]Tasa de Falla'!HX31)</f>
        <v>XXXX</v>
      </c>
      <c r="O32" s="763" t="str">
        <f>IF('[2]Tasa de Falla'!HY31="","",'[2]Tasa de Falla'!HY31)</f>
        <v>XXXX</v>
      </c>
      <c r="P32" s="763" t="str">
        <f>IF('[2]Tasa de Falla'!HZ31="","",'[2]Tasa de Falla'!HZ31)</f>
        <v>XXXX</v>
      </c>
      <c r="Q32" s="763" t="str">
        <f>IF('[2]Tasa de Falla'!IA31="","",'[2]Tasa de Falla'!IA31)</f>
        <v>XXXX</v>
      </c>
      <c r="R32" s="763" t="str">
        <f>IF('[2]Tasa de Falla'!IB31="","",'[2]Tasa de Falla'!IB31)</f>
        <v>XXXX</v>
      </c>
      <c r="S32" s="761"/>
      <c r="T32" s="3"/>
    </row>
    <row r="33" spans="2:20" ht="15" customHeight="1">
      <c r="B33" s="2"/>
      <c r="C33" s="764">
        <f>IF('[2]Tasa de Falla'!C32="","",'[2]Tasa de Falla'!C32)</f>
        <v>16</v>
      </c>
      <c r="D33" s="764" t="str">
        <f>IF('[2]Tasa de Falla'!D32="","",'[2]Tasa de Falla'!D32)</f>
        <v>PLANTA ALUMINIO DGPA - TRELEW</v>
      </c>
      <c r="E33" s="764">
        <f>IF('[2]Tasa de Falla'!E32="","",'[2]Tasa de Falla'!E32)</f>
        <v>132</v>
      </c>
      <c r="F33" s="764">
        <f>IF('[2]Tasa de Falla'!F32="","",'[2]Tasa de Falla'!F32)</f>
        <v>62</v>
      </c>
      <c r="G33" s="765">
        <f>IF('[2]Tasa de Falla'!HQ32="","",'[2]Tasa de Falla'!HQ32)</f>
      </c>
      <c r="H33" s="765">
        <f>IF('[2]Tasa de Falla'!HR32="","",'[2]Tasa de Falla'!HR32)</f>
      </c>
      <c r="I33" s="765">
        <f>IF('[2]Tasa de Falla'!HS32="","",'[2]Tasa de Falla'!HS32)</f>
      </c>
      <c r="J33" s="765">
        <f>IF('[2]Tasa de Falla'!HT32="","",'[2]Tasa de Falla'!HT32)</f>
        <v>1</v>
      </c>
      <c r="K33" s="765">
        <f>IF('[2]Tasa de Falla'!HU32="","",'[2]Tasa de Falla'!HU32)</f>
      </c>
      <c r="L33" s="765">
        <f>IF('[2]Tasa de Falla'!HV32="","",'[2]Tasa de Falla'!HV32)</f>
      </c>
      <c r="M33" s="765">
        <f>IF('[2]Tasa de Falla'!HW32="","",'[2]Tasa de Falla'!HW32)</f>
      </c>
      <c r="N33" s="765">
        <f>IF('[2]Tasa de Falla'!HX32="","",'[2]Tasa de Falla'!HX32)</f>
      </c>
      <c r="O33" s="765">
        <f>IF('[2]Tasa de Falla'!HY32="","",'[2]Tasa de Falla'!HY32)</f>
      </c>
      <c r="P33" s="765">
        <f>IF('[2]Tasa de Falla'!HZ32="","",'[2]Tasa de Falla'!HZ32)</f>
      </c>
      <c r="Q33" s="765">
        <f>IF('[2]Tasa de Falla'!IA32="","",'[2]Tasa de Falla'!IA32)</f>
      </c>
      <c r="R33" s="765">
        <f>IF('[2]Tasa de Falla'!IB32="","",'[2]Tasa de Falla'!IB32)</f>
      </c>
      <c r="S33" s="761"/>
      <c r="T33" s="3"/>
    </row>
    <row r="34" spans="2:20" ht="18" customHeight="1">
      <c r="B34" s="2"/>
      <c r="C34" s="762">
        <f>IF('[2]Tasa de Falla'!C33="","",'[2]Tasa de Falla'!C33)</f>
        <v>17</v>
      </c>
      <c r="D34" s="762" t="str">
        <f>IF('[2]Tasa de Falla'!D33="","",'[2]Tasa de Falla'!D33)</f>
        <v>PUERTO MADRYN - SIERRA GRANDE</v>
      </c>
      <c r="E34" s="762">
        <f>IF('[2]Tasa de Falla'!E33="","",'[2]Tasa de Falla'!E33)</f>
        <v>132</v>
      </c>
      <c r="F34" s="762">
        <f>IF('[2]Tasa de Falla'!F33="","",'[2]Tasa de Falla'!F33)</f>
        <v>121.5</v>
      </c>
      <c r="G34" s="763">
        <f>IF('[2]Tasa de Falla'!HQ33="","",'[2]Tasa de Falla'!HQ33)</f>
        <v>1</v>
      </c>
      <c r="H34" s="763">
        <f>IF('[2]Tasa de Falla'!HR33="","",'[2]Tasa de Falla'!HR33)</f>
      </c>
      <c r="I34" s="763">
        <f>IF('[2]Tasa de Falla'!HS33="","",'[2]Tasa de Falla'!HS33)</f>
      </c>
      <c r="J34" s="763">
        <f>IF('[2]Tasa de Falla'!HT33="","",'[2]Tasa de Falla'!HT33)</f>
      </c>
      <c r="K34" s="763">
        <f>IF('[2]Tasa de Falla'!HU33="","",'[2]Tasa de Falla'!HU33)</f>
      </c>
      <c r="L34" s="763">
        <f>IF('[2]Tasa de Falla'!HV33="","",'[2]Tasa de Falla'!HV33)</f>
      </c>
      <c r="M34" s="763">
        <f>IF('[2]Tasa de Falla'!HW33="","",'[2]Tasa de Falla'!HW33)</f>
      </c>
      <c r="N34" s="763">
        <f>IF('[2]Tasa de Falla'!HX33="","",'[2]Tasa de Falla'!HX33)</f>
      </c>
      <c r="O34" s="763">
        <f>IF('[2]Tasa de Falla'!HY33="","",'[2]Tasa de Falla'!HY33)</f>
      </c>
      <c r="P34" s="763">
        <f>IF('[2]Tasa de Falla'!HZ33="","",'[2]Tasa de Falla'!HZ33)</f>
      </c>
      <c r="Q34" s="763">
        <f>IF('[2]Tasa de Falla'!IA33="","",'[2]Tasa de Falla'!IA33)</f>
      </c>
      <c r="R34" s="763">
        <f>IF('[2]Tasa de Falla'!IB33="","",'[2]Tasa de Falla'!IB33)</f>
      </c>
      <c r="S34" s="761"/>
      <c r="T34" s="3"/>
    </row>
    <row r="35" spans="2:20" ht="15" customHeight="1">
      <c r="B35" s="2"/>
      <c r="C35" s="764">
        <f>IF('[2]Tasa de Falla'!C34="","",'[2]Tasa de Falla'!C34)</f>
        <v>18</v>
      </c>
      <c r="D35" s="764" t="str">
        <f>IF('[2]Tasa de Falla'!D34="","",'[2]Tasa de Falla'!D34)</f>
        <v>BARRIO SAN MARTIN - A CONEXION "T"</v>
      </c>
      <c r="E35" s="764">
        <f>IF('[2]Tasa de Falla'!E34="","",'[2]Tasa de Falla'!E34)</f>
        <v>132</v>
      </c>
      <c r="F35" s="764">
        <f>IF('[2]Tasa de Falla'!F34="","",'[2]Tasa de Falla'!F34)</f>
        <v>7.5</v>
      </c>
      <c r="G35" s="765" t="str">
        <f>IF('[2]Tasa de Falla'!HQ34="","",'[2]Tasa de Falla'!HQ34)</f>
        <v>XXXX</v>
      </c>
      <c r="H35" s="765" t="str">
        <f>IF('[2]Tasa de Falla'!HR34="","",'[2]Tasa de Falla'!HR34)</f>
        <v>XXXX</v>
      </c>
      <c r="I35" s="765" t="str">
        <f>IF('[2]Tasa de Falla'!HS34="","",'[2]Tasa de Falla'!HS34)</f>
        <v>XXXX</v>
      </c>
      <c r="J35" s="765" t="str">
        <f>IF('[2]Tasa de Falla'!HT34="","",'[2]Tasa de Falla'!HT34)</f>
        <v>XXXX</v>
      </c>
      <c r="K35" s="765" t="str">
        <f>IF('[2]Tasa de Falla'!HU34="","",'[2]Tasa de Falla'!HU34)</f>
        <v>XXXX</v>
      </c>
      <c r="L35" s="765" t="str">
        <f>IF('[2]Tasa de Falla'!HV34="","",'[2]Tasa de Falla'!HV34)</f>
        <v>XXXX</v>
      </c>
      <c r="M35" s="765" t="str">
        <f>IF('[2]Tasa de Falla'!HW34="","",'[2]Tasa de Falla'!HW34)</f>
        <v>XXXX</v>
      </c>
      <c r="N35" s="765" t="str">
        <f>IF('[2]Tasa de Falla'!HX34="","",'[2]Tasa de Falla'!HX34)</f>
        <v>XXXX</v>
      </c>
      <c r="O35" s="765" t="str">
        <f>IF('[2]Tasa de Falla'!HY34="","",'[2]Tasa de Falla'!HY34)</f>
        <v>XXXX</v>
      </c>
      <c r="P35" s="765" t="str">
        <f>IF('[2]Tasa de Falla'!HZ34="","",'[2]Tasa de Falla'!HZ34)</f>
        <v>XXXX</v>
      </c>
      <c r="Q35" s="765" t="str">
        <f>IF('[2]Tasa de Falla'!IA34="","",'[2]Tasa de Falla'!IA34)</f>
        <v>XXXX</v>
      </c>
      <c r="R35" s="765" t="str">
        <f>IF('[2]Tasa de Falla'!IB34="","",'[2]Tasa de Falla'!IB34)</f>
        <v>XXXX</v>
      </c>
      <c r="S35" s="761"/>
      <c r="T35" s="3"/>
    </row>
    <row r="36" spans="2:20" ht="18" customHeight="1">
      <c r="B36" s="2"/>
      <c r="C36" s="762">
        <f>IF('[2]Tasa de Falla'!C35="","",'[2]Tasa de Falla'!C35)</f>
        <v>19</v>
      </c>
      <c r="D36" s="762" t="str">
        <f>IF('[2]Tasa de Falla'!D35="","",'[2]Tasa de Falla'!D35)</f>
        <v>PICO TRUNCADO I - LAS HERAS</v>
      </c>
      <c r="E36" s="762">
        <f>IF('[2]Tasa de Falla'!E35="","",'[2]Tasa de Falla'!E35)</f>
        <v>132</v>
      </c>
      <c r="F36" s="762">
        <f>IF('[2]Tasa de Falla'!F35="","",'[2]Tasa de Falla'!F35)</f>
        <v>82.5</v>
      </c>
      <c r="G36" s="763" t="str">
        <f>IF('[2]Tasa de Falla'!HQ35="","",'[2]Tasa de Falla'!HQ35)</f>
        <v>XXXX</v>
      </c>
      <c r="H36" s="763" t="str">
        <f>IF('[2]Tasa de Falla'!HR35="","",'[2]Tasa de Falla'!HR35)</f>
        <v>XXXX</v>
      </c>
      <c r="I36" s="763" t="str">
        <f>IF('[2]Tasa de Falla'!HS35="","",'[2]Tasa de Falla'!HS35)</f>
        <v>XXXX</v>
      </c>
      <c r="J36" s="763" t="str">
        <f>IF('[2]Tasa de Falla'!HT35="","",'[2]Tasa de Falla'!HT35)</f>
        <v>XXXX</v>
      </c>
      <c r="K36" s="763" t="str">
        <f>IF('[2]Tasa de Falla'!HU35="","",'[2]Tasa de Falla'!HU35)</f>
        <v>XXXX</v>
      </c>
      <c r="L36" s="763" t="str">
        <f>IF('[2]Tasa de Falla'!HV35="","",'[2]Tasa de Falla'!HV35)</f>
        <v>XXXX</v>
      </c>
      <c r="M36" s="763" t="str">
        <f>IF('[2]Tasa de Falla'!HW35="","",'[2]Tasa de Falla'!HW35)</f>
        <v>XXXX</v>
      </c>
      <c r="N36" s="763" t="str">
        <f>IF('[2]Tasa de Falla'!HX35="","",'[2]Tasa de Falla'!HX35)</f>
        <v>XXXX</v>
      </c>
      <c r="O36" s="763" t="str">
        <f>IF('[2]Tasa de Falla'!HY35="","",'[2]Tasa de Falla'!HY35)</f>
        <v>XXXX</v>
      </c>
      <c r="P36" s="763" t="str">
        <f>IF('[2]Tasa de Falla'!HZ35="","",'[2]Tasa de Falla'!HZ35)</f>
        <v>XXXX</v>
      </c>
      <c r="Q36" s="763" t="str">
        <f>IF('[2]Tasa de Falla'!IA35="","",'[2]Tasa de Falla'!IA35)</f>
        <v>XXXX</v>
      </c>
      <c r="R36" s="763" t="str">
        <f>IF('[2]Tasa de Falla'!IB35="","",'[2]Tasa de Falla'!IB35)</f>
        <v>XXXX</v>
      </c>
      <c r="S36" s="761"/>
      <c r="T36" s="3"/>
    </row>
    <row r="37" spans="2:20" ht="15" customHeight="1">
      <c r="B37" s="2"/>
      <c r="C37" s="764">
        <f>IF('[2]Tasa de Falla'!C36="","",'[2]Tasa de Falla'!C36)</f>
        <v>20</v>
      </c>
      <c r="D37" s="764" t="str">
        <f>IF('[2]Tasa de Falla'!D36="","",'[2]Tasa de Falla'!D36)</f>
        <v>LAS HERAS - LOS PERALES</v>
      </c>
      <c r="E37" s="764">
        <f>IF('[2]Tasa de Falla'!E36="","",'[2]Tasa de Falla'!E36)</f>
        <v>132</v>
      </c>
      <c r="F37" s="764">
        <f>IF('[2]Tasa de Falla'!F36="","",'[2]Tasa de Falla'!F36)</f>
        <v>47</v>
      </c>
      <c r="G37" s="765">
        <f>IF('[2]Tasa de Falla'!HQ36="","",'[2]Tasa de Falla'!HQ36)</f>
      </c>
      <c r="H37" s="765">
        <f>IF('[2]Tasa de Falla'!HR36="","",'[2]Tasa de Falla'!HR36)</f>
      </c>
      <c r="I37" s="765">
        <f>IF('[2]Tasa de Falla'!HS36="","",'[2]Tasa de Falla'!HS36)</f>
      </c>
      <c r="J37" s="765">
        <f>IF('[2]Tasa de Falla'!HT36="","",'[2]Tasa de Falla'!HT36)</f>
      </c>
      <c r="K37" s="765">
        <f>IF('[2]Tasa de Falla'!HU36="","",'[2]Tasa de Falla'!HU36)</f>
      </c>
      <c r="L37" s="765">
        <f>IF('[2]Tasa de Falla'!HV36="","",'[2]Tasa de Falla'!HV36)</f>
      </c>
      <c r="M37" s="765">
        <f>IF('[2]Tasa de Falla'!HW36="","",'[2]Tasa de Falla'!HW36)</f>
      </c>
      <c r="N37" s="765">
        <f>IF('[2]Tasa de Falla'!HX36="","",'[2]Tasa de Falla'!HX36)</f>
      </c>
      <c r="O37" s="765">
        <f>IF('[2]Tasa de Falla'!HY36="","",'[2]Tasa de Falla'!HY36)</f>
      </c>
      <c r="P37" s="765">
        <f>IF('[2]Tasa de Falla'!HZ36="","",'[2]Tasa de Falla'!HZ36)</f>
      </c>
      <c r="Q37" s="765">
        <f>IF('[2]Tasa de Falla'!IA36="","",'[2]Tasa de Falla'!IA36)</f>
      </c>
      <c r="R37" s="765">
        <f>IF('[2]Tasa de Falla'!IB36="","",'[2]Tasa de Falla'!IB36)</f>
      </c>
      <c r="S37" s="761"/>
      <c r="T37" s="3"/>
    </row>
    <row r="38" spans="2:20" ht="18" customHeight="1">
      <c r="B38" s="2"/>
      <c r="C38" s="762">
        <f>IF('[2]Tasa de Falla'!C37="","",'[2]Tasa de Falla'!C37)</f>
        <v>21</v>
      </c>
      <c r="D38" s="762" t="str">
        <f>IF('[2]Tasa de Falla'!D37="","",'[2]Tasa de Falla'!D37)</f>
        <v>N. P. MADRYN - P. MADRYN 330 kV</v>
      </c>
      <c r="E38" s="762">
        <f>IF('[2]Tasa de Falla'!E37="","",'[2]Tasa de Falla'!E37)</f>
        <v>330</v>
      </c>
      <c r="F38" s="762">
        <f>IF('[2]Tasa de Falla'!F37="","",'[2]Tasa de Falla'!F37)</f>
        <v>0.47</v>
      </c>
      <c r="G38" s="763">
        <f>IF('[2]Tasa de Falla'!HQ37="","",'[2]Tasa de Falla'!HQ37)</f>
      </c>
      <c r="H38" s="763">
        <f>IF('[2]Tasa de Falla'!HR37="","",'[2]Tasa de Falla'!HR37)</f>
      </c>
      <c r="I38" s="763">
        <f>IF('[2]Tasa de Falla'!HS37="","",'[2]Tasa de Falla'!HS37)</f>
      </c>
      <c r="J38" s="763">
        <f>IF('[2]Tasa de Falla'!HT37="","",'[2]Tasa de Falla'!HT37)</f>
      </c>
      <c r="K38" s="763">
        <f>IF('[2]Tasa de Falla'!HU37="","",'[2]Tasa de Falla'!HU37)</f>
      </c>
      <c r="L38" s="763">
        <f>IF('[2]Tasa de Falla'!HV37="","",'[2]Tasa de Falla'!HV37)</f>
      </c>
      <c r="M38" s="763">
        <f>IF('[2]Tasa de Falla'!HW37="","",'[2]Tasa de Falla'!HW37)</f>
      </c>
      <c r="N38" s="763">
        <f>IF('[2]Tasa de Falla'!HX37="","",'[2]Tasa de Falla'!HX37)</f>
      </c>
      <c r="O38" s="763">
        <f>IF('[2]Tasa de Falla'!HY37="","",'[2]Tasa de Falla'!HY37)</f>
      </c>
      <c r="P38" s="763">
        <f>IF('[2]Tasa de Falla'!HZ37="","",'[2]Tasa de Falla'!HZ37)</f>
      </c>
      <c r="Q38" s="763">
        <f>IF('[2]Tasa de Falla'!IA37="","",'[2]Tasa de Falla'!IA37)</f>
      </c>
      <c r="R38" s="763">
        <f>IF('[2]Tasa de Falla'!IB37="","",'[2]Tasa de Falla'!IB37)</f>
      </c>
      <c r="S38" s="761"/>
      <c r="T38" s="3"/>
    </row>
    <row r="39" spans="2:20" ht="15" customHeight="1">
      <c r="B39" s="2"/>
      <c r="C39" s="764">
        <f>IF('[2]Tasa de Falla'!C38="","",'[2]Tasa de Falla'!C38)</f>
        <v>31</v>
      </c>
      <c r="D39" s="764" t="str">
        <f>IF('[2]Tasa de Falla'!D38="","",'[2]Tasa de Falla'!D38)</f>
        <v>LAS HERAS - MINA SAN JOSE</v>
      </c>
      <c r="E39" s="764">
        <f>IF('[2]Tasa de Falla'!E38="","",'[2]Tasa de Falla'!E38)</f>
        <v>132</v>
      </c>
      <c r="F39" s="764">
        <f>IF('[2]Tasa de Falla'!F38="","",'[2]Tasa de Falla'!F38)</f>
        <v>128</v>
      </c>
      <c r="G39" s="765">
        <f>IF('[2]Tasa de Falla'!HQ38="","",'[2]Tasa de Falla'!HQ38)</f>
      </c>
      <c r="H39" s="765">
        <f>IF('[2]Tasa de Falla'!HR38="","",'[2]Tasa de Falla'!HR38)</f>
      </c>
      <c r="I39" s="765">
        <f>IF('[2]Tasa de Falla'!HS38="","",'[2]Tasa de Falla'!HS38)</f>
      </c>
      <c r="J39" s="765">
        <f>IF('[2]Tasa de Falla'!HT38="","",'[2]Tasa de Falla'!HT38)</f>
      </c>
      <c r="K39" s="765">
        <f>IF('[2]Tasa de Falla'!HU38="","",'[2]Tasa de Falla'!HU38)</f>
      </c>
      <c r="L39" s="765">
        <f>IF('[2]Tasa de Falla'!HV38="","",'[2]Tasa de Falla'!HV38)</f>
      </c>
      <c r="M39" s="765">
        <f>IF('[2]Tasa de Falla'!HW38="","",'[2]Tasa de Falla'!HW38)</f>
      </c>
      <c r="N39" s="765">
        <f>IF('[2]Tasa de Falla'!HX38="","",'[2]Tasa de Falla'!HX38)</f>
      </c>
      <c r="O39" s="765">
        <f>IF('[2]Tasa de Falla'!HY38="","",'[2]Tasa de Falla'!HY38)</f>
      </c>
      <c r="P39" s="765">
        <f>IF('[2]Tasa de Falla'!HZ38="","",'[2]Tasa de Falla'!HZ38)</f>
      </c>
      <c r="Q39" s="765">
        <f>IF('[2]Tasa de Falla'!IA38="","",'[2]Tasa de Falla'!IA38)</f>
      </c>
      <c r="R39" s="765">
        <f>IF('[2]Tasa de Falla'!IB38="","",'[2]Tasa de Falla'!IB38)</f>
      </c>
      <c r="S39" s="761"/>
      <c r="T39" s="3"/>
    </row>
    <row r="40" spans="2:20" ht="18" customHeight="1">
      <c r="B40" s="2"/>
      <c r="C40" s="762">
        <f>IF('[2]Tasa de Falla'!C39="","",'[2]Tasa de Falla'!C39)</f>
        <v>27</v>
      </c>
      <c r="D40" s="762" t="str">
        <f>IF('[2]Tasa de Falla'!D39="","",'[2]Tasa de Falla'!D39)</f>
        <v>PAMPA DEL CASTILLO - EL TORDILLO</v>
      </c>
      <c r="E40" s="762">
        <f>IF('[2]Tasa de Falla'!E39="","",'[2]Tasa de Falla'!E39)</f>
        <v>132</v>
      </c>
      <c r="F40" s="762">
        <f>IF('[2]Tasa de Falla'!F39="","",'[2]Tasa de Falla'!F39)</f>
        <v>8.9</v>
      </c>
      <c r="G40" s="763">
        <f>IF('[2]Tasa de Falla'!HQ39="","",'[2]Tasa de Falla'!HQ39)</f>
      </c>
      <c r="H40" s="763">
        <f>IF('[2]Tasa de Falla'!HR39="","",'[2]Tasa de Falla'!HR39)</f>
      </c>
      <c r="I40" s="763">
        <f>IF('[2]Tasa de Falla'!HS39="","",'[2]Tasa de Falla'!HS39)</f>
      </c>
      <c r="J40" s="763">
        <f>IF('[2]Tasa de Falla'!HT39="","",'[2]Tasa de Falla'!HT39)</f>
      </c>
      <c r="K40" s="763">
        <f>IF('[2]Tasa de Falla'!HU39="","",'[2]Tasa de Falla'!HU39)</f>
      </c>
      <c r="L40" s="763">
        <f>IF('[2]Tasa de Falla'!HV39="","",'[2]Tasa de Falla'!HV39)</f>
      </c>
      <c r="M40" s="763">
        <f>IF('[2]Tasa de Falla'!HW39="","",'[2]Tasa de Falla'!HW39)</f>
      </c>
      <c r="N40" s="763">
        <f>IF('[2]Tasa de Falla'!HX39="","",'[2]Tasa de Falla'!HX39)</f>
      </c>
      <c r="O40" s="763">
        <f>IF('[2]Tasa de Falla'!HY39="","",'[2]Tasa de Falla'!HY39)</f>
      </c>
      <c r="P40" s="763">
        <f>IF('[2]Tasa de Falla'!HZ39="","",'[2]Tasa de Falla'!HZ39)</f>
      </c>
      <c r="Q40" s="763">
        <f>IF('[2]Tasa de Falla'!IA39="","",'[2]Tasa de Falla'!IA39)</f>
      </c>
      <c r="R40" s="763">
        <f>IF('[2]Tasa de Falla'!IB39="","",'[2]Tasa de Falla'!IB39)</f>
      </c>
      <c r="S40" s="761"/>
      <c r="T40" s="3"/>
    </row>
    <row r="41" spans="2:20" ht="15" customHeight="1">
      <c r="B41" s="2"/>
      <c r="C41" s="764">
        <f>IF('[2]Tasa de Falla'!C40="","",'[2]Tasa de Falla'!C40)</f>
        <v>28</v>
      </c>
      <c r="D41" s="764" t="str">
        <f>IF('[2]Tasa de Falla'!D40="","",'[2]Tasa de Falla'!D40)</f>
        <v>PLANTA ALUMINIO APPA - PUERTO MADRYN 3</v>
      </c>
      <c r="E41" s="764">
        <f>IF('[2]Tasa de Falla'!E40="","",'[2]Tasa de Falla'!E40)</f>
        <v>330</v>
      </c>
      <c r="F41" s="764">
        <f>IF('[2]Tasa de Falla'!F40="","",'[2]Tasa de Falla'!F40)</f>
        <v>4.9</v>
      </c>
      <c r="G41" s="765">
        <f>IF('[2]Tasa de Falla'!HQ40="","",'[2]Tasa de Falla'!HQ40)</f>
      </c>
      <c r="H41" s="765">
        <f>IF('[2]Tasa de Falla'!HR40="","",'[2]Tasa de Falla'!HR40)</f>
      </c>
      <c r="I41" s="765">
        <f>IF('[2]Tasa de Falla'!HS40="","",'[2]Tasa de Falla'!HS40)</f>
      </c>
      <c r="J41" s="765">
        <f>IF('[2]Tasa de Falla'!HT40="","",'[2]Tasa de Falla'!HT40)</f>
      </c>
      <c r="K41" s="765">
        <f>IF('[2]Tasa de Falla'!HU40="","",'[2]Tasa de Falla'!HU40)</f>
      </c>
      <c r="L41" s="765">
        <f>IF('[2]Tasa de Falla'!HV40="","",'[2]Tasa de Falla'!HV40)</f>
      </c>
      <c r="M41" s="765">
        <f>IF('[2]Tasa de Falla'!HW40="","",'[2]Tasa de Falla'!HW40)</f>
      </c>
      <c r="N41" s="765">
        <f>IF('[2]Tasa de Falla'!HX40="","",'[2]Tasa de Falla'!HX40)</f>
      </c>
      <c r="O41" s="765">
        <f>IF('[2]Tasa de Falla'!HY40="","",'[2]Tasa de Falla'!HY40)</f>
      </c>
      <c r="P41" s="765">
        <f>IF('[2]Tasa de Falla'!HZ40="","",'[2]Tasa de Falla'!HZ40)</f>
      </c>
      <c r="Q41" s="765">
        <f>IF('[2]Tasa de Falla'!IA40="","",'[2]Tasa de Falla'!IA40)</f>
      </c>
      <c r="R41" s="765">
        <f>IF('[2]Tasa de Falla'!IB40="","",'[2]Tasa de Falla'!IB40)</f>
      </c>
      <c r="S41" s="761"/>
      <c r="T41" s="3"/>
    </row>
    <row r="42" spans="2:20" ht="18" customHeight="1">
      <c r="B42" s="2"/>
      <c r="C42" s="762">
        <f>IF('[2]Tasa de Falla'!C41="","",'[2]Tasa de Falla'!C41)</f>
        <v>30</v>
      </c>
      <c r="D42" s="762" t="str">
        <f>IF('[2]Tasa de Falla'!D41="","",'[2]Tasa de Falla'!D41)</f>
        <v>TRELEW - RAWSON</v>
      </c>
      <c r="E42" s="762">
        <f>IF('[2]Tasa de Falla'!E41="","",'[2]Tasa de Falla'!E41)</f>
        <v>132</v>
      </c>
      <c r="F42" s="762">
        <f>IF('[2]Tasa de Falla'!F41="","",'[2]Tasa de Falla'!F41)</f>
        <v>21.8</v>
      </c>
      <c r="G42" s="763">
        <f>IF('[2]Tasa de Falla'!HQ41="","",'[2]Tasa de Falla'!HQ41)</f>
      </c>
      <c r="H42" s="763">
        <f>IF('[2]Tasa de Falla'!HR41="","",'[2]Tasa de Falla'!HR41)</f>
        <v>1</v>
      </c>
      <c r="I42" s="763">
        <f>IF('[2]Tasa de Falla'!HS41="","",'[2]Tasa de Falla'!HS41)</f>
      </c>
      <c r="J42" s="763">
        <f>IF('[2]Tasa de Falla'!HT41="","",'[2]Tasa de Falla'!HT41)</f>
      </c>
      <c r="K42" s="763">
        <f>IF('[2]Tasa de Falla'!HU41="","",'[2]Tasa de Falla'!HU41)</f>
      </c>
      <c r="L42" s="763">
        <f>IF('[2]Tasa de Falla'!HV41="","",'[2]Tasa de Falla'!HV41)</f>
      </c>
      <c r="M42" s="763">
        <f>IF('[2]Tasa de Falla'!HW41="","",'[2]Tasa de Falla'!HW41)</f>
      </c>
      <c r="N42" s="763">
        <f>IF('[2]Tasa de Falla'!HX41="","",'[2]Tasa de Falla'!HX41)</f>
      </c>
      <c r="O42" s="763">
        <f>IF('[2]Tasa de Falla'!HY41="","",'[2]Tasa de Falla'!HY41)</f>
      </c>
      <c r="P42" s="763">
        <f>IF('[2]Tasa de Falla'!HZ41="","",'[2]Tasa de Falla'!HZ41)</f>
      </c>
      <c r="Q42" s="763">
        <f>IF('[2]Tasa de Falla'!IA41="","",'[2]Tasa de Falla'!IA41)</f>
      </c>
      <c r="R42" s="763">
        <f>IF('[2]Tasa de Falla'!IB41="","",'[2]Tasa de Falla'!IB41)</f>
        <v>1</v>
      </c>
      <c r="S42" s="761"/>
      <c r="T42" s="3"/>
    </row>
    <row r="43" spans="2:20" ht="15" customHeight="1">
      <c r="B43" s="2"/>
      <c r="C43" s="764">
        <f>IF('[2]Tasa de Falla'!C42="","",'[2]Tasa de Falla'!C42)</f>
        <v>37</v>
      </c>
      <c r="D43" s="764" t="str">
        <f>IF('[2]Tasa de Falla'!D42="","",'[2]Tasa de Falla'!D42)</f>
        <v>PICO TRUNCADO 1 - SANTA CRUZ NORTE     1</v>
      </c>
      <c r="E43" s="764">
        <f>IF('[2]Tasa de Falla'!E42="","",'[2]Tasa de Falla'!E42)</f>
        <v>132</v>
      </c>
      <c r="F43" s="764">
        <f>IF('[2]Tasa de Falla'!F42="","",'[2]Tasa de Falla'!F42)</f>
        <v>2.5</v>
      </c>
      <c r="G43" s="765">
        <f>IF('[2]Tasa de Falla'!HQ42="","",'[2]Tasa de Falla'!HQ42)</f>
      </c>
      <c r="H43" s="765">
        <f>IF('[2]Tasa de Falla'!HR42="","",'[2]Tasa de Falla'!HR42)</f>
      </c>
      <c r="I43" s="765">
        <f>IF('[2]Tasa de Falla'!HS42="","",'[2]Tasa de Falla'!HS42)</f>
      </c>
      <c r="J43" s="765">
        <f>IF('[2]Tasa de Falla'!HT42="","",'[2]Tasa de Falla'!HT42)</f>
      </c>
      <c r="K43" s="765">
        <f>IF('[2]Tasa de Falla'!HU42="","",'[2]Tasa de Falla'!HU42)</f>
      </c>
      <c r="L43" s="765">
        <f>IF('[2]Tasa de Falla'!HV42="","",'[2]Tasa de Falla'!HV42)</f>
      </c>
      <c r="M43" s="765">
        <f>IF('[2]Tasa de Falla'!HW42="","",'[2]Tasa de Falla'!HW42)</f>
      </c>
      <c r="N43" s="765">
        <f>IF('[2]Tasa de Falla'!HX42="","",'[2]Tasa de Falla'!HX42)</f>
      </c>
      <c r="O43" s="765">
        <f>IF('[2]Tasa de Falla'!HY42="","",'[2]Tasa de Falla'!HY42)</f>
      </c>
      <c r="P43" s="765">
        <f>IF('[2]Tasa de Falla'!HZ42="","",'[2]Tasa de Falla'!HZ42)</f>
      </c>
      <c r="Q43" s="765">
        <f>IF('[2]Tasa de Falla'!IA42="","",'[2]Tasa de Falla'!IA42)</f>
      </c>
      <c r="R43" s="765">
        <f>IF('[2]Tasa de Falla'!IB42="","",'[2]Tasa de Falla'!IB42)</f>
      </c>
      <c r="S43" s="761"/>
      <c r="T43" s="3"/>
    </row>
    <row r="44" spans="2:20" ht="18" customHeight="1">
      <c r="B44" s="2"/>
      <c r="C44" s="762">
        <f>IF('[2]Tasa de Falla'!C43="","",'[2]Tasa de Falla'!C43)</f>
        <v>38</v>
      </c>
      <c r="D44" s="762" t="str">
        <f>IF('[2]Tasa de Falla'!D43="","",'[2]Tasa de Falla'!D43)</f>
        <v>PICO TRUNCADO 1 - SANTA CRUZ NORTE     2</v>
      </c>
      <c r="E44" s="762">
        <f>IF('[2]Tasa de Falla'!E43="","",'[2]Tasa de Falla'!E43)</f>
        <v>132</v>
      </c>
      <c r="F44" s="762">
        <f>IF('[2]Tasa de Falla'!F43="","",'[2]Tasa de Falla'!F43)</f>
        <v>2.5</v>
      </c>
      <c r="G44" s="763">
        <f>IF('[2]Tasa de Falla'!HQ43="","",'[2]Tasa de Falla'!HQ43)</f>
      </c>
      <c r="H44" s="763">
        <f>IF('[2]Tasa de Falla'!HR43="","",'[2]Tasa de Falla'!HR43)</f>
      </c>
      <c r="I44" s="763">
        <f>IF('[2]Tasa de Falla'!HS43="","",'[2]Tasa de Falla'!HS43)</f>
      </c>
      <c r="J44" s="763">
        <f>IF('[2]Tasa de Falla'!HT43="","",'[2]Tasa de Falla'!HT43)</f>
      </c>
      <c r="K44" s="763">
        <f>IF('[2]Tasa de Falla'!HU43="","",'[2]Tasa de Falla'!HU43)</f>
      </c>
      <c r="L44" s="763">
        <f>IF('[2]Tasa de Falla'!HV43="","",'[2]Tasa de Falla'!HV43)</f>
      </c>
      <c r="M44" s="763">
        <f>IF('[2]Tasa de Falla'!HW43="","",'[2]Tasa de Falla'!HW43)</f>
      </c>
      <c r="N44" s="763">
        <f>IF('[2]Tasa de Falla'!HX43="","",'[2]Tasa de Falla'!HX43)</f>
      </c>
      <c r="O44" s="763">
        <f>IF('[2]Tasa de Falla'!HY43="","",'[2]Tasa de Falla'!HY43)</f>
      </c>
      <c r="P44" s="763">
        <f>IF('[2]Tasa de Falla'!HZ43="","",'[2]Tasa de Falla'!HZ43)</f>
      </c>
      <c r="Q44" s="763">
        <f>IF('[2]Tasa de Falla'!IA43="","",'[2]Tasa de Falla'!IA43)</f>
      </c>
      <c r="R44" s="763">
        <f>IF('[2]Tasa de Falla'!IB43="","",'[2]Tasa de Falla'!IB43)</f>
      </c>
      <c r="S44" s="761"/>
      <c r="T44" s="3"/>
    </row>
    <row r="45" spans="2:20" ht="15" customHeight="1">
      <c r="B45" s="2"/>
      <c r="C45" s="764">
        <f>IF('[2]Tasa de Falla'!C44="","",'[2]Tasa de Falla'!C44)</f>
        <v>39</v>
      </c>
      <c r="D45" s="764" t="str">
        <f>IF('[2]Tasa de Falla'!D44="","",'[2]Tasa de Falla'!D44)</f>
        <v>LAS HERAS - SANTA CRUZ NORTE</v>
      </c>
      <c r="E45" s="764">
        <f>IF('[2]Tasa de Falla'!E44="","",'[2]Tasa de Falla'!E44)</f>
        <v>132</v>
      </c>
      <c r="F45" s="764">
        <f>IF('[2]Tasa de Falla'!F44="","",'[2]Tasa de Falla'!F44)</f>
        <v>80</v>
      </c>
      <c r="G45" s="765">
        <f>IF('[2]Tasa de Falla'!HQ44="","",'[2]Tasa de Falla'!HQ44)</f>
      </c>
      <c r="H45" s="765">
        <f>IF('[2]Tasa de Falla'!HR44="","",'[2]Tasa de Falla'!HR44)</f>
      </c>
      <c r="I45" s="765">
        <f>IF('[2]Tasa de Falla'!HS44="","",'[2]Tasa de Falla'!HS44)</f>
      </c>
      <c r="J45" s="765">
        <f>IF('[2]Tasa de Falla'!HT44="","",'[2]Tasa de Falla'!HT44)</f>
      </c>
      <c r="K45" s="765">
        <f>IF('[2]Tasa de Falla'!HU44="","",'[2]Tasa de Falla'!HU44)</f>
      </c>
      <c r="L45" s="765">
        <f>IF('[2]Tasa de Falla'!HV44="","",'[2]Tasa de Falla'!HV44)</f>
      </c>
      <c r="M45" s="765">
        <f>IF('[2]Tasa de Falla'!HW44="","",'[2]Tasa de Falla'!HW44)</f>
      </c>
      <c r="N45" s="765">
        <f>IF('[2]Tasa de Falla'!HX44="","",'[2]Tasa de Falla'!HX44)</f>
      </c>
      <c r="O45" s="765">
        <f>IF('[2]Tasa de Falla'!HY44="","",'[2]Tasa de Falla'!HY44)</f>
      </c>
      <c r="P45" s="765">
        <f>IF('[2]Tasa de Falla'!HZ44="","",'[2]Tasa de Falla'!HZ44)</f>
      </c>
      <c r="Q45" s="765">
        <f>IF('[2]Tasa de Falla'!IA44="","",'[2]Tasa de Falla'!IA44)</f>
      </c>
      <c r="R45" s="765">
        <f>IF('[2]Tasa de Falla'!IB44="","",'[2]Tasa de Falla'!IB44)</f>
      </c>
      <c r="S45" s="761"/>
      <c r="T45" s="3"/>
    </row>
    <row r="46" spans="2:20" ht="15" customHeight="1">
      <c r="B46" s="2"/>
      <c r="C46" s="762">
        <f>IF('[2]Tasa de Falla'!C45="","",'[2]Tasa de Falla'!C45)</f>
        <v>40</v>
      </c>
      <c r="D46" s="762" t="str">
        <f>IF('[2]Tasa de Falla'!D45="","",'[2]Tasa de Falla'!D45)</f>
        <v>RAWSON-RAWSONG1 </v>
      </c>
      <c r="E46" s="762">
        <f>IF('[2]Tasa de Falla'!E45="","",'[2]Tasa de Falla'!E45)</f>
        <v>132</v>
      </c>
      <c r="F46" s="762">
        <f>IF('[2]Tasa de Falla'!F45="","",'[2]Tasa de Falla'!F45)</f>
        <v>7.2</v>
      </c>
      <c r="G46" s="763">
        <f>IF('[2]Tasa de Falla'!HQ45="","",'[2]Tasa de Falla'!HQ45)</f>
      </c>
      <c r="H46" s="763">
        <f>IF('[2]Tasa de Falla'!HR45="","",'[2]Tasa de Falla'!HR45)</f>
      </c>
      <c r="I46" s="763">
        <f>IF('[2]Tasa de Falla'!HS45="","",'[2]Tasa de Falla'!HS45)</f>
      </c>
      <c r="J46" s="763">
        <f>IF('[2]Tasa de Falla'!HT45="","",'[2]Tasa de Falla'!HT45)</f>
      </c>
      <c r="K46" s="763">
        <f>IF('[2]Tasa de Falla'!HU45="","",'[2]Tasa de Falla'!HU45)</f>
      </c>
      <c r="L46" s="763">
        <f>IF('[2]Tasa de Falla'!HV45="","",'[2]Tasa de Falla'!HV45)</f>
      </c>
      <c r="M46" s="763">
        <f>IF('[2]Tasa de Falla'!HW45="","",'[2]Tasa de Falla'!HW45)</f>
      </c>
      <c r="N46" s="763">
        <f>IF('[2]Tasa de Falla'!HX45="","",'[2]Tasa de Falla'!HX45)</f>
      </c>
      <c r="O46" s="763">
        <f>IF('[2]Tasa de Falla'!HY45="","",'[2]Tasa de Falla'!HY45)</f>
      </c>
      <c r="P46" s="763">
        <f>IF('[2]Tasa de Falla'!HZ45="","",'[2]Tasa de Falla'!HZ45)</f>
      </c>
      <c r="Q46" s="763">
        <f>IF('[2]Tasa de Falla'!IA45="","",'[2]Tasa de Falla'!IA45)</f>
      </c>
      <c r="R46" s="763">
        <f>IF('[2]Tasa de Falla'!IB45="","",'[2]Tasa de Falla'!IB45)</f>
      </c>
      <c r="S46" s="761"/>
      <c r="T46" s="3"/>
    </row>
    <row r="47" spans="2:20" ht="15" customHeight="1">
      <c r="B47" s="2"/>
      <c r="C47" s="762">
        <f>IF('[2]Tasa de Falla'!C46="","",'[2]Tasa de Falla'!C46)</f>
      </c>
      <c r="D47" s="762">
        <f>IF('[2]Tasa de Falla'!D46="","",'[2]Tasa de Falla'!D46)</f>
      </c>
      <c r="E47" s="762">
        <f>IF('[2]Tasa de Falla'!E46="","",'[2]Tasa de Falla'!E46)</f>
      </c>
      <c r="F47" s="762">
        <f>IF('[2]Tasa de Falla'!F46="","",'[2]Tasa de Falla'!F46)</f>
      </c>
      <c r="G47" s="763">
        <f>IF('[2]Tasa de Falla'!HQ46="","",'[2]Tasa de Falla'!HQ46)</f>
      </c>
      <c r="H47" s="763">
        <f>IF('[2]Tasa de Falla'!HR46="","",'[2]Tasa de Falla'!HR46)</f>
      </c>
      <c r="I47" s="763">
        <f>IF('[2]Tasa de Falla'!HS46="","",'[2]Tasa de Falla'!HS46)</f>
      </c>
      <c r="J47" s="763">
        <f>IF('[2]Tasa de Falla'!HT46="","",'[2]Tasa de Falla'!HT46)</f>
      </c>
      <c r="K47" s="763">
        <f>IF('[2]Tasa de Falla'!HU46="","",'[2]Tasa de Falla'!HU46)</f>
      </c>
      <c r="L47" s="763">
        <f>IF('[2]Tasa de Falla'!HV46="","",'[2]Tasa de Falla'!HV46)</f>
      </c>
      <c r="M47" s="763">
        <f>IF('[2]Tasa de Falla'!HW46="","",'[2]Tasa de Falla'!HW46)</f>
      </c>
      <c r="N47" s="763">
        <f>IF('[2]Tasa de Falla'!HX46="","",'[2]Tasa de Falla'!HX46)</f>
      </c>
      <c r="O47" s="763">
        <f>IF('[2]Tasa de Falla'!HY46="","",'[2]Tasa de Falla'!HY46)</f>
      </c>
      <c r="P47" s="763">
        <f>IF('[2]Tasa de Falla'!HZ46="","",'[2]Tasa de Falla'!HZ46)</f>
      </c>
      <c r="Q47" s="763">
        <f>IF('[2]Tasa de Falla'!IA46="","",'[2]Tasa de Falla'!IA46)</f>
      </c>
      <c r="R47" s="763">
        <f>IF('[2]Tasa de Falla'!IB46="","",'[2]Tasa de Falla'!IB46)</f>
      </c>
      <c r="S47" s="761"/>
      <c r="T47" s="3"/>
    </row>
    <row r="48" spans="2:20" ht="15" customHeight="1">
      <c r="B48" s="2"/>
      <c r="C48" s="764">
        <f>IF('[2]Tasa de Falla'!C47="","",'[2]Tasa de Falla'!C47)</f>
        <v>19</v>
      </c>
      <c r="D48" s="764" t="str">
        <f>IF('[2]Tasa de Falla'!D47="","",'[2]Tasa de Falla'!D47)</f>
        <v>PUNTA COLORADA - SIERRA GRANDE</v>
      </c>
      <c r="E48" s="764">
        <f>IF('[2]Tasa de Falla'!E47="","",'[2]Tasa de Falla'!E47)</f>
        <v>132</v>
      </c>
      <c r="F48" s="764">
        <f>IF('[2]Tasa de Falla'!F47="","",'[2]Tasa de Falla'!F47)</f>
        <v>31</v>
      </c>
      <c r="G48" s="765">
        <f>IF('[2]Tasa de Falla'!HQ47="","",'[2]Tasa de Falla'!HQ47)</f>
      </c>
      <c r="H48" s="765">
        <f>IF('[2]Tasa de Falla'!HR47="","",'[2]Tasa de Falla'!HR47)</f>
      </c>
      <c r="I48" s="765">
        <f>IF('[2]Tasa de Falla'!HS47="","",'[2]Tasa de Falla'!HS47)</f>
      </c>
      <c r="J48" s="765">
        <f>IF('[2]Tasa de Falla'!HT47="","",'[2]Tasa de Falla'!HT47)</f>
      </c>
      <c r="K48" s="765">
        <f>IF('[2]Tasa de Falla'!HU47="","",'[2]Tasa de Falla'!HU47)</f>
      </c>
      <c r="L48" s="765">
        <f>IF('[2]Tasa de Falla'!HV47="","",'[2]Tasa de Falla'!HV47)</f>
      </c>
      <c r="M48" s="765">
        <f>IF('[2]Tasa de Falla'!HW47="","",'[2]Tasa de Falla'!HW47)</f>
      </c>
      <c r="N48" s="765">
        <f>IF('[2]Tasa de Falla'!HX47="","",'[2]Tasa de Falla'!HX47)</f>
      </c>
      <c r="O48" s="765">
        <f>IF('[2]Tasa de Falla'!HY47="","",'[2]Tasa de Falla'!HY47)</f>
      </c>
      <c r="P48" s="765">
        <f>IF('[2]Tasa de Falla'!HZ47="","",'[2]Tasa de Falla'!HZ47)</f>
      </c>
      <c r="Q48" s="765">
        <f>IF('[2]Tasa de Falla'!IA47="","",'[2]Tasa de Falla'!IA47)</f>
      </c>
      <c r="R48" s="765">
        <f>IF('[2]Tasa de Falla'!IB47="","",'[2]Tasa de Falla'!IB47)</f>
        <v>1</v>
      </c>
      <c r="S48" s="761"/>
      <c r="T48" s="3"/>
    </row>
    <row r="49" spans="2:20" ht="18" customHeight="1">
      <c r="B49" s="2"/>
      <c r="C49" s="762">
        <f>IF('[2]Tasa de Falla'!C48="","",'[2]Tasa de Falla'!C48)</f>
        <v>20</v>
      </c>
      <c r="D49" s="762" t="str">
        <f>IF('[2]Tasa de Falla'!D48="","",'[2]Tasa de Falla'!D48)</f>
        <v>CARMEN DE PATAGONES - VIEDMA</v>
      </c>
      <c r="E49" s="762">
        <f>IF('[2]Tasa de Falla'!E48="","",'[2]Tasa de Falla'!E48)</f>
        <v>132</v>
      </c>
      <c r="F49" s="762">
        <f>IF('[2]Tasa de Falla'!F48="","",'[2]Tasa de Falla'!F48)</f>
        <v>7</v>
      </c>
      <c r="G49" s="763" t="str">
        <f>IF('[2]Tasa de Falla'!HQ48="","",'[2]Tasa de Falla'!HQ48)</f>
        <v>XXXX</v>
      </c>
      <c r="H49" s="763" t="str">
        <f>IF('[2]Tasa de Falla'!HR48="","",'[2]Tasa de Falla'!HR48)</f>
        <v>XXXX</v>
      </c>
      <c r="I49" s="763" t="str">
        <f>IF('[2]Tasa de Falla'!HS48="","",'[2]Tasa de Falla'!HS48)</f>
        <v>XXXX</v>
      </c>
      <c r="J49" s="763" t="str">
        <f>IF('[2]Tasa de Falla'!HT48="","",'[2]Tasa de Falla'!HT48)</f>
        <v>XXXX</v>
      </c>
      <c r="K49" s="763" t="str">
        <f>IF('[2]Tasa de Falla'!HU48="","",'[2]Tasa de Falla'!HU48)</f>
        <v>XXXX</v>
      </c>
      <c r="L49" s="763" t="str">
        <f>IF('[2]Tasa de Falla'!HV48="","",'[2]Tasa de Falla'!HV48)</f>
        <v>XXXX</v>
      </c>
      <c r="M49" s="763" t="str">
        <f>IF('[2]Tasa de Falla'!HW48="","",'[2]Tasa de Falla'!HW48)</f>
        <v>XXXX</v>
      </c>
      <c r="N49" s="763" t="str">
        <f>IF('[2]Tasa de Falla'!HX48="","",'[2]Tasa de Falla'!HX48)</f>
        <v>XXXX</v>
      </c>
      <c r="O49" s="763" t="str">
        <f>IF('[2]Tasa de Falla'!HY48="","",'[2]Tasa de Falla'!HY48)</f>
        <v>XXXX</v>
      </c>
      <c r="P49" s="763" t="str">
        <f>IF('[2]Tasa de Falla'!HZ48="","",'[2]Tasa de Falla'!HZ48)</f>
        <v>XXXX</v>
      </c>
      <c r="Q49" s="763" t="str">
        <f>IF('[2]Tasa de Falla'!IA48="","",'[2]Tasa de Falla'!IA48)</f>
        <v>XXXX</v>
      </c>
      <c r="R49" s="763" t="str">
        <f>IF('[2]Tasa de Falla'!IB48="","",'[2]Tasa de Falla'!IB48)</f>
        <v>XXXX</v>
      </c>
      <c r="S49" s="761"/>
      <c r="T49" s="3"/>
    </row>
    <row r="50" spans="2:20" ht="15" customHeight="1">
      <c r="B50" s="2"/>
      <c r="C50" s="764">
        <f>IF('[2]Tasa de Falla'!C49="","",'[2]Tasa de Falla'!C49)</f>
      </c>
      <c r="D50" s="764" t="str">
        <f>IF('[2]Tasa de Falla'!D49="","",'[2]Tasa de Falla'!D49)</f>
        <v>CARMEN DE PATAGONES - VIEDMA</v>
      </c>
      <c r="E50" s="764">
        <f>IF('[2]Tasa de Falla'!E49="","",'[2]Tasa de Falla'!E49)</f>
        <v>132</v>
      </c>
      <c r="F50" s="764">
        <f>IF('[2]Tasa de Falla'!F49="","",'[2]Tasa de Falla'!F49)</f>
        <v>4.4</v>
      </c>
      <c r="G50" s="765">
        <f>IF('[2]Tasa de Falla'!HQ49="","",'[2]Tasa de Falla'!HQ49)</f>
      </c>
      <c r="H50" s="765">
        <f>IF('[2]Tasa de Falla'!HR49="","",'[2]Tasa de Falla'!HR49)</f>
      </c>
      <c r="I50" s="765">
        <f>IF('[2]Tasa de Falla'!HS49="","",'[2]Tasa de Falla'!HS49)</f>
      </c>
      <c r="J50" s="765">
        <f>IF('[2]Tasa de Falla'!HT49="","",'[2]Tasa de Falla'!HT49)</f>
      </c>
      <c r="K50" s="765">
        <f>IF('[2]Tasa de Falla'!HU49="","",'[2]Tasa de Falla'!HU49)</f>
      </c>
      <c r="L50" s="765">
        <f>IF('[2]Tasa de Falla'!HV49="","",'[2]Tasa de Falla'!HV49)</f>
      </c>
      <c r="M50" s="765">
        <f>IF('[2]Tasa de Falla'!HW49="","",'[2]Tasa de Falla'!HW49)</f>
      </c>
      <c r="N50" s="765">
        <f>IF('[2]Tasa de Falla'!HX49="","",'[2]Tasa de Falla'!HX49)</f>
      </c>
      <c r="O50" s="765">
        <f>IF('[2]Tasa de Falla'!HY49="","",'[2]Tasa de Falla'!HY49)</f>
      </c>
      <c r="P50" s="765">
        <f>IF('[2]Tasa de Falla'!HZ49="","",'[2]Tasa de Falla'!HZ49)</f>
      </c>
      <c r="Q50" s="765">
        <f>IF('[2]Tasa de Falla'!IA49="","",'[2]Tasa de Falla'!IA49)</f>
      </c>
      <c r="R50" s="765">
        <f>IF('[2]Tasa de Falla'!IB49="","",'[2]Tasa de Falla'!IB49)</f>
        <v>1</v>
      </c>
      <c r="S50" s="761"/>
      <c r="T50" s="3"/>
    </row>
    <row r="51" spans="2:20" ht="18" customHeight="1">
      <c r="B51" s="2"/>
      <c r="C51" s="762">
        <f>IF('[2]Tasa de Falla'!C50="","",'[2]Tasa de Falla'!C50)</f>
        <v>21</v>
      </c>
      <c r="D51" s="762" t="str">
        <f>IF('[2]Tasa de Falla'!D50="","",'[2]Tasa de Falla'!D50)</f>
        <v>SAN ANTONIO OESTE - SIERRA GRANDE</v>
      </c>
      <c r="E51" s="762">
        <f>IF('[2]Tasa de Falla'!E50="","",'[2]Tasa de Falla'!E50)</f>
        <v>132</v>
      </c>
      <c r="F51" s="762">
        <f>IF('[2]Tasa de Falla'!F50="","",'[2]Tasa de Falla'!F50)</f>
        <v>110.3</v>
      </c>
      <c r="G51" s="763">
        <f>IF('[2]Tasa de Falla'!HQ50="","",'[2]Tasa de Falla'!HQ50)</f>
      </c>
      <c r="H51" s="763">
        <f>IF('[2]Tasa de Falla'!HR50="","",'[2]Tasa de Falla'!HR50)</f>
      </c>
      <c r="I51" s="763">
        <f>IF('[2]Tasa de Falla'!HS50="","",'[2]Tasa de Falla'!HS50)</f>
      </c>
      <c r="J51" s="763">
        <f>IF('[2]Tasa de Falla'!HT50="","",'[2]Tasa de Falla'!HT50)</f>
      </c>
      <c r="K51" s="763">
        <f>IF('[2]Tasa de Falla'!HU50="","",'[2]Tasa de Falla'!HU50)</f>
      </c>
      <c r="L51" s="763">
        <f>IF('[2]Tasa de Falla'!HV50="","",'[2]Tasa de Falla'!HV50)</f>
      </c>
      <c r="M51" s="763">
        <f>IF('[2]Tasa de Falla'!HW50="","",'[2]Tasa de Falla'!HW50)</f>
      </c>
      <c r="N51" s="763">
        <f>IF('[2]Tasa de Falla'!HX50="","",'[2]Tasa de Falla'!HX50)</f>
      </c>
      <c r="O51" s="763">
        <f>IF('[2]Tasa de Falla'!HY50="","",'[2]Tasa de Falla'!HY50)</f>
      </c>
      <c r="P51" s="763">
        <f>IF('[2]Tasa de Falla'!HZ50="","",'[2]Tasa de Falla'!HZ50)</f>
      </c>
      <c r="Q51" s="763">
        <f>IF('[2]Tasa de Falla'!IA50="","",'[2]Tasa de Falla'!IA50)</f>
        <v>1</v>
      </c>
      <c r="R51" s="763">
        <f>IF('[2]Tasa de Falla'!IB50="","",'[2]Tasa de Falla'!IB50)</f>
      </c>
      <c r="S51" s="761"/>
      <c r="T51" s="3"/>
    </row>
    <row r="52" spans="2:20" ht="15" customHeight="1">
      <c r="B52" s="2"/>
      <c r="C52" s="764">
        <f>IF('[2]Tasa de Falla'!C51="","",'[2]Tasa de Falla'!C51)</f>
        <v>22</v>
      </c>
      <c r="D52" s="764" t="str">
        <f>IF('[2]Tasa de Falla'!D51="","",'[2]Tasa de Falla'!D51)</f>
        <v>SAN ANTONIO OESTE -VIEDMA-SAN ANTONIO ESTE</v>
      </c>
      <c r="E52" s="764">
        <f>IF('[2]Tasa de Falla'!E51="","",'[2]Tasa de Falla'!E51)</f>
        <v>132</v>
      </c>
      <c r="F52" s="764">
        <f>IF('[2]Tasa de Falla'!F51="","",'[2]Tasa de Falla'!F51)</f>
        <v>185.6</v>
      </c>
      <c r="G52" s="765">
        <f>IF('[2]Tasa de Falla'!HQ51="","",'[2]Tasa de Falla'!HQ51)</f>
        <v>2</v>
      </c>
      <c r="H52" s="765">
        <f>IF('[2]Tasa de Falla'!HR51="","",'[2]Tasa de Falla'!HR51)</f>
      </c>
      <c r="I52" s="765">
        <f>IF('[2]Tasa de Falla'!HS51="","",'[2]Tasa de Falla'!HS51)</f>
        <v>1</v>
      </c>
      <c r="J52" s="765">
        <f>IF('[2]Tasa de Falla'!HT51="","",'[2]Tasa de Falla'!HT51)</f>
      </c>
      <c r="K52" s="765">
        <f>IF('[2]Tasa de Falla'!HU51="","",'[2]Tasa de Falla'!HU51)</f>
      </c>
      <c r="L52" s="765">
        <f>IF('[2]Tasa de Falla'!HV51="","",'[2]Tasa de Falla'!HV51)</f>
      </c>
      <c r="M52" s="765">
        <f>IF('[2]Tasa de Falla'!HW51="","",'[2]Tasa de Falla'!HW51)</f>
      </c>
      <c r="N52" s="765">
        <f>IF('[2]Tasa de Falla'!HX51="","",'[2]Tasa de Falla'!HX51)</f>
      </c>
      <c r="O52" s="765">
        <f>IF('[2]Tasa de Falla'!HY51="","",'[2]Tasa de Falla'!HY51)</f>
      </c>
      <c r="P52" s="765">
        <f>IF('[2]Tasa de Falla'!HZ51="","",'[2]Tasa de Falla'!HZ51)</f>
      </c>
      <c r="Q52" s="765">
        <f>IF('[2]Tasa de Falla'!IA51="","",'[2]Tasa de Falla'!IA51)</f>
      </c>
      <c r="R52" s="765">
        <f>IF('[2]Tasa de Falla'!IB51="","",'[2]Tasa de Falla'!IB51)</f>
        <v>1</v>
      </c>
      <c r="S52" s="761"/>
      <c r="T52" s="3"/>
    </row>
    <row r="53" spans="2:20" ht="18" customHeight="1">
      <c r="B53" s="2"/>
      <c r="C53" s="762">
        <f>IF('[2]Tasa de Falla'!C52="","",'[2]Tasa de Falla'!C52)</f>
        <v>32</v>
      </c>
      <c r="D53" s="762" t="str">
        <f>IF('[2]Tasa de Falla'!D52="","",'[2]Tasa de Falla'!D52)</f>
        <v>SAN ANTONIO ESTE - VIEDMA</v>
      </c>
      <c r="E53" s="762">
        <f>IF('[2]Tasa de Falla'!E52="","",'[2]Tasa de Falla'!E52)</f>
        <v>132</v>
      </c>
      <c r="F53" s="762">
        <f>IF('[2]Tasa de Falla'!F52="","",'[2]Tasa de Falla'!F52)</f>
        <v>162.6</v>
      </c>
      <c r="G53" s="763" t="str">
        <f>IF('[2]Tasa de Falla'!HQ52="","",'[2]Tasa de Falla'!HQ52)</f>
        <v>XXXX</v>
      </c>
      <c r="H53" s="763" t="str">
        <f>IF('[2]Tasa de Falla'!HR52="","",'[2]Tasa de Falla'!HR52)</f>
        <v>XXXX</v>
      </c>
      <c r="I53" s="763" t="str">
        <f>IF('[2]Tasa de Falla'!HS52="","",'[2]Tasa de Falla'!HS52)</f>
        <v>XXXX</v>
      </c>
      <c r="J53" s="763" t="str">
        <f>IF('[2]Tasa de Falla'!HT52="","",'[2]Tasa de Falla'!HT52)</f>
        <v>XXXX</v>
      </c>
      <c r="K53" s="763" t="str">
        <f>IF('[2]Tasa de Falla'!HU52="","",'[2]Tasa de Falla'!HU52)</f>
        <v>XXXX</v>
      </c>
      <c r="L53" s="763" t="str">
        <f>IF('[2]Tasa de Falla'!HV52="","",'[2]Tasa de Falla'!HV52)</f>
        <v>XXXX</v>
      </c>
      <c r="M53" s="763" t="str">
        <f>IF('[2]Tasa de Falla'!HW52="","",'[2]Tasa de Falla'!HW52)</f>
        <v>XXXX</v>
      </c>
      <c r="N53" s="763" t="str">
        <f>IF('[2]Tasa de Falla'!HX52="","",'[2]Tasa de Falla'!HX52)</f>
        <v>XXXX</v>
      </c>
      <c r="O53" s="763" t="str">
        <f>IF('[2]Tasa de Falla'!HY52="","",'[2]Tasa de Falla'!HY52)</f>
        <v>XXXX</v>
      </c>
      <c r="P53" s="763" t="str">
        <f>IF('[2]Tasa de Falla'!HZ52="","",'[2]Tasa de Falla'!HZ52)</f>
        <v>XXXX</v>
      </c>
      <c r="Q53" s="763" t="str">
        <f>IF('[2]Tasa de Falla'!IA52="","",'[2]Tasa de Falla'!IA52)</f>
        <v>XXXX</v>
      </c>
      <c r="R53" s="763" t="str">
        <f>IF('[2]Tasa de Falla'!IB52="","",'[2]Tasa de Falla'!IB52)</f>
        <v>XXXX</v>
      </c>
      <c r="S53" s="761"/>
      <c r="T53" s="3"/>
    </row>
    <row r="54" spans="2:20" ht="15" customHeight="1">
      <c r="B54" s="2"/>
      <c r="C54" s="764">
        <f>IF('[2]Tasa de Falla'!C53="","",'[2]Tasa de Falla'!C53)</f>
      </c>
      <c r="D54" s="764">
        <f>IF('[2]Tasa de Falla'!D53="","",'[2]Tasa de Falla'!D53)</f>
      </c>
      <c r="E54" s="764">
        <f>IF('[2]Tasa de Falla'!E53="","",'[2]Tasa de Falla'!E53)</f>
      </c>
      <c r="F54" s="764">
        <f>IF('[2]Tasa de Falla'!F53="","",'[2]Tasa de Falla'!F53)</f>
      </c>
      <c r="G54" s="765">
        <f>IF('[2]Tasa de Falla'!HQ53="","",'[2]Tasa de Falla'!HQ53)</f>
      </c>
      <c r="H54" s="765">
        <f>IF('[2]Tasa de Falla'!HR53="","",'[2]Tasa de Falla'!HR53)</f>
      </c>
      <c r="I54" s="765">
        <f>IF('[2]Tasa de Falla'!HS53="","",'[2]Tasa de Falla'!HS53)</f>
      </c>
      <c r="J54" s="765">
        <f>IF('[2]Tasa de Falla'!HT53="","",'[2]Tasa de Falla'!HT53)</f>
      </c>
      <c r="K54" s="765">
        <f>IF('[2]Tasa de Falla'!HU53="","",'[2]Tasa de Falla'!HU53)</f>
      </c>
      <c r="L54" s="765">
        <f>IF('[2]Tasa de Falla'!HV53="","",'[2]Tasa de Falla'!HV53)</f>
      </c>
      <c r="M54" s="765">
        <f>IF('[2]Tasa de Falla'!HW53="","",'[2]Tasa de Falla'!HW53)</f>
      </c>
      <c r="N54" s="765">
        <f>IF('[2]Tasa de Falla'!HX53="","",'[2]Tasa de Falla'!HX53)</f>
      </c>
      <c r="O54" s="765">
        <f>IF('[2]Tasa de Falla'!HY53="","",'[2]Tasa de Falla'!HY53)</f>
      </c>
      <c r="P54" s="765">
        <f>IF('[2]Tasa de Falla'!HZ53="","",'[2]Tasa de Falla'!HZ53)</f>
      </c>
      <c r="Q54" s="765">
        <f>IF('[2]Tasa de Falla'!IA53="","",'[2]Tasa de Falla'!IA53)</f>
      </c>
      <c r="R54" s="765">
        <f>IF('[2]Tasa de Falla'!IB53="","",'[2]Tasa de Falla'!IB53)</f>
      </c>
      <c r="S54" s="761"/>
      <c r="T54" s="3"/>
    </row>
    <row r="55" spans="2:20" ht="18" customHeight="1">
      <c r="B55" s="2"/>
      <c r="C55" s="762">
        <f>IF('[2]Tasa de Falla'!C54="","",'[2]Tasa de Falla'!C54)</f>
        <v>23</v>
      </c>
      <c r="D55" s="762" t="str">
        <f>IF('[2]Tasa de Falla'!D54="","",'[2]Tasa de Falla'!D54)</f>
        <v>PICO TRUNCADO I - PUERTO DESEADO</v>
      </c>
      <c r="E55" s="762">
        <f>IF('[2]Tasa de Falla'!E54="","",'[2]Tasa de Falla'!E54)</f>
        <v>132</v>
      </c>
      <c r="F55" s="762">
        <f>IF('[2]Tasa de Falla'!F54="","",'[2]Tasa de Falla'!F54)</f>
        <v>209</v>
      </c>
      <c r="G55" s="763" t="str">
        <f>IF('[2]Tasa de Falla'!HQ54="","",'[2]Tasa de Falla'!HQ54)</f>
        <v>XXXX</v>
      </c>
      <c r="H55" s="763" t="str">
        <f>IF('[2]Tasa de Falla'!HR54="","",'[2]Tasa de Falla'!HR54)</f>
        <v>XXXX</v>
      </c>
      <c r="I55" s="763" t="str">
        <f>IF('[2]Tasa de Falla'!HS54="","",'[2]Tasa de Falla'!HS54)</f>
        <v>XXXX</v>
      </c>
      <c r="J55" s="763" t="str">
        <f>IF('[2]Tasa de Falla'!HT54="","",'[2]Tasa de Falla'!HT54)</f>
        <v>XXXX</v>
      </c>
      <c r="K55" s="763" t="str">
        <f>IF('[2]Tasa de Falla'!HU54="","",'[2]Tasa de Falla'!HU54)</f>
        <v>XXXX</v>
      </c>
      <c r="L55" s="763" t="str">
        <f>IF('[2]Tasa de Falla'!HV54="","",'[2]Tasa de Falla'!HV54)</f>
        <v>XXXX</v>
      </c>
      <c r="M55" s="763" t="str">
        <f>IF('[2]Tasa de Falla'!HW54="","",'[2]Tasa de Falla'!HW54)</f>
        <v>XXXX</v>
      </c>
      <c r="N55" s="763" t="str">
        <f>IF('[2]Tasa de Falla'!HX54="","",'[2]Tasa de Falla'!HX54)</f>
        <v>XXXX</v>
      </c>
      <c r="O55" s="763" t="str">
        <f>IF('[2]Tasa de Falla'!HY54="","",'[2]Tasa de Falla'!HY54)</f>
        <v>XXXX</v>
      </c>
      <c r="P55" s="763" t="str">
        <f>IF('[2]Tasa de Falla'!HZ54="","",'[2]Tasa de Falla'!HZ54)</f>
        <v>XXXX</v>
      </c>
      <c r="Q55" s="763" t="str">
        <f>IF('[2]Tasa de Falla'!IA54="","",'[2]Tasa de Falla'!IA54)</f>
        <v>XXXX</v>
      </c>
      <c r="R55" s="763" t="str">
        <f>IF('[2]Tasa de Falla'!IB54="","",'[2]Tasa de Falla'!IB54)</f>
        <v>XXXX</v>
      </c>
      <c r="S55" s="761"/>
      <c r="T55" s="3"/>
    </row>
    <row r="56" spans="2:20" ht="15" customHeight="1">
      <c r="B56" s="2"/>
      <c r="C56" s="764">
        <f>IF('[2]Tasa de Falla'!C55="","",'[2]Tasa de Falla'!C55)</f>
        <v>35</v>
      </c>
      <c r="D56" s="764" t="str">
        <f>IF('[2]Tasa de Falla'!D55="","",'[2]Tasa de Falla'!D55)</f>
        <v>PICO TRUNCADO I - PTQ C.RIVADAVIA</v>
      </c>
      <c r="E56" s="764">
        <f>IF('[2]Tasa de Falla'!E55="","",'[2]Tasa de Falla'!E55)</f>
        <v>132</v>
      </c>
      <c r="F56" s="764">
        <f>IF('[2]Tasa de Falla'!F55="","",'[2]Tasa de Falla'!F55)</f>
        <v>1.5</v>
      </c>
      <c r="G56" s="765">
        <f>IF('[2]Tasa de Falla'!HQ55="","",'[2]Tasa de Falla'!HQ55)</f>
      </c>
      <c r="H56" s="765">
        <f>IF('[2]Tasa de Falla'!HR55="","",'[2]Tasa de Falla'!HR55)</f>
      </c>
      <c r="I56" s="765">
        <f>IF('[2]Tasa de Falla'!HS55="","",'[2]Tasa de Falla'!HS55)</f>
      </c>
      <c r="J56" s="765">
        <f>IF('[2]Tasa de Falla'!HT55="","",'[2]Tasa de Falla'!HT55)</f>
      </c>
      <c r="K56" s="765">
        <f>IF('[2]Tasa de Falla'!HU55="","",'[2]Tasa de Falla'!HU55)</f>
      </c>
      <c r="L56" s="765">
        <f>IF('[2]Tasa de Falla'!HV55="","",'[2]Tasa de Falla'!HV55)</f>
      </c>
      <c r="M56" s="765">
        <f>IF('[2]Tasa de Falla'!HW55="","",'[2]Tasa de Falla'!HW55)</f>
      </c>
      <c r="N56" s="765">
        <f>IF('[2]Tasa de Falla'!HX55="","",'[2]Tasa de Falla'!HX55)</f>
      </c>
      <c r="O56" s="765">
        <f>IF('[2]Tasa de Falla'!HY55="","",'[2]Tasa de Falla'!HY55)</f>
      </c>
      <c r="P56" s="765">
        <f>IF('[2]Tasa de Falla'!HZ55="","",'[2]Tasa de Falla'!HZ55)</f>
      </c>
      <c r="Q56" s="765">
        <f>IF('[2]Tasa de Falla'!IA55="","",'[2]Tasa de Falla'!IA55)</f>
      </c>
      <c r="R56" s="765">
        <f>IF('[2]Tasa de Falla'!IB55="","",'[2]Tasa de Falla'!IB55)</f>
      </c>
      <c r="S56" s="761"/>
      <c r="T56" s="3"/>
    </row>
    <row r="57" spans="2:20" ht="18" customHeight="1">
      <c r="B57" s="2"/>
      <c r="C57" s="762">
        <f>IF('[2]Tasa de Falla'!C56="","",'[2]Tasa de Falla'!C56)</f>
        <v>36</v>
      </c>
      <c r="D57" s="762" t="str">
        <f>IF('[2]Tasa de Falla'!D56="","",'[2]Tasa de Falla'!D56)</f>
        <v>PTQ C.RIVADAVIA - P.DESEADO</v>
      </c>
      <c r="E57" s="762">
        <f>IF('[2]Tasa de Falla'!E56="","",'[2]Tasa de Falla'!E56)</f>
        <v>132</v>
      </c>
      <c r="F57" s="762">
        <f>IF('[2]Tasa de Falla'!F56="","",'[2]Tasa de Falla'!F56)</f>
        <v>207.5</v>
      </c>
      <c r="G57" s="763">
        <f>IF('[2]Tasa de Falla'!HQ56="","",'[2]Tasa de Falla'!HQ56)</f>
      </c>
      <c r="H57" s="763">
        <f>IF('[2]Tasa de Falla'!HR56="","",'[2]Tasa de Falla'!HR56)</f>
      </c>
      <c r="I57" s="763">
        <f>IF('[2]Tasa de Falla'!HS56="","",'[2]Tasa de Falla'!HS56)</f>
      </c>
      <c r="J57" s="763">
        <f>IF('[2]Tasa de Falla'!HT56="","",'[2]Tasa de Falla'!HT56)</f>
        <v>2</v>
      </c>
      <c r="K57" s="763">
        <f>IF('[2]Tasa de Falla'!HU56="","",'[2]Tasa de Falla'!HU56)</f>
      </c>
      <c r="L57" s="763">
        <f>IF('[2]Tasa de Falla'!HV56="","",'[2]Tasa de Falla'!HV56)</f>
      </c>
      <c r="M57" s="763">
        <f>IF('[2]Tasa de Falla'!HW56="","",'[2]Tasa de Falla'!HW56)</f>
      </c>
      <c r="N57" s="763">
        <f>IF('[2]Tasa de Falla'!HX56="","",'[2]Tasa de Falla'!HX56)</f>
      </c>
      <c r="O57" s="763">
        <f>IF('[2]Tasa de Falla'!HY56="","",'[2]Tasa de Falla'!HY56)</f>
      </c>
      <c r="P57" s="763">
        <f>IF('[2]Tasa de Falla'!HZ56="","",'[2]Tasa de Falla'!HZ56)</f>
      </c>
      <c r="Q57" s="763">
        <f>IF('[2]Tasa de Falla'!IA56="","",'[2]Tasa de Falla'!IA56)</f>
      </c>
      <c r="R57" s="763">
        <f>IF('[2]Tasa de Falla'!IB56="","",'[2]Tasa de Falla'!IB56)</f>
      </c>
      <c r="S57" s="761"/>
      <c r="T57" s="3"/>
    </row>
    <row r="58" spans="2:20" ht="15" customHeight="1">
      <c r="B58" s="2"/>
      <c r="C58" s="764">
        <f>IF('[2]Tasa de Falla'!C57="","",'[2]Tasa de Falla'!C57)</f>
      </c>
      <c r="D58" s="764">
        <f>IF('[2]Tasa de Falla'!D57="","",'[2]Tasa de Falla'!D57)</f>
      </c>
      <c r="E58" s="764">
        <f>IF('[2]Tasa de Falla'!E57="","",'[2]Tasa de Falla'!E57)</f>
      </c>
      <c r="F58" s="764">
        <f>IF('[2]Tasa de Falla'!F57="","",'[2]Tasa de Falla'!F57)</f>
      </c>
      <c r="G58" s="765">
        <f>IF('[2]Tasa de Falla'!HQ57="","",'[2]Tasa de Falla'!HQ57)</f>
      </c>
      <c r="H58" s="765">
        <f>IF('[2]Tasa de Falla'!HR57="","",'[2]Tasa de Falla'!HR57)</f>
      </c>
      <c r="I58" s="765">
        <f>IF('[2]Tasa de Falla'!HS57="","",'[2]Tasa de Falla'!HS57)</f>
      </c>
      <c r="J58" s="765">
        <f>IF('[2]Tasa de Falla'!HT57="","",'[2]Tasa de Falla'!HT57)</f>
      </c>
      <c r="K58" s="765">
        <f>IF('[2]Tasa de Falla'!HU57="","",'[2]Tasa de Falla'!HU57)</f>
      </c>
      <c r="L58" s="765">
        <f>IF('[2]Tasa de Falla'!HV57="","",'[2]Tasa de Falla'!HV57)</f>
      </c>
      <c r="M58" s="765">
        <f>IF('[2]Tasa de Falla'!HW57="","",'[2]Tasa de Falla'!HW57)</f>
      </c>
      <c r="N58" s="765">
        <f>IF('[2]Tasa de Falla'!HX57="","",'[2]Tasa de Falla'!HX57)</f>
      </c>
      <c r="O58" s="765">
        <f>IF('[2]Tasa de Falla'!HY57="","",'[2]Tasa de Falla'!HY57)</f>
      </c>
      <c r="P58" s="765">
        <f>IF('[2]Tasa de Falla'!HZ57="","",'[2]Tasa de Falla'!HZ57)</f>
      </c>
      <c r="Q58" s="765">
        <f>IF('[2]Tasa de Falla'!IA57="","",'[2]Tasa de Falla'!IA57)</f>
      </c>
      <c r="R58" s="765">
        <f>IF('[2]Tasa de Falla'!IB57="","",'[2]Tasa de Falla'!IB57)</f>
      </c>
      <c r="S58" s="761"/>
      <c r="T58" s="3"/>
    </row>
    <row r="59" spans="2:20" ht="18" customHeight="1">
      <c r="B59" s="2"/>
      <c r="C59" s="762">
        <f>IF('[2]Tasa de Falla'!C58="","",'[2]Tasa de Falla'!C58)</f>
        <v>24</v>
      </c>
      <c r="D59" s="762" t="str">
        <f>IF('[2]Tasa de Falla'!D58="","",'[2]Tasa de Falla'!D58)</f>
        <v>E.T. PATAGONIA - PAMPA DEL CASTILLO</v>
      </c>
      <c r="E59" s="762">
        <f>IF('[2]Tasa de Falla'!E58="","",'[2]Tasa de Falla'!E58)</f>
        <v>132</v>
      </c>
      <c r="F59" s="762">
        <f>IF('[2]Tasa de Falla'!F58="","",'[2]Tasa de Falla'!F58)</f>
        <v>42.6</v>
      </c>
      <c r="G59" s="763" t="str">
        <f>IF('[2]Tasa de Falla'!HQ58="","",'[2]Tasa de Falla'!HQ58)</f>
        <v>XXXX</v>
      </c>
      <c r="H59" s="763" t="str">
        <f>IF('[2]Tasa de Falla'!HR58="","",'[2]Tasa de Falla'!HR58)</f>
        <v>XXXX</v>
      </c>
      <c r="I59" s="763" t="str">
        <f>IF('[2]Tasa de Falla'!HS58="","",'[2]Tasa de Falla'!HS58)</f>
        <v>XXXX</v>
      </c>
      <c r="J59" s="763" t="str">
        <f>IF('[2]Tasa de Falla'!HT58="","",'[2]Tasa de Falla'!HT58)</f>
        <v>XXXX</v>
      </c>
      <c r="K59" s="763" t="str">
        <f>IF('[2]Tasa de Falla'!HU58="","",'[2]Tasa de Falla'!HU58)</f>
        <v>XXXX</v>
      </c>
      <c r="L59" s="763" t="str">
        <f>IF('[2]Tasa de Falla'!HV58="","",'[2]Tasa de Falla'!HV58)</f>
        <v>XXXX</v>
      </c>
      <c r="M59" s="763" t="str">
        <f>IF('[2]Tasa de Falla'!HW58="","",'[2]Tasa de Falla'!HW58)</f>
        <v>XXXX</v>
      </c>
      <c r="N59" s="763" t="str">
        <f>IF('[2]Tasa de Falla'!HX58="","",'[2]Tasa de Falla'!HX58)</f>
        <v>XXXX</v>
      </c>
      <c r="O59" s="763" t="str">
        <f>IF('[2]Tasa de Falla'!HY58="","",'[2]Tasa de Falla'!HY58)</f>
        <v>XXXX</v>
      </c>
      <c r="P59" s="763" t="str">
        <f>IF('[2]Tasa de Falla'!HZ58="","",'[2]Tasa de Falla'!HZ58)</f>
        <v>XXXX</v>
      </c>
      <c r="Q59" s="763" t="str">
        <f>IF('[2]Tasa de Falla'!IA58="","",'[2]Tasa de Falla'!IA58)</f>
        <v>XXXX</v>
      </c>
      <c r="R59" s="763" t="str">
        <f>IF('[2]Tasa de Falla'!IB58="","",'[2]Tasa de Falla'!IB58)</f>
        <v>XXXX</v>
      </c>
      <c r="S59" s="761"/>
      <c r="T59" s="3"/>
    </row>
    <row r="60" spans="2:20" ht="15" customHeight="1">
      <c r="B60" s="2"/>
      <c r="C60" s="764">
        <f>IF('[2]Tasa de Falla'!C59="","",'[2]Tasa de Falla'!C59)</f>
        <v>25</v>
      </c>
      <c r="D60" s="764" t="str">
        <f>IF('[2]Tasa de Falla'!D59="","",'[2]Tasa de Falla'!D59)</f>
        <v>PAMPA DEL CASTILLO - VALLE HERMOSO</v>
      </c>
      <c r="E60" s="764">
        <f>IF('[2]Tasa de Falla'!E59="","",'[2]Tasa de Falla'!E59)</f>
        <v>132</v>
      </c>
      <c r="F60" s="764">
        <f>IF('[2]Tasa de Falla'!F59="","",'[2]Tasa de Falla'!F59)</f>
        <v>33.6</v>
      </c>
      <c r="G60" s="765">
        <f>IF('[2]Tasa de Falla'!HQ59="","",'[2]Tasa de Falla'!HQ59)</f>
      </c>
      <c r="H60" s="765">
        <f>IF('[2]Tasa de Falla'!HR59="","",'[2]Tasa de Falla'!HR59)</f>
      </c>
      <c r="I60" s="765">
        <f>IF('[2]Tasa de Falla'!HS59="","",'[2]Tasa de Falla'!HS59)</f>
      </c>
      <c r="J60" s="765">
        <f>IF('[2]Tasa de Falla'!HT59="","",'[2]Tasa de Falla'!HT59)</f>
      </c>
      <c r="K60" s="765">
        <f>IF('[2]Tasa de Falla'!HU59="","",'[2]Tasa de Falla'!HU59)</f>
      </c>
      <c r="L60" s="765">
        <f>IF('[2]Tasa de Falla'!HV59="","",'[2]Tasa de Falla'!HV59)</f>
      </c>
      <c r="M60" s="765">
        <f>IF('[2]Tasa de Falla'!HW59="","",'[2]Tasa de Falla'!HW59)</f>
        <v>1</v>
      </c>
      <c r="N60" s="765">
        <f>IF('[2]Tasa de Falla'!HX59="","",'[2]Tasa de Falla'!HX59)</f>
      </c>
      <c r="O60" s="765">
        <f>IF('[2]Tasa de Falla'!HY59="","",'[2]Tasa de Falla'!HY59)</f>
      </c>
      <c r="P60" s="765">
        <f>IF('[2]Tasa de Falla'!HZ59="","",'[2]Tasa de Falla'!HZ59)</f>
      </c>
      <c r="Q60" s="765">
        <f>IF('[2]Tasa de Falla'!IA59="","",'[2]Tasa de Falla'!IA59)</f>
      </c>
      <c r="R60" s="765">
        <f>IF('[2]Tasa de Falla'!IB59="","",'[2]Tasa de Falla'!IB59)</f>
      </c>
      <c r="S60" s="761"/>
      <c r="T60" s="3"/>
    </row>
    <row r="61" spans="2:20" ht="18" customHeight="1">
      <c r="B61" s="2"/>
      <c r="C61" s="762">
        <f>IF('[2]Tasa de Falla'!C60="","",'[2]Tasa de Falla'!C60)</f>
        <v>26</v>
      </c>
      <c r="D61" s="762" t="str">
        <f>IF('[2]Tasa de Falla'!D60="","",'[2]Tasa de Falla'!D60)</f>
        <v>VALLE HERMOSO - CERRO NEGRO</v>
      </c>
      <c r="E61" s="762">
        <f>IF('[2]Tasa de Falla'!E60="","",'[2]Tasa de Falla'!E60)</f>
        <v>132</v>
      </c>
      <c r="F61" s="762">
        <f>IF('[2]Tasa de Falla'!F60="","",'[2]Tasa de Falla'!F60)</f>
        <v>41</v>
      </c>
      <c r="G61" s="763">
        <f>IF('[2]Tasa de Falla'!HQ60="","",'[2]Tasa de Falla'!HQ60)</f>
      </c>
      <c r="H61" s="763">
        <f>IF('[2]Tasa de Falla'!HR60="","",'[2]Tasa de Falla'!HR60)</f>
      </c>
      <c r="I61" s="763">
        <f>IF('[2]Tasa de Falla'!HS60="","",'[2]Tasa de Falla'!HS60)</f>
      </c>
      <c r="J61" s="763">
        <f>IF('[2]Tasa de Falla'!HT60="","",'[2]Tasa de Falla'!HT60)</f>
      </c>
      <c r="K61" s="763">
        <f>IF('[2]Tasa de Falla'!HU60="","",'[2]Tasa de Falla'!HU60)</f>
      </c>
      <c r="L61" s="763">
        <f>IF('[2]Tasa de Falla'!HV60="","",'[2]Tasa de Falla'!HV60)</f>
      </c>
      <c r="M61" s="763">
        <f>IF('[2]Tasa de Falla'!HW60="","",'[2]Tasa de Falla'!HW60)</f>
      </c>
      <c r="N61" s="763">
        <f>IF('[2]Tasa de Falla'!HX60="","",'[2]Tasa de Falla'!HX60)</f>
      </c>
      <c r="O61" s="763">
        <f>IF('[2]Tasa de Falla'!HY60="","",'[2]Tasa de Falla'!HY60)</f>
      </c>
      <c r="P61" s="763">
        <f>IF('[2]Tasa de Falla'!HZ60="","",'[2]Tasa de Falla'!HZ60)</f>
      </c>
      <c r="Q61" s="763">
        <f>IF('[2]Tasa de Falla'!IA60="","",'[2]Tasa de Falla'!IA60)</f>
      </c>
      <c r="R61" s="763">
        <f>IF('[2]Tasa de Falla'!IB60="","",'[2]Tasa de Falla'!IB60)</f>
      </c>
      <c r="S61" s="761"/>
      <c r="T61" s="3"/>
    </row>
    <row r="62" spans="2:20" ht="15" customHeight="1">
      <c r="B62" s="2"/>
      <c r="C62" s="764">
        <f>IF('[2]Tasa de Falla'!C61="","",'[2]Tasa de Falla'!C61)</f>
        <v>33</v>
      </c>
      <c r="D62" s="764" t="str">
        <f>IF('[2]Tasa de Falla'!D61="","",'[2]Tasa de Falla'!D61)</f>
        <v>E.T. PATAGONIA - DIADEMA</v>
      </c>
      <c r="E62" s="764">
        <f>IF('[2]Tasa de Falla'!E61="","",'[2]Tasa de Falla'!E61)</f>
        <v>132</v>
      </c>
      <c r="F62" s="764">
        <f>IF('[2]Tasa de Falla'!F61="","",'[2]Tasa de Falla'!F61)</f>
        <v>15</v>
      </c>
      <c r="G62" s="765">
        <f>IF('[2]Tasa de Falla'!HQ61="","",'[2]Tasa de Falla'!HQ61)</f>
      </c>
      <c r="H62" s="765">
        <f>IF('[2]Tasa de Falla'!HR61="","",'[2]Tasa de Falla'!HR61)</f>
      </c>
      <c r="I62" s="765">
        <f>IF('[2]Tasa de Falla'!HS61="","",'[2]Tasa de Falla'!HS61)</f>
      </c>
      <c r="J62" s="765">
        <f>IF('[2]Tasa de Falla'!HT61="","",'[2]Tasa de Falla'!HT61)</f>
      </c>
      <c r="K62" s="765">
        <f>IF('[2]Tasa de Falla'!HU61="","",'[2]Tasa de Falla'!HU61)</f>
      </c>
      <c r="L62" s="765">
        <f>IF('[2]Tasa de Falla'!HV61="","",'[2]Tasa de Falla'!HV61)</f>
      </c>
      <c r="M62" s="765">
        <f>IF('[2]Tasa de Falla'!HW61="","",'[2]Tasa de Falla'!HW61)</f>
      </c>
      <c r="N62" s="765">
        <f>IF('[2]Tasa de Falla'!HX61="","",'[2]Tasa de Falla'!HX61)</f>
      </c>
      <c r="O62" s="765">
        <f>IF('[2]Tasa de Falla'!HY61="","",'[2]Tasa de Falla'!HY61)</f>
      </c>
      <c r="P62" s="765">
        <f>IF('[2]Tasa de Falla'!HZ61="","",'[2]Tasa de Falla'!HZ61)</f>
      </c>
      <c r="Q62" s="765">
        <f>IF('[2]Tasa de Falla'!IA61="","",'[2]Tasa de Falla'!IA61)</f>
      </c>
      <c r="R62" s="765">
        <f>IF('[2]Tasa de Falla'!IB61="","",'[2]Tasa de Falla'!IB61)</f>
      </c>
      <c r="S62" s="761"/>
      <c r="T62" s="3"/>
    </row>
    <row r="63" spans="2:20" ht="18" customHeight="1">
      <c r="B63" s="2"/>
      <c r="C63" s="762">
        <f>IF('[2]Tasa de Falla'!C62="","",'[2]Tasa de Falla'!C62)</f>
        <v>34</v>
      </c>
      <c r="D63" s="762" t="str">
        <f>IF('[2]Tasa de Falla'!D62="","",'[2]Tasa de Falla'!D62)</f>
        <v>DIADEMA - PAMAPA DEL CASTILLO</v>
      </c>
      <c r="E63" s="762">
        <f>IF('[2]Tasa de Falla'!E62="","",'[2]Tasa de Falla'!E62)</f>
        <v>132</v>
      </c>
      <c r="F63" s="762">
        <f>IF('[2]Tasa de Falla'!F62="","",'[2]Tasa de Falla'!F62)</f>
        <v>27.6</v>
      </c>
      <c r="G63" s="763">
        <f>IF('[2]Tasa de Falla'!HQ62="","",'[2]Tasa de Falla'!HQ62)</f>
      </c>
      <c r="H63" s="763">
        <f>IF('[2]Tasa de Falla'!HR62="","",'[2]Tasa de Falla'!HR62)</f>
      </c>
      <c r="I63" s="763">
        <f>IF('[2]Tasa de Falla'!HS62="","",'[2]Tasa de Falla'!HS62)</f>
      </c>
      <c r="J63" s="763">
        <f>IF('[2]Tasa de Falla'!HT62="","",'[2]Tasa de Falla'!HT62)</f>
      </c>
      <c r="K63" s="763">
        <f>IF('[2]Tasa de Falla'!HU62="","",'[2]Tasa de Falla'!HU62)</f>
      </c>
      <c r="L63" s="763">
        <f>IF('[2]Tasa de Falla'!HV62="","",'[2]Tasa de Falla'!HV62)</f>
      </c>
      <c r="M63" s="763">
        <f>IF('[2]Tasa de Falla'!HW62="","",'[2]Tasa de Falla'!HW62)</f>
        <v>1</v>
      </c>
      <c r="N63" s="763">
        <f>IF('[2]Tasa de Falla'!HX62="","",'[2]Tasa de Falla'!HX62)</f>
      </c>
      <c r="O63" s="763">
        <f>IF('[2]Tasa de Falla'!HY62="","",'[2]Tasa de Falla'!HY62)</f>
      </c>
      <c r="P63" s="763">
        <f>IF('[2]Tasa de Falla'!HZ62="","",'[2]Tasa de Falla'!HZ62)</f>
      </c>
      <c r="Q63" s="763">
        <f>IF('[2]Tasa de Falla'!IA62="","",'[2]Tasa de Falla'!IA62)</f>
      </c>
      <c r="R63" s="763">
        <f>IF('[2]Tasa de Falla'!IB62="","",'[2]Tasa de Falla'!IB62)</f>
      </c>
      <c r="S63" s="761"/>
      <c r="T63" s="3"/>
    </row>
    <row r="64" spans="2:20" ht="15" customHeight="1">
      <c r="B64" s="2"/>
      <c r="C64" s="764">
        <f>IF('[2]Tasa de Falla'!C63="","",'[2]Tasa de Falla'!C63)</f>
        <v>29</v>
      </c>
      <c r="D64" s="764" t="str">
        <f>IF('[2]Tasa de Falla'!D63="","",'[2]Tasa de Falla'!D63)</f>
        <v>ESQUEL-EL COHIUE</v>
      </c>
      <c r="E64" s="764">
        <f>IF('[2]Tasa de Falla'!E63="","",'[2]Tasa de Falla'!E63)</f>
        <v>132</v>
      </c>
      <c r="F64" s="764">
        <f>IF('[2]Tasa de Falla'!F63="","",'[2]Tasa de Falla'!F63)</f>
        <v>127.98</v>
      </c>
      <c r="G64" s="765">
        <f>IF('[2]Tasa de Falla'!HQ63="","",'[2]Tasa de Falla'!HQ63)</f>
      </c>
      <c r="H64" s="765">
        <f>IF('[2]Tasa de Falla'!HR63="","",'[2]Tasa de Falla'!HR63)</f>
      </c>
      <c r="I64" s="765">
        <f>IF('[2]Tasa de Falla'!HS63="","",'[2]Tasa de Falla'!HS63)</f>
      </c>
      <c r="J64" s="765">
        <f>IF('[2]Tasa de Falla'!HT63="","",'[2]Tasa de Falla'!HT63)</f>
      </c>
      <c r="K64" s="765">
        <f>IF('[2]Tasa de Falla'!HU63="","",'[2]Tasa de Falla'!HU63)</f>
      </c>
      <c r="L64" s="765">
        <f>IF('[2]Tasa de Falla'!HV63="","",'[2]Tasa de Falla'!HV63)</f>
        <v>1</v>
      </c>
      <c r="M64" s="765">
        <f>IF('[2]Tasa de Falla'!HW63="","",'[2]Tasa de Falla'!HW63)</f>
      </c>
      <c r="N64" s="765">
        <f>IF('[2]Tasa de Falla'!HX63="","",'[2]Tasa de Falla'!HX63)</f>
        <v>1</v>
      </c>
      <c r="O64" s="765">
        <f>IF('[2]Tasa de Falla'!HY63="","",'[2]Tasa de Falla'!HY63)</f>
      </c>
      <c r="P64" s="765">
        <f>IF('[2]Tasa de Falla'!HZ63="","",'[2]Tasa de Falla'!HZ63)</f>
      </c>
      <c r="Q64" s="765">
        <f>IF('[2]Tasa de Falla'!IA63="","",'[2]Tasa de Falla'!IA63)</f>
      </c>
      <c r="R64" s="765">
        <f>IF('[2]Tasa de Falla'!IB63="","",'[2]Tasa de Falla'!IB63)</f>
      </c>
      <c r="S64" s="761"/>
      <c r="T64" s="3"/>
    </row>
    <row r="65" spans="2:20" ht="18" customHeight="1">
      <c r="B65" s="2"/>
      <c r="C65" s="762">
        <f>IF('[2]Tasa de Falla'!C64="","",'[2]Tasa de Falla'!C64)</f>
      </c>
      <c r="D65" s="762">
        <f>IF('[2]Tasa de Falla'!D64="","",'[2]Tasa de Falla'!D64)</f>
      </c>
      <c r="E65" s="762">
        <f>IF('[2]Tasa de Falla'!E64="","",'[2]Tasa de Falla'!E64)</f>
      </c>
      <c r="F65" s="762">
        <f>IF('[2]Tasa de Falla'!F64="","",'[2]Tasa de Falla'!F64)</f>
      </c>
      <c r="G65" s="763">
        <f>IF('[2]Tasa de Falla'!HQ64="","",'[2]Tasa de Falla'!HQ64)</f>
      </c>
      <c r="H65" s="763">
        <f>IF('[2]Tasa de Falla'!HR64="","",'[2]Tasa de Falla'!HR64)</f>
      </c>
      <c r="I65" s="763">
        <f>IF('[2]Tasa de Falla'!HS64="","",'[2]Tasa de Falla'!HS64)</f>
      </c>
      <c r="J65" s="763">
        <f>IF('[2]Tasa de Falla'!HT64="","",'[2]Tasa de Falla'!HT64)</f>
      </c>
      <c r="K65" s="763">
        <f>IF('[2]Tasa de Falla'!HU64="","",'[2]Tasa de Falla'!HU64)</f>
      </c>
      <c r="L65" s="763">
        <f>IF('[2]Tasa de Falla'!HV64="","",'[2]Tasa de Falla'!HV64)</f>
      </c>
      <c r="M65" s="763">
        <f>IF('[2]Tasa de Falla'!HW64="","",'[2]Tasa de Falla'!HW64)</f>
      </c>
      <c r="N65" s="763">
        <f>IF('[2]Tasa de Falla'!HX64="","",'[2]Tasa de Falla'!HX64)</f>
      </c>
      <c r="O65" s="763">
        <f>IF('[2]Tasa de Falla'!HY64="","",'[2]Tasa de Falla'!HY64)</f>
      </c>
      <c r="P65" s="763">
        <f>IF('[2]Tasa de Falla'!HZ64="","",'[2]Tasa de Falla'!HZ64)</f>
      </c>
      <c r="Q65" s="763">
        <f>IF('[2]Tasa de Falla'!IA64="","",'[2]Tasa de Falla'!IA64)</f>
      </c>
      <c r="R65" s="763">
        <f>IF('[2]Tasa de Falla'!IB64="","",'[2]Tasa de Falla'!IB64)</f>
      </c>
      <c r="S65" s="761"/>
      <c r="T65" s="3"/>
    </row>
    <row r="66" spans="2:20" ht="15" customHeight="1">
      <c r="B66" s="2"/>
      <c r="C66" s="764">
        <f>IF('[2]Tasa de Falla'!C65="","",'[2]Tasa de Falla'!C65)</f>
        <v>41</v>
      </c>
      <c r="D66" s="764" t="str">
        <f>IF('[2]Tasa de Falla'!D65="","",'[2]Tasa de Falla'!D65)</f>
        <v>ESPERANZA PAT - RIO TURBIO 220 1</v>
      </c>
      <c r="E66" s="764">
        <f>IF('[2]Tasa de Falla'!E65="","",'[2]Tasa de Falla'!E65)</f>
        <v>220</v>
      </c>
      <c r="F66" s="764">
        <f>IF('[2]Tasa de Falla'!F65="","",'[2]Tasa de Falla'!F65)</f>
        <v>149</v>
      </c>
      <c r="G66" s="765" t="str">
        <f>IF('[2]Tasa de Falla'!HQ65="","",'[2]Tasa de Falla'!HQ65)</f>
        <v>XXXX</v>
      </c>
      <c r="H66" s="765" t="str">
        <f>IF('[2]Tasa de Falla'!HR65="","",'[2]Tasa de Falla'!HR65)</f>
        <v>XXXX</v>
      </c>
      <c r="I66" s="765" t="str">
        <f>IF('[2]Tasa de Falla'!HS65="","",'[2]Tasa de Falla'!HS65)</f>
        <v>XXXX</v>
      </c>
      <c r="J66" s="765" t="str">
        <f>IF('[2]Tasa de Falla'!HT65="","",'[2]Tasa de Falla'!HT65)</f>
        <v>XXXX</v>
      </c>
      <c r="K66" s="765" t="str">
        <f>IF('[2]Tasa de Falla'!HU65="","",'[2]Tasa de Falla'!HU65)</f>
        <v>XXXX</v>
      </c>
      <c r="L66" s="765" t="str">
        <f>IF('[2]Tasa de Falla'!HV65="","",'[2]Tasa de Falla'!HV65)</f>
        <v>XXXX</v>
      </c>
      <c r="M66" s="765" t="str">
        <f>IF('[2]Tasa de Falla'!HW65="","",'[2]Tasa de Falla'!HW65)</f>
        <v>XXXX</v>
      </c>
      <c r="N66" s="765" t="str">
        <f>IF('[2]Tasa de Falla'!HX65="","",'[2]Tasa de Falla'!HX65)</f>
        <v>XXXX</v>
      </c>
      <c r="O66" s="765">
        <f>IF('[2]Tasa de Falla'!HY65="","",'[2]Tasa de Falla'!HY65)</f>
      </c>
      <c r="P66" s="765">
        <f>IF('[2]Tasa de Falla'!HZ65="","",'[2]Tasa de Falla'!HZ65)</f>
      </c>
      <c r="Q66" s="765">
        <f>IF('[2]Tasa de Falla'!IA65="","",'[2]Tasa de Falla'!IA65)</f>
      </c>
      <c r="R66" s="765">
        <f>IF('[2]Tasa de Falla'!IB65="","",'[2]Tasa de Falla'!IB65)</f>
      </c>
      <c r="S66" s="761"/>
      <c r="T66" s="3"/>
    </row>
    <row r="67" spans="2:20" ht="18" customHeight="1">
      <c r="B67" s="2"/>
      <c r="C67" s="762">
        <f>IF('[2]Tasa de Falla'!C66="","",'[2]Tasa de Falla'!C66)</f>
        <v>42</v>
      </c>
      <c r="D67" s="762" t="str">
        <f>IF('[2]Tasa de Falla'!D66="","",'[2]Tasa de Falla'!D66)</f>
        <v>ESPERANZA PAT - RIO GALLEGOS 220 1</v>
      </c>
      <c r="E67" s="762">
        <f>IF('[2]Tasa de Falla'!E66="","",'[2]Tasa de Falla'!E66)</f>
        <v>220</v>
      </c>
      <c r="F67" s="762">
        <f>IF('[2]Tasa de Falla'!F66="","",'[2]Tasa de Falla'!F66)</f>
        <v>128</v>
      </c>
      <c r="G67" s="763" t="str">
        <f>IF('[2]Tasa de Falla'!HQ66="","",'[2]Tasa de Falla'!HQ66)</f>
        <v>XXXX</v>
      </c>
      <c r="H67" s="763" t="str">
        <f>IF('[2]Tasa de Falla'!HR66="","",'[2]Tasa de Falla'!HR66)</f>
        <v>XXXX</v>
      </c>
      <c r="I67" s="763" t="str">
        <f>IF('[2]Tasa de Falla'!HS66="","",'[2]Tasa de Falla'!HS66)</f>
        <v>XXXX</v>
      </c>
      <c r="J67" s="763" t="str">
        <f>IF('[2]Tasa de Falla'!HT66="","",'[2]Tasa de Falla'!HT66)</f>
        <v>XXXX</v>
      </c>
      <c r="K67" s="763" t="str">
        <f>IF('[2]Tasa de Falla'!HU66="","",'[2]Tasa de Falla'!HU66)</f>
        <v>XXXX</v>
      </c>
      <c r="L67" s="763" t="str">
        <f>IF('[2]Tasa de Falla'!HV66="","",'[2]Tasa de Falla'!HV66)</f>
        <v>XXXX</v>
      </c>
      <c r="M67" s="763" t="str">
        <f>IF('[2]Tasa de Falla'!HW66="","",'[2]Tasa de Falla'!HW66)</f>
        <v>XXXX</v>
      </c>
      <c r="N67" s="763" t="str">
        <f>IF('[2]Tasa de Falla'!HX66="","",'[2]Tasa de Falla'!HX66)</f>
        <v>XXXX</v>
      </c>
      <c r="O67" s="763">
        <f>IF('[2]Tasa de Falla'!HY66="","",'[2]Tasa de Falla'!HY66)</f>
      </c>
      <c r="P67" s="763">
        <f>IF('[2]Tasa de Falla'!HZ66="","",'[2]Tasa de Falla'!HZ66)</f>
      </c>
      <c r="Q67" s="763">
        <f>IF('[2]Tasa de Falla'!IA66="","",'[2]Tasa de Falla'!IA66)</f>
      </c>
      <c r="R67" s="763">
        <f>IF('[2]Tasa de Falla'!IB66="","",'[2]Tasa de Falla'!IB66)</f>
      </c>
      <c r="S67" s="761"/>
      <c r="T67" s="3"/>
    </row>
    <row r="68" spans="2:20" ht="15" customHeight="1" thickBot="1">
      <c r="B68" s="2"/>
      <c r="C68" s="766"/>
      <c r="D68" s="767"/>
      <c r="E68" s="768"/>
      <c r="F68" s="769"/>
      <c r="G68" s="769"/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1"/>
      <c r="T68" s="3"/>
    </row>
    <row r="69" spans="2:20" ht="15" customHeight="1" thickBot="1" thickTop="1">
      <c r="B69" s="2"/>
      <c r="C69" s="74"/>
      <c r="D69" s="177"/>
      <c r="E69" s="770" t="s">
        <v>192</v>
      </c>
      <c r="F69" s="771">
        <f>SUM($F$17:$F$68)-SUMIF(R$17:R$68,"XXXX",$F$17:$F$68)</f>
        <v>3274.1499999999996</v>
      </c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61"/>
      <c r="T69" s="3"/>
    </row>
    <row r="70" spans="2:20" ht="15" customHeight="1" thickBot="1" thickTop="1">
      <c r="B70" s="2"/>
      <c r="C70" s="30"/>
      <c r="D70" s="37"/>
      <c r="E70" s="773"/>
      <c r="F70" s="774" t="s">
        <v>193</v>
      </c>
      <c r="G70" s="775">
        <f aca="true" t="shared" si="0" ref="G70:R70">SUM(G17:G67)</f>
        <v>4</v>
      </c>
      <c r="H70" s="775">
        <f t="shared" si="0"/>
        <v>2</v>
      </c>
      <c r="I70" s="775">
        <f t="shared" si="0"/>
        <v>1</v>
      </c>
      <c r="J70" s="775">
        <f t="shared" si="0"/>
        <v>5</v>
      </c>
      <c r="K70" s="775">
        <f t="shared" si="0"/>
        <v>0</v>
      </c>
      <c r="L70" s="775">
        <f t="shared" si="0"/>
        <v>1</v>
      </c>
      <c r="M70" s="775">
        <f t="shared" si="0"/>
        <v>4</v>
      </c>
      <c r="N70" s="775">
        <f t="shared" si="0"/>
        <v>3</v>
      </c>
      <c r="O70" s="775">
        <f t="shared" si="0"/>
        <v>0</v>
      </c>
      <c r="P70" s="775">
        <f t="shared" si="0"/>
        <v>0</v>
      </c>
      <c r="Q70" s="775">
        <f t="shared" si="0"/>
        <v>1</v>
      </c>
      <c r="R70" s="775">
        <f t="shared" si="0"/>
        <v>5</v>
      </c>
      <c r="S70" s="776"/>
      <c r="T70" s="3"/>
    </row>
    <row r="71" spans="2:20" ht="17.25" thickBot="1" thickTop="1">
      <c r="B71" s="2"/>
      <c r="C71" s="773"/>
      <c r="D71" s="773"/>
      <c r="E71" s="30"/>
      <c r="F71" s="777" t="s">
        <v>194</v>
      </c>
      <c r="G71" s="778">
        <f>'[2]Tasa de Falla'!HQ73</f>
        <v>0.87</v>
      </c>
      <c r="H71" s="778">
        <f>'[2]Tasa de Falla'!HR73</f>
        <v>0.83</v>
      </c>
      <c r="I71" s="778">
        <f>'[2]Tasa de Falla'!HS73</f>
        <v>0.77</v>
      </c>
      <c r="J71" s="778">
        <f>'[2]Tasa de Falla'!HT73</f>
        <v>0.73</v>
      </c>
      <c r="K71" s="778">
        <f>'[2]Tasa de Falla'!HU73</f>
        <v>0.9</v>
      </c>
      <c r="L71" s="778">
        <f>'[2]Tasa de Falla'!HV73</f>
        <v>0.83</v>
      </c>
      <c r="M71" s="778">
        <f>'[2]Tasa de Falla'!HW73</f>
        <v>0.8</v>
      </c>
      <c r="N71" s="778">
        <f>'[2]Tasa de Falla'!HX73</f>
        <v>0.9</v>
      </c>
      <c r="O71" s="778">
        <f>'[2]Tasa de Falla'!HY73</f>
        <v>0.9</v>
      </c>
      <c r="P71" s="778">
        <f>'[2]Tasa de Falla'!HZ73</f>
        <v>0.82</v>
      </c>
      <c r="Q71" s="778">
        <f>'[2]Tasa de Falla'!IA73</f>
        <v>0.73</v>
      </c>
      <c r="R71" s="778">
        <f>'[2]Tasa de Falla'!IB73</f>
        <v>0.7</v>
      </c>
      <c r="S71" s="778">
        <f>SUM(G70:R70)/F69*100</f>
        <v>0.7940992318617047</v>
      </c>
      <c r="T71" s="3"/>
    </row>
    <row r="72" spans="2:20" ht="18.75" customHeight="1" thickBot="1" thickTop="1">
      <c r="B72" s="2"/>
      <c r="C72" s="779" t="s">
        <v>195</v>
      </c>
      <c r="D72" s="30" t="s">
        <v>196</v>
      </c>
      <c r="E72" s="780"/>
      <c r="F72" s="781"/>
      <c r="G72" s="782"/>
      <c r="H72" s="782"/>
      <c r="I72" s="782"/>
      <c r="J72" s="782"/>
      <c r="K72" s="782"/>
      <c r="L72" s="782"/>
      <c r="M72" s="782"/>
      <c r="N72" s="782"/>
      <c r="O72" s="782"/>
      <c r="P72" s="782"/>
      <c r="Q72" s="782"/>
      <c r="R72" s="782"/>
      <c r="S72" s="782"/>
      <c r="T72" s="61"/>
    </row>
    <row r="73" spans="2:20" ht="17.25" thickBot="1" thickTop="1">
      <c r="B73" s="783"/>
      <c r="C73" s="784"/>
      <c r="D73" s="784"/>
      <c r="H73" s="799" t="s">
        <v>197</v>
      </c>
      <c r="I73" s="800"/>
      <c r="J73" s="785">
        <f>S71</f>
        <v>0.7940992318617047</v>
      </c>
      <c r="K73" s="801" t="s">
        <v>198</v>
      </c>
      <c r="L73" s="801"/>
      <c r="M73" s="802"/>
      <c r="N73" s="784"/>
      <c r="O73" s="784"/>
      <c r="P73" s="784"/>
      <c r="Q73" s="784"/>
      <c r="R73" s="784"/>
      <c r="S73" s="784"/>
      <c r="T73" s="3"/>
    </row>
    <row r="74" spans="2:20" ht="18.75" customHeight="1" thickBot="1" thickTop="1">
      <c r="B74" s="786"/>
      <c r="C74" s="787"/>
      <c r="D74" s="49"/>
      <c r="E74" s="49"/>
      <c r="F74" s="788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90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3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:H1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2"/>
    </row>
    <row r="2" spans="2:28" s="109" customFormat="1" ht="26.25">
      <c r="B2" s="110" t="str">
        <f>+'TOT-0114'!B2</f>
        <v>ANEXO I al Memorándum  D.T.E.E.  N°        34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89" t="s">
        <v>17</v>
      </c>
      <c r="C4" s="688"/>
    </row>
    <row r="5" spans="1:3" s="112" customFormat="1" ht="11.25">
      <c r="A5" s="689" t="s">
        <v>147</v>
      </c>
      <c r="C5" s="688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41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42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+'TOT-0114'!B14</f>
        <v>Desde el 01 al 31 de enero de 2014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498" t="s">
        <v>43</v>
      </c>
      <c r="G16" s="791">
        <v>295.837</v>
      </c>
      <c r="H16" s="792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498" t="s">
        <v>44</v>
      </c>
      <c r="G17" s="791">
        <v>277.875</v>
      </c>
      <c r="H17" s="792"/>
      <c r="I17" s="91"/>
      <c r="K17" s="97" t="s">
        <v>45</v>
      </c>
      <c r="L17" s="98">
        <f>30*'TOT-0114'!B13</f>
        <v>30</v>
      </c>
      <c r="M17" s="236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12" customFormat="1" ht="14.25" thickBot="1" thickTop="1">
      <c r="A18" s="708"/>
      <c r="B18" s="709"/>
      <c r="C18" s="710">
        <v>3</v>
      </c>
      <c r="D18" s="710">
        <v>4</v>
      </c>
      <c r="E18" s="710">
        <v>5</v>
      </c>
      <c r="F18" s="710">
        <v>6</v>
      </c>
      <c r="G18" s="710">
        <v>7</v>
      </c>
      <c r="H18" s="710">
        <v>8</v>
      </c>
      <c r="I18" s="710">
        <v>9</v>
      </c>
      <c r="J18" s="710">
        <v>10</v>
      </c>
      <c r="K18" s="710">
        <v>11</v>
      </c>
      <c r="L18" s="710">
        <v>12</v>
      </c>
      <c r="M18" s="710">
        <v>13</v>
      </c>
      <c r="N18" s="710">
        <v>14</v>
      </c>
      <c r="O18" s="710">
        <v>15</v>
      </c>
      <c r="P18" s="710">
        <v>16</v>
      </c>
      <c r="Q18" s="710">
        <v>17</v>
      </c>
      <c r="R18" s="710">
        <v>18</v>
      </c>
      <c r="S18" s="710">
        <v>19</v>
      </c>
      <c r="T18" s="710">
        <v>20</v>
      </c>
      <c r="U18" s="710">
        <v>21</v>
      </c>
      <c r="V18" s="710">
        <v>22</v>
      </c>
      <c r="W18" s="710">
        <v>23</v>
      </c>
      <c r="X18" s="710">
        <v>24</v>
      </c>
      <c r="Y18" s="710">
        <v>25</v>
      </c>
      <c r="Z18" s="710">
        <v>26</v>
      </c>
      <c r="AA18" s="710">
        <v>27</v>
      </c>
      <c r="AB18" s="711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146</v>
      </c>
      <c r="E19" s="101" t="s">
        <v>145</v>
      </c>
      <c r="F19" s="102" t="s">
        <v>20</v>
      </c>
      <c r="G19" s="103" t="s">
        <v>47</v>
      </c>
      <c r="H19" s="104" t="s">
        <v>48</v>
      </c>
      <c r="I19" s="265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4" t="s">
        <v>56</v>
      </c>
      <c r="Q19" s="297" t="s">
        <v>57</v>
      </c>
      <c r="R19" s="300" t="s">
        <v>58</v>
      </c>
      <c r="S19" s="301"/>
      <c r="T19" s="302"/>
      <c r="U19" s="311" t="s">
        <v>59</v>
      </c>
      <c r="V19" s="312"/>
      <c r="W19" s="313"/>
      <c r="X19" s="321" t="s">
        <v>60</v>
      </c>
      <c r="Y19" s="324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687"/>
      <c r="E20" s="687"/>
      <c r="F20" s="409"/>
      <c r="G20" s="53"/>
      <c r="H20" s="53"/>
      <c r="I20" s="401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410"/>
      <c r="AB20" s="3"/>
    </row>
    <row r="21" spans="1:28" ht="16.5" customHeight="1">
      <c r="A21" s="1"/>
      <c r="B21" s="2"/>
      <c r="C21" s="522"/>
      <c r="D21" s="685"/>
      <c r="E21" s="685"/>
      <c r="F21" s="522"/>
      <c r="G21" s="523"/>
      <c r="H21" s="523"/>
      <c r="I21" s="402"/>
      <c r="J21" s="522"/>
      <c r="K21" s="524"/>
      <c r="L21" s="90"/>
      <c r="M21" s="90"/>
      <c r="N21" s="525"/>
      <c r="O21" s="522"/>
      <c r="P21" s="526"/>
      <c r="Q21" s="527"/>
      <c r="R21" s="528"/>
      <c r="S21" s="529"/>
      <c r="T21" s="530"/>
      <c r="U21" s="531"/>
      <c r="V21" s="532"/>
      <c r="W21" s="533"/>
      <c r="X21" s="534"/>
      <c r="Y21" s="535"/>
      <c r="Z21" s="536"/>
      <c r="AA21" s="90"/>
      <c r="AB21" s="3"/>
    </row>
    <row r="22" spans="1:28" ht="16.5" customHeight="1">
      <c r="A22" s="1"/>
      <c r="B22" s="2"/>
      <c r="C22" s="500">
        <v>1</v>
      </c>
      <c r="D22" s="500">
        <v>270371</v>
      </c>
      <c r="E22" s="500">
        <v>3516</v>
      </c>
      <c r="F22" s="501" t="s">
        <v>151</v>
      </c>
      <c r="G22" s="502">
        <v>132</v>
      </c>
      <c r="H22" s="503">
        <v>28.40999984741211</v>
      </c>
      <c r="I22" s="403">
        <f>IF(H22&gt;25,H22,25)*IF(G22=330,$G$16,$G$17)/100</f>
        <v>78.9442870759964</v>
      </c>
      <c r="J22" s="508">
        <v>41651.27222222222</v>
      </c>
      <c r="K22" s="508">
        <v>41651.31736111111</v>
      </c>
      <c r="L22" s="13">
        <f>IF(F22="","",(K22-J22)*24)</f>
        <v>1.0833333333721384</v>
      </c>
      <c r="M22" s="14">
        <f>IF(F22="","",ROUND((K22-J22)*24*60,0))</f>
        <v>65</v>
      </c>
      <c r="N22" s="509" t="s">
        <v>152</v>
      </c>
      <c r="O22" s="707" t="s">
        <v>154</v>
      </c>
      <c r="P22" s="692">
        <f>IF(N22="P",ROUND(M22/60,2)*I22*$L$17*0.01,"--")</f>
        <v>25.577949012622835</v>
      </c>
      <c r="Q22" s="693" t="str">
        <f>IF(N22="RP",ROUND(M22/60,2)*I22*$L$17*0.01*O22/100,"--")</f>
        <v>--</v>
      </c>
      <c r="R22" s="694" t="str">
        <f>IF(N22="F",I22*$L$17,"--")</f>
        <v>--</v>
      </c>
      <c r="S22" s="695" t="str">
        <f>IF(AND(M22&gt;10,N22="F"),I22*$L$17*IF(M22&gt;180,3,ROUND(M22/60,2)),"--")</f>
        <v>--</v>
      </c>
      <c r="T22" s="696" t="str">
        <f>IF(AND(M22&gt;180,N22="F"),(ROUND(M22/60,2)-3)*I22*$L$17*0.1,"--")</f>
        <v>--</v>
      </c>
      <c r="U22" s="697" t="str">
        <f>IF(N22="R",I22*$L$17*O22/100,"--")</f>
        <v>--</v>
      </c>
      <c r="V22" s="698" t="str">
        <f>IF(AND(M22&gt;10,N22="R"),I22*$L$17*O22/100*IF(M22&gt;180,3,ROUND(M22/60,2)),"--")</f>
        <v>--</v>
      </c>
      <c r="W22" s="699" t="str">
        <f>IF(AND(M22&gt;180,N22="R"),(ROUND(M22/60,2)-3)*O22/100*I22*$L$17*0.1,"--")</f>
        <v>--</v>
      </c>
      <c r="X22" s="700" t="str">
        <f>IF(N22="RF",ROUND(M22/60,2)*I22*$L$17*0.1,"--")</f>
        <v>--</v>
      </c>
      <c r="Y22" s="701" t="str">
        <f>IF(N22="RR",ROUND(M22/60,2)*O22/100*I22*$L$17*0.1,"--")</f>
        <v>--</v>
      </c>
      <c r="Z22" s="702" t="s">
        <v>153</v>
      </c>
      <c r="AA22" s="55">
        <f>IF(F22="","",SUM(P22:Y22)*IF(Z22="SI",1,2))</f>
        <v>25.577949012622835</v>
      </c>
      <c r="AB22" s="3"/>
    </row>
    <row r="23" spans="1:28" ht="16.5" customHeight="1">
      <c r="A23" s="1"/>
      <c r="B23" s="2"/>
      <c r="C23" s="500">
        <v>2</v>
      </c>
      <c r="D23" s="500">
        <v>271435</v>
      </c>
      <c r="E23" s="500">
        <v>4881</v>
      </c>
      <c r="F23" s="501" t="s">
        <v>155</v>
      </c>
      <c r="G23" s="502">
        <v>132</v>
      </c>
      <c r="H23" s="503">
        <v>128</v>
      </c>
      <c r="I23" s="403">
        <f aca="true" t="shared" si="0" ref="I23:I38">IF(H23&gt;25,H23,25)*IF(G23=330,$G$16,$G$17)/100</f>
        <v>355.68</v>
      </c>
      <c r="J23" s="508">
        <v>41669.27222222222</v>
      </c>
      <c r="K23" s="508">
        <v>41669.71388888889</v>
      </c>
      <c r="L23" s="13">
        <f aca="true" t="shared" si="1" ref="L23:L38">IF(F23="","",(K23-J23)*24)</f>
        <v>10.599999999976717</v>
      </c>
      <c r="M23" s="14">
        <f aca="true" t="shared" si="2" ref="M23:M38">IF(F23="","",ROUND((K23-J23)*24*60,0))</f>
        <v>636</v>
      </c>
      <c r="N23" s="509" t="s">
        <v>152</v>
      </c>
      <c r="O23" s="707" t="s">
        <v>154</v>
      </c>
      <c r="P23" s="692">
        <f aca="true" t="shared" si="3" ref="P23:P38">IF(N23="P",ROUND(M23/60,2)*I23*$L$17*0.01,"--")</f>
        <v>1131.0624</v>
      </c>
      <c r="Q23" s="693" t="str">
        <f aca="true" t="shared" si="4" ref="Q23:Q38">IF(N23="RP",ROUND(M23/60,2)*I23*$L$17*0.01*O23/100,"--")</f>
        <v>--</v>
      </c>
      <c r="R23" s="694" t="str">
        <f aca="true" t="shared" si="5" ref="R23:R38">IF(N23="F",I23*$L$17,"--")</f>
        <v>--</v>
      </c>
      <c r="S23" s="695" t="str">
        <f aca="true" t="shared" si="6" ref="S23:S38">IF(AND(M23&gt;10,N23="F"),I23*$L$17*IF(M23&gt;180,3,ROUND(M23/60,2)),"--")</f>
        <v>--</v>
      </c>
      <c r="T23" s="696" t="str">
        <f aca="true" t="shared" si="7" ref="T23:T38">IF(AND(M23&gt;180,N23="F"),(ROUND(M23/60,2)-3)*I23*$L$17*0.1,"--")</f>
        <v>--</v>
      </c>
      <c r="U23" s="697" t="str">
        <f aca="true" t="shared" si="8" ref="U23:U38">IF(N23="R",I23*$L$17*O23/100,"--")</f>
        <v>--</v>
      </c>
      <c r="V23" s="698" t="str">
        <f aca="true" t="shared" si="9" ref="V23:V38">IF(AND(M23&gt;10,N23="R"),I23*$L$17*O23/100*IF(M23&gt;180,3,ROUND(M23/60,2)),"--")</f>
        <v>--</v>
      </c>
      <c r="W23" s="699" t="str">
        <f aca="true" t="shared" si="10" ref="W23:W38">IF(AND(M23&gt;180,N23="R"),(ROUND(M23/60,2)-3)*O23/100*I23*$L$17*0.1,"--")</f>
        <v>--</v>
      </c>
      <c r="X23" s="700" t="str">
        <f aca="true" t="shared" si="11" ref="X23:X38">IF(N23="RF",ROUND(M23/60,2)*I23*$L$17*0.1,"--")</f>
        <v>--</v>
      </c>
      <c r="Y23" s="701" t="str">
        <f aca="true" t="shared" si="12" ref="Y23:Y38">IF(N23="RR",ROUND(M23/60,2)*O23/100*I23*$L$17*0.1,"--")</f>
        <v>--</v>
      </c>
      <c r="Z23" s="702" t="s">
        <v>153</v>
      </c>
      <c r="AA23" s="55">
        <f aca="true" t="shared" si="13" ref="AA23:AA38">IF(F23="","",SUM(P23:Y23)*IF(Z23="SI",1,2))</f>
        <v>1131.0624</v>
      </c>
      <c r="AB23" s="3"/>
    </row>
    <row r="24" spans="1:28" ht="16.5" customHeight="1">
      <c r="A24" s="1"/>
      <c r="B24" s="2"/>
      <c r="C24" s="500"/>
      <c r="D24" s="500"/>
      <c r="E24" s="500"/>
      <c r="F24" s="501"/>
      <c r="G24" s="502"/>
      <c r="H24" s="503"/>
      <c r="I24" s="403">
        <f t="shared" si="0"/>
        <v>69.46875</v>
      </c>
      <c r="J24" s="508"/>
      <c r="K24" s="508"/>
      <c r="L24" s="13">
        <f t="shared" si="1"/>
      </c>
      <c r="M24" s="14">
        <f t="shared" si="2"/>
      </c>
      <c r="N24" s="509"/>
      <c r="O24" s="691">
        <f aca="true" t="shared" si="14" ref="O24:O38">IF(F24="","","--")</f>
      </c>
      <c r="P24" s="692" t="str">
        <f t="shared" si="3"/>
        <v>--</v>
      </c>
      <c r="Q24" s="693" t="str">
        <f t="shared" si="4"/>
        <v>--</v>
      </c>
      <c r="R24" s="694" t="str">
        <f t="shared" si="5"/>
        <v>--</v>
      </c>
      <c r="S24" s="695" t="str">
        <f t="shared" si="6"/>
        <v>--</v>
      </c>
      <c r="T24" s="696" t="str">
        <f t="shared" si="7"/>
        <v>--</v>
      </c>
      <c r="U24" s="697" t="str">
        <f t="shared" si="8"/>
        <v>--</v>
      </c>
      <c r="V24" s="698" t="str">
        <f t="shared" si="9"/>
        <v>--</v>
      </c>
      <c r="W24" s="699" t="str">
        <f t="shared" si="10"/>
        <v>--</v>
      </c>
      <c r="X24" s="700" t="str">
        <f t="shared" si="11"/>
        <v>--</v>
      </c>
      <c r="Y24" s="701" t="str">
        <f t="shared" si="12"/>
        <v>--</v>
      </c>
      <c r="Z24" s="702">
        <f aca="true" t="shared" si="15" ref="Z24:Z38">IF(F24="","","SI")</f>
      </c>
      <c r="AA24" s="55">
        <f t="shared" si="13"/>
      </c>
      <c r="AB24" s="3"/>
    </row>
    <row r="25" spans="1:28" ht="16.5" customHeight="1">
      <c r="A25" s="1"/>
      <c r="B25" s="2"/>
      <c r="C25" s="500"/>
      <c r="D25" s="500"/>
      <c r="E25" s="500"/>
      <c r="F25" s="501"/>
      <c r="G25" s="502"/>
      <c r="H25" s="503"/>
      <c r="I25" s="403">
        <f t="shared" si="0"/>
        <v>69.46875</v>
      </c>
      <c r="J25" s="508"/>
      <c r="K25" s="508"/>
      <c r="L25" s="13">
        <f t="shared" si="1"/>
      </c>
      <c r="M25" s="14">
        <f t="shared" si="2"/>
      </c>
      <c r="N25" s="509"/>
      <c r="O25" s="691">
        <f t="shared" si="14"/>
      </c>
      <c r="P25" s="692" t="str">
        <f t="shared" si="3"/>
        <v>--</v>
      </c>
      <c r="Q25" s="693" t="str">
        <f t="shared" si="4"/>
        <v>--</v>
      </c>
      <c r="R25" s="694" t="str">
        <f t="shared" si="5"/>
        <v>--</v>
      </c>
      <c r="S25" s="695" t="str">
        <f t="shared" si="6"/>
        <v>--</v>
      </c>
      <c r="T25" s="696" t="str">
        <f t="shared" si="7"/>
        <v>--</v>
      </c>
      <c r="U25" s="697" t="str">
        <f t="shared" si="8"/>
        <v>--</v>
      </c>
      <c r="V25" s="698" t="str">
        <f t="shared" si="9"/>
        <v>--</v>
      </c>
      <c r="W25" s="699" t="str">
        <f t="shared" si="10"/>
        <v>--</v>
      </c>
      <c r="X25" s="700" t="str">
        <f t="shared" si="11"/>
        <v>--</v>
      </c>
      <c r="Y25" s="701" t="str">
        <f t="shared" si="12"/>
        <v>--</v>
      </c>
      <c r="Z25" s="702">
        <f t="shared" si="15"/>
      </c>
      <c r="AA25" s="55">
        <f t="shared" si="13"/>
      </c>
      <c r="AB25" s="3"/>
    </row>
    <row r="26" spans="1:28" ht="16.5" customHeight="1">
      <c r="A26" s="1"/>
      <c r="B26" s="2"/>
      <c r="C26" s="500"/>
      <c r="D26" s="500"/>
      <c r="E26" s="500"/>
      <c r="F26" s="501"/>
      <c r="G26" s="502"/>
      <c r="H26" s="503"/>
      <c r="I26" s="403">
        <f t="shared" si="0"/>
        <v>69.46875</v>
      </c>
      <c r="J26" s="508"/>
      <c r="K26" s="508"/>
      <c r="L26" s="13">
        <f t="shared" si="1"/>
      </c>
      <c r="M26" s="14">
        <f t="shared" si="2"/>
      </c>
      <c r="N26" s="509"/>
      <c r="O26" s="691">
        <f t="shared" si="14"/>
      </c>
      <c r="P26" s="692" t="str">
        <f t="shared" si="3"/>
        <v>--</v>
      </c>
      <c r="Q26" s="693" t="str">
        <f t="shared" si="4"/>
        <v>--</v>
      </c>
      <c r="R26" s="694" t="str">
        <f t="shared" si="5"/>
        <v>--</v>
      </c>
      <c r="S26" s="695" t="str">
        <f t="shared" si="6"/>
        <v>--</v>
      </c>
      <c r="T26" s="696" t="str">
        <f t="shared" si="7"/>
        <v>--</v>
      </c>
      <c r="U26" s="697" t="str">
        <f t="shared" si="8"/>
        <v>--</v>
      </c>
      <c r="V26" s="698" t="str">
        <f t="shared" si="9"/>
        <v>--</v>
      </c>
      <c r="W26" s="699" t="str">
        <f t="shared" si="10"/>
        <v>--</v>
      </c>
      <c r="X26" s="700" t="str">
        <f t="shared" si="11"/>
        <v>--</v>
      </c>
      <c r="Y26" s="701" t="str">
        <f t="shared" si="12"/>
        <v>--</v>
      </c>
      <c r="Z26" s="702">
        <f t="shared" si="15"/>
      </c>
      <c r="AA26" s="55">
        <f t="shared" si="13"/>
      </c>
      <c r="AB26" s="3"/>
    </row>
    <row r="27" spans="1:28" ht="16.5" customHeight="1">
      <c r="A27" s="1"/>
      <c r="B27" s="2"/>
      <c r="C27" s="500"/>
      <c r="D27" s="500"/>
      <c r="E27" s="500"/>
      <c r="F27" s="501"/>
      <c r="G27" s="502"/>
      <c r="H27" s="503"/>
      <c r="I27" s="403">
        <f t="shared" si="0"/>
        <v>69.46875</v>
      </c>
      <c r="J27" s="508"/>
      <c r="K27" s="508"/>
      <c r="L27" s="13">
        <f t="shared" si="1"/>
      </c>
      <c r="M27" s="14">
        <f t="shared" si="2"/>
      </c>
      <c r="N27" s="509"/>
      <c r="O27" s="691">
        <f t="shared" si="14"/>
      </c>
      <c r="P27" s="692" t="str">
        <f t="shared" si="3"/>
        <v>--</v>
      </c>
      <c r="Q27" s="693" t="str">
        <f t="shared" si="4"/>
        <v>--</v>
      </c>
      <c r="R27" s="694" t="str">
        <f t="shared" si="5"/>
        <v>--</v>
      </c>
      <c r="S27" s="695" t="str">
        <f t="shared" si="6"/>
        <v>--</v>
      </c>
      <c r="T27" s="696" t="str">
        <f t="shared" si="7"/>
        <v>--</v>
      </c>
      <c r="U27" s="697" t="str">
        <f t="shared" si="8"/>
        <v>--</v>
      </c>
      <c r="V27" s="698" t="str">
        <f t="shared" si="9"/>
        <v>--</v>
      </c>
      <c r="W27" s="699" t="str">
        <f t="shared" si="10"/>
        <v>--</v>
      </c>
      <c r="X27" s="700" t="str">
        <f t="shared" si="11"/>
        <v>--</v>
      </c>
      <c r="Y27" s="701" t="str">
        <f t="shared" si="12"/>
        <v>--</v>
      </c>
      <c r="Z27" s="702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00"/>
      <c r="D28" s="500"/>
      <c r="E28" s="500"/>
      <c r="F28" s="501"/>
      <c r="G28" s="502"/>
      <c r="H28" s="503"/>
      <c r="I28" s="403">
        <f t="shared" si="0"/>
        <v>69.46875</v>
      </c>
      <c r="J28" s="508"/>
      <c r="K28" s="508"/>
      <c r="L28" s="13">
        <f t="shared" si="1"/>
      </c>
      <c r="M28" s="14">
        <f t="shared" si="2"/>
      </c>
      <c r="N28" s="509"/>
      <c r="O28" s="691">
        <f t="shared" si="14"/>
      </c>
      <c r="P28" s="692" t="str">
        <f t="shared" si="3"/>
        <v>--</v>
      </c>
      <c r="Q28" s="693" t="str">
        <f t="shared" si="4"/>
        <v>--</v>
      </c>
      <c r="R28" s="694" t="str">
        <f t="shared" si="5"/>
        <v>--</v>
      </c>
      <c r="S28" s="695" t="str">
        <f t="shared" si="6"/>
        <v>--</v>
      </c>
      <c r="T28" s="696" t="str">
        <f t="shared" si="7"/>
        <v>--</v>
      </c>
      <c r="U28" s="697" t="str">
        <f t="shared" si="8"/>
        <v>--</v>
      </c>
      <c r="V28" s="698" t="str">
        <f t="shared" si="9"/>
        <v>--</v>
      </c>
      <c r="W28" s="699" t="str">
        <f t="shared" si="10"/>
        <v>--</v>
      </c>
      <c r="X28" s="700" t="str">
        <f t="shared" si="11"/>
        <v>--</v>
      </c>
      <c r="Y28" s="701" t="str">
        <f t="shared" si="12"/>
        <v>--</v>
      </c>
      <c r="Z28" s="702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00"/>
      <c r="D29" s="500"/>
      <c r="E29" s="500"/>
      <c r="F29" s="501"/>
      <c r="G29" s="502"/>
      <c r="H29" s="503"/>
      <c r="I29" s="403">
        <f t="shared" si="0"/>
        <v>69.46875</v>
      </c>
      <c r="J29" s="508"/>
      <c r="K29" s="508"/>
      <c r="L29" s="13">
        <f t="shared" si="1"/>
      </c>
      <c r="M29" s="14">
        <f t="shared" si="2"/>
      </c>
      <c r="N29" s="509"/>
      <c r="O29" s="691">
        <f t="shared" si="14"/>
      </c>
      <c r="P29" s="692" t="str">
        <f t="shared" si="3"/>
        <v>--</v>
      </c>
      <c r="Q29" s="693" t="str">
        <f t="shared" si="4"/>
        <v>--</v>
      </c>
      <c r="R29" s="694" t="str">
        <f t="shared" si="5"/>
        <v>--</v>
      </c>
      <c r="S29" s="695" t="str">
        <f t="shared" si="6"/>
        <v>--</v>
      </c>
      <c r="T29" s="696" t="str">
        <f t="shared" si="7"/>
        <v>--</v>
      </c>
      <c r="U29" s="697" t="str">
        <f t="shared" si="8"/>
        <v>--</v>
      </c>
      <c r="V29" s="698" t="str">
        <f t="shared" si="9"/>
        <v>--</v>
      </c>
      <c r="W29" s="699" t="str">
        <f t="shared" si="10"/>
        <v>--</v>
      </c>
      <c r="X29" s="700" t="str">
        <f t="shared" si="11"/>
        <v>--</v>
      </c>
      <c r="Y29" s="701" t="str">
        <f t="shared" si="12"/>
        <v>--</v>
      </c>
      <c r="Z29" s="702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00"/>
      <c r="D30" s="500"/>
      <c r="E30" s="500"/>
      <c r="F30" s="501"/>
      <c r="G30" s="502"/>
      <c r="H30" s="503"/>
      <c r="I30" s="403">
        <f t="shared" si="0"/>
        <v>69.46875</v>
      </c>
      <c r="J30" s="508"/>
      <c r="K30" s="508"/>
      <c r="L30" s="13">
        <f t="shared" si="1"/>
      </c>
      <c r="M30" s="14">
        <f t="shared" si="2"/>
      </c>
      <c r="N30" s="509"/>
      <c r="O30" s="691">
        <f t="shared" si="14"/>
      </c>
      <c r="P30" s="692" t="str">
        <f t="shared" si="3"/>
        <v>--</v>
      </c>
      <c r="Q30" s="693" t="str">
        <f t="shared" si="4"/>
        <v>--</v>
      </c>
      <c r="R30" s="694" t="str">
        <f t="shared" si="5"/>
        <v>--</v>
      </c>
      <c r="S30" s="695" t="str">
        <f t="shared" si="6"/>
        <v>--</v>
      </c>
      <c r="T30" s="696" t="str">
        <f t="shared" si="7"/>
        <v>--</v>
      </c>
      <c r="U30" s="697" t="str">
        <f t="shared" si="8"/>
        <v>--</v>
      </c>
      <c r="V30" s="698" t="str">
        <f t="shared" si="9"/>
        <v>--</v>
      </c>
      <c r="W30" s="699" t="str">
        <f t="shared" si="10"/>
        <v>--</v>
      </c>
      <c r="X30" s="700" t="str">
        <f t="shared" si="11"/>
        <v>--</v>
      </c>
      <c r="Y30" s="701" t="str">
        <f t="shared" si="12"/>
        <v>--</v>
      </c>
      <c r="Z30" s="702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00"/>
      <c r="D31" s="500"/>
      <c r="E31" s="500"/>
      <c r="F31" s="501"/>
      <c r="G31" s="502"/>
      <c r="H31" s="503"/>
      <c r="I31" s="403">
        <f t="shared" si="0"/>
        <v>69.46875</v>
      </c>
      <c r="J31" s="508"/>
      <c r="K31" s="508"/>
      <c r="L31" s="13">
        <f t="shared" si="1"/>
      </c>
      <c r="M31" s="14">
        <f t="shared" si="2"/>
      </c>
      <c r="N31" s="509"/>
      <c r="O31" s="691">
        <f t="shared" si="14"/>
      </c>
      <c r="P31" s="692" t="str">
        <f t="shared" si="3"/>
        <v>--</v>
      </c>
      <c r="Q31" s="693" t="str">
        <f t="shared" si="4"/>
        <v>--</v>
      </c>
      <c r="R31" s="694" t="str">
        <f t="shared" si="5"/>
        <v>--</v>
      </c>
      <c r="S31" s="695" t="str">
        <f t="shared" si="6"/>
        <v>--</v>
      </c>
      <c r="T31" s="696" t="str">
        <f t="shared" si="7"/>
        <v>--</v>
      </c>
      <c r="U31" s="697" t="str">
        <f t="shared" si="8"/>
        <v>--</v>
      </c>
      <c r="V31" s="698" t="str">
        <f t="shared" si="9"/>
        <v>--</v>
      </c>
      <c r="W31" s="699" t="str">
        <f t="shared" si="10"/>
        <v>--</v>
      </c>
      <c r="X31" s="700" t="str">
        <f t="shared" si="11"/>
        <v>--</v>
      </c>
      <c r="Y31" s="701" t="str">
        <f t="shared" si="12"/>
        <v>--</v>
      </c>
      <c r="Z31" s="702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00"/>
      <c r="D32" s="500"/>
      <c r="E32" s="500"/>
      <c r="F32" s="501"/>
      <c r="G32" s="502"/>
      <c r="H32" s="503"/>
      <c r="I32" s="403">
        <f t="shared" si="0"/>
        <v>69.46875</v>
      </c>
      <c r="J32" s="508"/>
      <c r="K32" s="508"/>
      <c r="L32" s="13">
        <f t="shared" si="1"/>
      </c>
      <c r="M32" s="14">
        <f t="shared" si="2"/>
      </c>
      <c r="N32" s="509"/>
      <c r="O32" s="691">
        <f t="shared" si="14"/>
      </c>
      <c r="P32" s="692" t="str">
        <f t="shared" si="3"/>
        <v>--</v>
      </c>
      <c r="Q32" s="693" t="str">
        <f t="shared" si="4"/>
        <v>--</v>
      </c>
      <c r="R32" s="694" t="str">
        <f t="shared" si="5"/>
        <v>--</v>
      </c>
      <c r="S32" s="695" t="str">
        <f t="shared" si="6"/>
        <v>--</v>
      </c>
      <c r="T32" s="696" t="str">
        <f t="shared" si="7"/>
        <v>--</v>
      </c>
      <c r="U32" s="697" t="str">
        <f t="shared" si="8"/>
        <v>--</v>
      </c>
      <c r="V32" s="698" t="str">
        <f t="shared" si="9"/>
        <v>--</v>
      </c>
      <c r="W32" s="699" t="str">
        <f t="shared" si="10"/>
        <v>--</v>
      </c>
      <c r="X32" s="700" t="str">
        <f t="shared" si="11"/>
        <v>--</v>
      </c>
      <c r="Y32" s="701" t="str">
        <f t="shared" si="12"/>
        <v>--</v>
      </c>
      <c r="Z32" s="702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00"/>
      <c r="D33" s="500"/>
      <c r="E33" s="500"/>
      <c r="F33" s="501"/>
      <c r="G33" s="502"/>
      <c r="H33" s="503"/>
      <c r="I33" s="403">
        <f t="shared" si="0"/>
        <v>69.46875</v>
      </c>
      <c r="J33" s="508"/>
      <c r="K33" s="508"/>
      <c r="L33" s="13">
        <f t="shared" si="1"/>
      </c>
      <c r="M33" s="14">
        <f t="shared" si="2"/>
      </c>
      <c r="N33" s="509"/>
      <c r="O33" s="691">
        <f t="shared" si="14"/>
      </c>
      <c r="P33" s="692" t="str">
        <f t="shared" si="3"/>
        <v>--</v>
      </c>
      <c r="Q33" s="693" t="str">
        <f t="shared" si="4"/>
        <v>--</v>
      </c>
      <c r="R33" s="694" t="str">
        <f t="shared" si="5"/>
        <v>--</v>
      </c>
      <c r="S33" s="695" t="str">
        <f t="shared" si="6"/>
        <v>--</v>
      </c>
      <c r="T33" s="696" t="str">
        <f t="shared" si="7"/>
        <v>--</v>
      </c>
      <c r="U33" s="697" t="str">
        <f t="shared" si="8"/>
        <v>--</v>
      </c>
      <c r="V33" s="698" t="str">
        <f t="shared" si="9"/>
        <v>--</v>
      </c>
      <c r="W33" s="699" t="str">
        <f t="shared" si="10"/>
        <v>--</v>
      </c>
      <c r="X33" s="700" t="str">
        <f t="shared" si="11"/>
        <v>--</v>
      </c>
      <c r="Y33" s="701" t="str">
        <f t="shared" si="12"/>
        <v>--</v>
      </c>
      <c r="Z33" s="702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00"/>
      <c r="D34" s="500"/>
      <c r="E34" s="500"/>
      <c r="F34" s="501"/>
      <c r="G34" s="502"/>
      <c r="H34" s="503"/>
      <c r="I34" s="403">
        <f t="shared" si="0"/>
        <v>69.46875</v>
      </c>
      <c r="J34" s="508"/>
      <c r="K34" s="508"/>
      <c r="L34" s="13">
        <f t="shared" si="1"/>
      </c>
      <c r="M34" s="14">
        <f t="shared" si="2"/>
      </c>
      <c r="N34" s="509"/>
      <c r="O34" s="691">
        <f t="shared" si="14"/>
      </c>
      <c r="P34" s="692" t="str">
        <f t="shared" si="3"/>
        <v>--</v>
      </c>
      <c r="Q34" s="693" t="str">
        <f t="shared" si="4"/>
        <v>--</v>
      </c>
      <c r="R34" s="694" t="str">
        <f t="shared" si="5"/>
        <v>--</v>
      </c>
      <c r="S34" s="695" t="str">
        <f t="shared" si="6"/>
        <v>--</v>
      </c>
      <c r="T34" s="696" t="str">
        <f t="shared" si="7"/>
        <v>--</v>
      </c>
      <c r="U34" s="697" t="str">
        <f t="shared" si="8"/>
        <v>--</v>
      </c>
      <c r="V34" s="698" t="str">
        <f t="shared" si="9"/>
        <v>--</v>
      </c>
      <c r="W34" s="699" t="str">
        <f t="shared" si="10"/>
        <v>--</v>
      </c>
      <c r="X34" s="700" t="str">
        <f t="shared" si="11"/>
        <v>--</v>
      </c>
      <c r="Y34" s="701" t="str">
        <f t="shared" si="12"/>
        <v>--</v>
      </c>
      <c r="Z34" s="702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00"/>
      <c r="D35" s="500"/>
      <c r="E35" s="500"/>
      <c r="F35" s="501"/>
      <c r="G35" s="502"/>
      <c r="H35" s="503"/>
      <c r="I35" s="403">
        <f t="shared" si="0"/>
        <v>69.46875</v>
      </c>
      <c r="J35" s="508"/>
      <c r="K35" s="508"/>
      <c r="L35" s="13">
        <f t="shared" si="1"/>
      </c>
      <c r="M35" s="14">
        <f t="shared" si="2"/>
      </c>
      <c r="N35" s="509"/>
      <c r="O35" s="691">
        <f t="shared" si="14"/>
      </c>
      <c r="P35" s="692" t="str">
        <f t="shared" si="3"/>
        <v>--</v>
      </c>
      <c r="Q35" s="693" t="str">
        <f t="shared" si="4"/>
        <v>--</v>
      </c>
      <c r="R35" s="694" t="str">
        <f t="shared" si="5"/>
        <v>--</v>
      </c>
      <c r="S35" s="695" t="str">
        <f t="shared" si="6"/>
        <v>--</v>
      </c>
      <c r="T35" s="696" t="str">
        <f t="shared" si="7"/>
        <v>--</v>
      </c>
      <c r="U35" s="697" t="str">
        <f t="shared" si="8"/>
        <v>--</v>
      </c>
      <c r="V35" s="698" t="str">
        <f t="shared" si="9"/>
        <v>--</v>
      </c>
      <c r="W35" s="699" t="str">
        <f t="shared" si="10"/>
        <v>--</v>
      </c>
      <c r="X35" s="700" t="str">
        <f t="shared" si="11"/>
        <v>--</v>
      </c>
      <c r="Y35" s="701" t="str">
        <f t="shared" si="12"/>
        <v>--</v>
      </c>
      <c r="Z35" s="702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00"/>
      <c r="D36" s="500"/>
      <c r="E36" s="500"/>
      <c r="F36" s="501"/>
      <c r="G36" s="502"/>
      <c r="H36" s="503"/>
      <c r="I36" s="403">
        <f t="shared" si="0"/>
        <v>69.46875</v>
      </c>
      <c r="J36" s="508"/>
      <c r="K36" s="508"/>
      <c r="L36" s="13">
        <f t="shared" si="1"/>
      </c>
      <c r="M36" s="14">
        <f t="shared" si="2"/>
      </c>
      <c r="N36" s="509"/>
      <c r="O36" s="691">
        <f t="shared" si="14"/>
      </c>
      <c r="P36" s="692" t="str">
        <f t="shared" si="3"/>
        <v>--</v>
      </c>
      <c r="Q36" s="693" t="str">
        <f t="shared" si="4"/>
        <v>--</v>
      </c>
      <c r="R36" s="694" t="str">
        <f t="shared" si="5"/>
        <v>--</v>
      </c>
      <c r="S36" s="695" t="str">
        <f t="shared" si="6"/>
        <v>--</v>
      </c>
      <c r="T36" s="696" t="str">
        <f t="shared" si="7"/>
        <v>--</v>
      </c>
      <c r="U36" s="697" t="str">
        <f t="shared" si="8"/>
        <v>--</v>
      </c>
      <c r="V36" s="698" t="str">
        <f t="shared" si="9"/>
        <v>--</v>
      </c>
      <c r="W36" s="699" t="str">
        <f t="shared" si="10"/>
        <v>--</v>
      </c>
      <c r="X36" s="700" t="str">
        <f t="shared" si="11"/>
        <v>--</v>
      </c>
      <c r="Y36" s="701" t="str">
        <f t="shared" si="12"/>
        <v>--</v>
      </c>
      <c r="Z36" s="702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00"/>
      <c r="D37" s="500"/>
      <c r="E37" s="500"/>
      <c r="F37" s="501"/>
      <c r="G37" s="502"/>
      <c r="H37" s="503"/>
      <c r="I37" s="403">
        <f t="shared" si="0"/>
        <v>69.46875</v>
      </c>
      <c r="J37" s="508"/>
      <c r="K37" s="508"/>
      <c r="L37" s="13">
        <f t="shared" si="1"/>
      </c>
      <c r="M37" s="14">
        <f t="shared" si="2"/>
      </c>
      <c r="N37" s="509"/>
      <c r="O37" s="691">
        <f t="shared" si="14"/>
      </c>
      <c r="P37" s="692" t="str">
        <f t="shared" si="3"/>
        <v>--</v>
      </c>
      <c r="Q37" s="693" t="str">
        <f t="shared" si="4"/>
        <v>--</v>
      </c>
      <c r="R37" s="694" t="str">
        <f t="shared" si="5"/>
        <v>--</v>
      </c>
      <c r="S37" s="695" t="str">
        <f t="shared" si="6"/>
        <v>--</v>
      </c>
      <c r="T37" s="696" t="str">
        <f t="shared" si="7"/>
        <v>--</v>
      </c>
      <c r="U37" s="697" t="str">
        <f t="shared" si="8"/>
        <v>--</v>
      </c>
      <c r="V37" s="698" t="str">
        <f t="shared" si="9"/>
        <v>--</v>
      </c>
      <c r="W37" s="699" t="str">
        <f t="shared" si="10"/>
        <v>--</v>
      </c>
      <c r="X37" s="700" t="str">
        <f t="shared" si="11"/>
        <v>--</v>
      </c>
      <c r="Y37" s="701" t="str">
        <f t="shared" si="12"/>
        <v>--</v>
      </c>
      <c r="Z37" s="702">
        <f t="shared" si="15"/>
      </c>
      <c r="AA37" s="55">
        <f t="shared" si="13"/>
      </c>
      <c r="AB37" s="3"/>
    </row>
    <row r="38" spans="2:28" ht="16.5" customHeight="1">
      <c r="B38" s="56"/>
      <c r="C38" s="500"/>
      <c r="D38" s="500"/>
      <c r="E38" s="500"/>
      <c r="F38" s="501"/>
      <c r="G38" s="502"/>
      <c r="H38" s="503"/>
      <c r="I38" s="403">
        <f t="shared" si="0"/>
        <v>69.46875</v>
      </c>
      <c r="J38" s="508"/>
      <c r="K38" s="508"/>
      <c r="L38" s="13">
        <f t="shared" si="1"/>
      </c>
      <c r="M38" s="14">
        <f t="shared" si="2"/>
      </c>
      <c r="N38" s="509"/>
      <c r="O38" s="691">
        <f t="shared" si="14"/>
      </c>
      <c r="P38" s="692" t="str">
        <f t="shared" si="3"/>
        <v>--</v>
      </c>
      <c r="Q38" s="693" t="str">
        <f t="shared" si="4"/>
        <v>--</v>
      </c>
      <c r="R38" s="694" t="str">
        <f t="shared" si="5"/>
        <v>--</v>
      </c>
      <c r="S38" s="695" t="str">
        <f t="shared" si="6"/>
        <v>--</v>
      </c>
      <c r="T38" s="696" t="str">
        <f t="shared" si="7"/>
        <v>--</v>
      </c>
      <c r="U38" s="697" t="str">
        <f t="shared" si="8"/>
        <v>--</v>
      </c>
      <c r="V38" s="698" t="str">
        <f t="shared" si="9"/>
        <v>--</v>
      </c>
      <c r="W38" s="699" t="str">
        <f t="shared" si="10"/>
        <v>--</v>
      </c>
      <c r="X38" s="700" t="str">
        <f t="shared" si="11"/>
        <v>--</v>
      </c>
      <c r="Y38" s="701" t="str">
        <f t="shared" si="12"/>
        <v>--</v>
      </c>
      <c r="Z38" s="702">
        <f t="shared" si="15"/>
      </c>
      <c r="AA38" s="55">
        <f t="shared" si="13"/>
      </c>
      <c r="AB38" s="3"/>
    </row>
    <row r="39" spans="2:28" ht="16.5" customHeight="1">
      <c r="B39" s="56"/>
      <c r="C39" s="500"/>
      <c r="D39" s="500"/>
      <c r="E39" s="500"/>
      <c r="F39" s="501"/>
      <c r="G39" s="502"/>
      <c r="H39" s="503"/>
      <c r="I39" s="403">
        <f>IF(H39&gt;25,H39,25)*IF(G39=330,$G$16,$G$17)/100</f>
        <v>69.46875</v>
      </c>
      <c r="J39" s="508"/>
      <c r="K39" s="508"/>
      <c r="L39" s="13">
        <f>IF(F39="","",(K39-J39)*24)</f>
      </c>
      <c r="M39" s="14">
        <f>IF(F39="","",ROUND((K39-J39)*24*60,0))</f>
      </c>
      <c r="N39" s="509"/>
      <c r="O39" s="691">
        <f>IF(F39="","","--")</f>
      </c>
      <c r="P39" s="692" t="str">
        <f>IF(N39="P",ROUND(M39/60,2)*I39*$L$17*0.01,"--")</f>
        <v>--</v>
      </c>
      <c r="Q39" s="693" t="str">
        <f>IF(N39="RP",ROUND(M39/60,2)*I39*$L$17*0.01*O39/100,"--")</f>
        <v>--</v>
      </c>
      <c r="R39" s="694" t="str">
        <f>IF(N39="F",I39*$L$17,"--")</f>
        <v>--</v>
      </c>
      <c r="S39" s="695" t="str">
        <f>IF(AND(M39&gt;10,N39="F"),I39*$L$17*IF(M39&gt;180,3,ROUND(M39/60,2)),"--")</f>
        <v>--</v>
      </c>
      <c r="T39" s="696" t="str">
        <f>IF(AND(M39&gt;180,N39="F"),(ROUND(M39/60,2)-3)*I39*$L$17*0.1,"--")</f>
        <v>--</v>
      </c>
      <c r="U39" s="697" t="str">
        <f>IF(N39="R",I39*$L$17*O39/100,"--")</f>
        <v>--</v>
      </c>
      <c r="V39" s="698" t="str">
        <f>IF(AND(M39&gt;10,N39="R"),I39*$L$17*O39/100*IF(M39&gt;180,3,ROUND(M39/60,2)),"--")</f>
        <v>--</v>
      </c>
      <c r="W39" s="699" t="str">
        <f>IF(AND(M39&gt;180,N39="R"),(ROUND(M39/60,2)-3)*O39/100*I39*$L$17*0.1,"--")</f>
        <v>--</v>
      </c>
      <c r="X39" s="700" t="str">
        <f>IF(N39="RF",ROUND(M39/60,2)*I39*$L$17*0.1,"--")</f>
        <v>--</v>
      </c>
      <c r="Y39" s="701" t="str">
        <f>IF(N39="RR",ROUND(M39/60,2)*O39/100*I39*$L$17*0.1,"--")</f>
        <v>--</v>
      </c>
      <c r="Z39" s="702">
        <f>IF(F39="","","SI")</f>
      </c>
      <c r="AA39" s="55">
        <f>IF(F39="","",SUM(P39:Y39)*IF(Z39="SI",1,2))</f>
      </c>
      <c r="AB39" s="3"/>
    </row>
    <row r="40" spans="2:28" ht="16.5" customHeight="1">
      <c r="B40" s="56"/>
      <c r="C40" s="500"/>
      <c r="D40" s="500"/>
      <c r="E40" s="500"/>
      <c r="F40" s="501"/>
      <c r="G40" s="502"/>
      <c r="H40" s="503"/>
      <c r="I40" s="403">
        <f>IF(H40&gt;25,H40,25)*IF(G40=330,$G$16,$G$17)/100</f>
        <v>69.46875</v>
      </c>
      <c r="J40" s="508"/>
      <c r="K40" s="508"/>
      <c r="L40" s="13">
        <f>IF(F40="","",(K40-J40)*24)</f>
      </c>
      <c r="M40" s="14">
        <f>IF(F40="","",ROUND((K40-J40)*24*60,0))</f>
      </c>
      <c r="N40" s="509"/>
      <c r="O40" s="691">
        <f>IF(F40="","","--")</f>
      </c>
      <c r="P40" s="692" t="str">
        <f>IF(N40="P",ROUND(M40/60,2)*I40*$L$17*0.01,"--")</f>
        <v>--</v>
      </c>
      <c r="Q40" s="693" t="str">
        <f>IF(N40="RP",ROUND(M40/60,2)*I40*$L$17*0.01*O40/100,"--")</f>
        <v>--</v>
      </c>
      <c r="R40" s="694" t="str">
        <f>IF(N40="F",I40*$L$17,"--")</f>
        <v>--</v>
      </c>
      <c r="S40" s="695" t="str">
        <f>IF(AND(M40&gt;10,N40="F"),I40*$L$17*IF(M40&gt;180,3,ROUND(M40/60,2)),"--")</f>
        <v>--</v>
      </c>
      <c r="T40" s="696" t="str">
        <f>IF(AND(M40&gt;180,N40="F"),(ROUND(M40/60,2)-3)*I40*$L$17*0.1,"--")</f>
        <v>--</v>
      </c>
      <c r="U40" s="697" t="str">
        <f>IF(N40="R",I40*$L$17*O40/100,"--")</f>
        <v>--</v>
      </c>
      <c r="V40" s="698" t="str">
        <f>IF(AND(M40&gt;10,N40="R"),I40*$L$17*O40/100*IF(M40&gt;180,3,ROUND(M40/60,2)),"--")</f>
        <v>--</v>
      </c>
      <c r="W40" s="699" t="str">
        <f>IF(AND(M40&gt;180,N40="R"),(ROUND(M40/60,2)-3)*O40/100*I40*$L$17*0.1,"--")</f>
        <v>--</v>
      </c>
      <c r="X40" s="700" t="str">
        <f>IF(N40="RF",ROUND(M40/60,2)*I40*$L$17*0.1,"--")</f>
        <v>--</v>
      </c>
      <c r="Y40" s="701" t="str">
        <f>IF(N40="RR",ROUND(M40/60,2)*O40/100*I40*$L$17*0.1,"--")</f>
        <v>--</v>
      </c>
      <c r="Z40" s="702">
        <f>IF(F40="","","SI")</f>
      </c>
      <c r="AA40" s="55">
        <f>IF(F40="","",SUM(P40:Y40)*IF(Z40="SI",1,2))</f>
      </c>
      <c r="AB40" s="3"/>
    </row>
    <row r="41" spans="2:28" ht="16.5" customHeight="1">
      <c r="B41" s="56"/>
      <c r="C41" s="500"/>
      <c r="D41" s="500"/>
      <c r="E41" s="500"/>
      <c r="F41" s="501"/>
      <c r="G41" s="502"/>
      <c r="H41" s="503"/>
      <c r="I41" s="403">
        <f>IF(H41&gt;25,H41,25)*IF(G41=330,$G$16,$G$17)/100</f>
        <v>69.46875</v>
      </c>
      <c r="J41" s="508"/>
      <c r="K41" s="508"/>
      <c r="L41" s="13">
        <f>IF(F41="","",(K41-J41)*24)</f>
      </c>
      <c r="M41" s="14">
        <f>IF(F41="","",ROUND((K41-J41)*24*60,0))</f>
      </c>
      <c r="N41" s="509"/>
      <c r="O41" s="691">
        <f>IF(F41="","","--")</f>
      </c>
      <c r="P41" s="692" t="str">
        <f>IF(N41="P",ROUND(M41/60,2)*I41*$L$17*0.01,"--")</f>
        <v>--</v>
      </c>
      <c r="Q41" s="693" t="str">
        <f>IF(N41="RP",ROUND(M41/60,2)*I41*$L$17*0.01*O41/100,"--")</f>
        <v>--</v>
      </c>
      <c r="R41" s="694" t="str">
        <f>IF(N41="F",I41*$L$17,"--")</f>
        <v>--</v>
      </c>
      <c r="S41" s="695" t="str">
        <f>IF(AND(M41&gt;10,N41="F"),I41*$L$17*IF(M41&gt;180,3,ROUND(M41/60,2)),"--")</f>
        <v>--</v>
      </c>
      <c r="T41" s="696" t="str">
        <f>IF(AND(M41&gt;180,N41="F"),(ROUND(M41/60,2)-3)*I41*$L$17*0.1,"--")</f>
        <v>--</v>
      </c>
      <c r="U41" s="697" t="str">
        <f>IF(N41="R",I41*$L$17*O41/100,"--")</f>
        <v>--</v>
      </c>
      <c r="V41" s="698" t="str">
        <f>IF(AND(M41&gt;10,N41="R"),I41*$L$17*O41/100*IF(M41&gt;180,3,ROUND(M41/60,2)),"--")</f>
        <v>--</v>
      </c>
      <c r="W41" s="699" t="str">
        <f>IF(AND(M41&gt;180,N41="R"),(ROUND(M41/60,2)-3)*O41/100*I41*$L$17*0.1,"--")</f>
        <v>--</v>
      </c>
      <c r="X41" s="700" t="str">
        <f>IF(N41="RF",ROUND(M41/60,2)*I41*$L$17*0.1,"--")</f>
        <v>--</v>
      </c>
      <c r="Y41" s="701" t="str">
        <f>IF(N41="RR",ROUND(M41/60,2)*O41/100*I41*$L$17*0.1,"--")</f>
        <v>--</v>
      </c>
      <c r="Z41" s="702">
        <f>IF(F41="","","SI")</f>
      </c>
      <c r="AA41" s="55">
        <f>IF(F41="","",SUM(P41:Y41)*IF(Z41="SI",1,2))</f>
      </c>
      <c r="AB41" s="3"/>
    </row>
    <row r="42" spans="1:28" ht="16.5" customHeight="1" thickBot="1">
      <c r="A42" s="1"/>
      <c r="B42" s="2"/>
      <c r="C42" s="504"/>
      <c r="D42" s="504"/>
      <c r="E42" s="504"/>
      <c r="F42" s="505"/>
      <c r="G42" s="506"/>
      <c r="H42" s="507"/>
      <c r="I42" s="404"/>
      <c r="J42" s="507"/>
      <c r="K42" s="507"/>
      <c r="L42" s="15"/>
      <c r="M42" s="15"/>
      <c r="N42" s="507"/>
      <c r="O42" s="510"/>
      <c r="P42" s="511"/>
      <c r="Q42" s="512"/>
      <c r="R42" s="513"/>
      <c r="S42" s="514"/>
      <c r="T42" s="515"/>
      <c r="U42" s="516"/>
      <c r="V42" s="517"/>
      <c r="W42" s="518"/>
      <c r="X42" s="519"/>
      <c r="Y42" s="520"/>
      <c r="Z42" s="521"/>
      <c r="AA42" s="57"/>
      <c r="AB42" s="3"/>
    </row>
    <row r="43" spans="1:28" ht="16.5" customHeight="1" thickBot="1" thickTop="1">
      <c r="A43" s="1"/>
      <c r="B43" s="2"/>
      <c r="C43" s="240" t="s">
        <v>64</v>
      </c>
      <c r="D43" s="723" t="s">
        <v>179</v>
      </c>
      <c r="E43" s="686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1156.64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90">
        <f>ROUND(SUM(AA20:AA42),2)</f>
        <v>1156.64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2">
    <mergeCell ref="G16:H16"/>
    <mergeCell ref="G17:H17"/>
  </mergeCells>
  <printOptions/>
  <pageMargins left="0.6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H32" sqref="H3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6.4218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2"/>
    </row>
    <row r="2" spans="2:28" s="109" customFormat="1" ht="26.25">
      <c r="B2" s="110" t="str">
        <f>+'TOT-0114'!B2</f>
        <v>ANEXO I al Memorándum  D.T.E.E.  N°        34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89" t="s">
        <v>17</v>
      </c>
      <c r="C4" s="688"/>
      <c r="D4" s="688"/>
    </row>
    <row r="5" spans="1:4" s="112" customFormat="1" ht="11.25">
      <c r="A5" s="689" t="s">
        <v>147</v>
      </c>
      <c r="C5" s="688"/>
      <c r="D5" s="688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161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+'TOT-0114'!B14</f>
        <v>Desde el 01 al 31 de enero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8" t="s">
        <v>43</v>
      </c>
      <c r="G15" s="499" t="s">
        <v>186</v>
      </c>
      <c r="H15" s="239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8" t="s">
        <v>44</v>
      </c>
      <c r="G16" s="791">
        <v>277.875</v>
      </c>
      <c r="H16" s="792"/>
      <c r="I16" s="91"/>
      <c r="K16" s="97" t="s">
        <v>45</v>
      </c>
      <c r="L16" s="98">
        <f>30*'TOT-0114'!B13</f>
        <v>30</v>
      </c>
      <c r="M16" s="236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78"/>
      <c r="G17" s="679"/>
      <c r="H17" s="680"/>
      <c r="I17" s="91"/>
      <c r="K17" s="97"/>
      <c r="L17" s="98"/>
      <c r="M17" s="236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12" customFormat="1" ht="15" customHeight="1" thickBot="1">
      <c r="A18" s="708"/>
      <c r="B18" s="709"/>
      <c r="C18" s="710">
        <v>3</v>
      </c>
      <c r="D18" s="710">
        <v>4</v>
      </c>
      <c r="E18" s="710">
        <v>5</v>
      </c>
      <c r="F18" s="710">
        <v>6</v>
      </c>
      <c r="G18" s="710">
        <v>7</v>
      </c>
      <c r="H18" s="710">
        <v>8</v>
      </c>
      <c r="I18" s="710">
        <v>9</v>
      </c>
      <c r="J18" s="710">
        <v>10</v>
      </c>
      <c r="K18" s="710">
        <v>11</v>
      </c>
      <c r="L18" s="710">
        <v>12</v>
      </c>
      <c r="M18" s="710">
        <v>13</v>
      </c>
      <c r="N18" s="710">
        <v>14</v>
      </c>
      <c r="O18" s="710">
        <v>15</v>
      </c>
      <c r="P18" s="710">
        <v>16</v>
      </c>
      <c r="Q18" s="710">
        <v>17</v>
      </c>
      <c r="R18" s="710">
        <v>18</v>
      </c>
      <c r="S18" s="710">
        <v>19</v>
      </c>
      <c r="T18" s="710">
        <v>20</v>
      </c>
      <c r="U18" s="710">
        <v>21</v>
      </c>
      <c r="V18" s="710">
        <v>22</v>
      </c>
      <c r="W18" s="710">
        <v>23</v>
      </c>
      <c r="X18" s="710">
        <v>24</v>
      </c>
      <c r="Y18" s="710">
        <v>25</v>
      </c>
      <c r="Z18" s="710">
        <v>26</v>
      </c>
      <c r="AA18" s="710">
        <v>27</v>
      </c>
      <c r="AB18" s="711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146</v>
      </c>
      <c r="E19" s="101" t="s">
        <v>145</v>
      </c>
      <c r="F19" s="102" t="s">
        <v>20</v>
      </c>
      <c r="G19" s="103" t="s">
        <v>47</v>
      </c>
      <c r="H19" s="104" t="s">
        <v>48</v>
      </c>
      <c r="I19" s="265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4" t="s">
        <v>56</v>
      </c>
      <c r="Q19" s="297" t="s">
        <v>57</v>
      </c>
      <c r="R19" s="300" t="s">
        <v>58</v>
      </c>
      <c r="S19" s="301"/>
      <c r="T19" s="302"/>
      <c r="U19" s="311" t="s">
        <v>59</v>
      </c>
      <c r="V19" s="312"/>
      <c r="W19" s="313"/>
      <c r="X19" s="321" t="s">
        <v>60</v>
      </c>
      <c r="Y19" s="324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6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7"/>
      <c r="J21" s="51"/>
      <c r="K21" s="90"/>
      <c r="L21" s="90"/>
      <c r="M21" s="90"/>
      <c r="N21" s="88"/>
      <c r="O21" s="51"/>
      <c r="P21" s="296"/>
      <c r="Q21" s="299"/>
      <c r="R21" s="306"/>
      <c r="S21" s="307"/>
      <c r="T21" s="308"/>
      <c r="U21" s="317"/>
      <c r="V21" s="318"/>
      <c r="W21" s="319"/>
      <c r="X21" s="323"/>
      <c r="Y21" s="326"/>
      <c r="Z21" s="310"/>
      <c r="AA21" s="90"/>
      <c r="AB21" s="3"/>
    </row>
    <row r="22" spans="1:28" ht="16.5" customHeight="1">
      <c r="A22" s="1"/>
      <c r="B22" s="2"/>
      <c r="C22" s="500">
        <v>7</v>
      </c>
      <c r="D22" s="500">
        <v>270376</v>
      </c>
      <c r="E22" s="500">
        <v>4586</v>
      </c>
      <c r="F22" s="501" t="s">
        <v>162</v>
      </c>
      <c r="G22" s="502">
        <v>132</v>
      </c>
      <c r="H22" s="503">
        <v>127.98</v>
      </c>
      <c r="I22" s="268">
        <f aca="true" t="shared" si="0" ref="I22:I41">IF(H22&gt;25,H22,25)*IF(G22=330,$G$15,$G$16)/100</f>
        <v>355.62442500000003</v>
      </c>
      <c r="J22" s="508">
        <v>41651.27222222222</v>
      </c>
      <c r="K22" s="508">
        <v>41651.31736111111</v>
      </c>
      <c r="L22" s="13">
        <f aca="true" t="shared" si="1" ref="L22:L41">IF(F22="","",(K22-J22)*24)</f>
        <v>1.0833333333721384</v>
      </c>
      <c r="M22" s="14">
        <f aca="true" t="shared" si="2" ref="M22:M41">IF(F22="","",ROUND((K22-J22)*24*60,0))</f>
        <v>65</v>
      </c>
      <c r="N22" s="509" t="s">
        <v>152</v>
      </c>
      <c r="O22" s="691" t="str">
        <f aca="true" t="shared" si="3" ref="O22:O41">IF(F22="","","--")</f>
        <v>--</v>
      </c>
      <c r="P22" s="692">
        <f aca="true" t="shared" si="4" ref="P22:P41">IF(N22="P",ROUND(M22/60,2)*I22*$L$16*0.01,"--")</f>
        <v>115.22231370000003</v>
      </c>
      <c r="Q22" s="693" t="str">
        <f aca="true" t="shared" si="5" ref="Q22:Q41">IF(N22="RP",ROUND(M22/60,2)*I22*$L$16*0.01*O22/100,"--")</f>
        <v>--</v>
      </c>
      <c r="R22" s="694" t="str">
        <f aca="true" t="shared" si="6" ref="R22:R41">IF(N22="F",I22*$L$16,"--")</f>
        <v>--</v>
      </c>
      <c r="S22" s="695" t="str">
        <f aca="true" t="shared" si="7" ref="S22:S41">IF(AND(M22&gt;10,N22="F"),I22*$L$16*IF(M22&gt;180,3,ROUND(M22/60,2)),"--")</f>
        <v>--</v>
      </c>
      <c r="T22" s="696" t="str">
        <f aca="true" t="shared" si="8" ref="T22:T41">IF(AND(M22&gt;180,N22="F"),(ROUND(M22/60,2)-3)*I22*$L$16*0.1,"--")</f>
        <v>--</v>
      </c>
      <c r="U22" s="697" t="str">
        <f aca="true" t="shared" si="9" ref="U22:U41">IF(N22="R",I22*$L$16*O22/100,"--")</f>
        <v>--</v>
      </c>
      <c r="V22" s="698" t="str">
        <f aca="true" t="shared" si="10" ref="V22:V41">IF(AND(M22&gt;10,N22="R"),I22*$L$16*O22/100*IF(M22&gt;180,3,ROUND(M22/60,2)),"--")</f>
        <v>--</v>
      </c>
      <c r="W22" s="699" t="str">
        <f aca="true" t="shared" si="11" ref="W22:W41">IF(AND(M22&gt;180,N22="R"),(ROUND(M22/60,2)-3)*O22/100*I22*$L$16*0.1,"--")</f>
        <v>--</v>
      </c>
      <c r="X22" s="700" t="str">
        <f aca="true" t="shared" si="12" ref="X22:X41">IF(N22="RF",ROUND(M22/60,2)*I22*$L$16*0.1,"--")</f>
        <v>--</v>
      </c>
      <c r="Y22" s="701" t="str">
        <f aca="true" t="shared" si="13" ref="Y22:Y41">IF(N22="RR",ROUND(M22/60,2)*O22/100*I22*$L$16*0.1,"--")</f>
        <v>--</v>
      </c>
      <c r="Z22" s="702" t="str">
        <f aca="true" t="shared" si="14" ref="Z22:Z41">IF(F22="","","SI")</f>
        <v>SI</v>
      </c>
      <c r="AA22" s="55">
        <f aca="true" t="shared" si="15" ref="AA22:AA41">IF(F22="","",SUM(P22:Y22)*IF(Z22="SI",1,2))</f>
        <v>115.22231370000003</v>
      </c>
      <c r="AB22" s="3"/>
    </row>
    <row r="23" spans="1:28" ht="16.5" customHeight="1">
      <c r="A23" s="1"/>
      <c r="B23" s="2"/>
      <c r="C23" s="500"/>
      <c r="D23" s="500"/>
      <c r="E23" s="500"/>
      <c r="F23" s="501"/>
      <c r="G23" s="502"/>
      <c r="H23" s="503"/>
      <c r="I23" s="268">
        <f t="shared" si="0"/>
        <v>69.46875</v>
      </c>
      <c r="J23" s="508"/>
      <c r="K23" s="508"/>
      <c r="L23" s="13">
        <f t="shared" si="1"/>
      </c>
      <c r="M23" s="14">
        <f t="shared" si="2"/>
      </c>
      <c r="N23" s="509"/>
      <c r="O23" s="691">
        <f t="shared" si="3"/>
      </c>
      <c r="P23" s="692" t="str">
        <f t="shared" si="4"/>
        <v>--</v>
      </c>
      <c r="Q23" s="693" t="str">
        <f t="shared" si="5"/>
        <v>--</v>
      </c>
      <c r="R23" s="694" t="str">
        <f t="shared" si="6"/>
        <v>--</v>
      </c>
      <c r="S23" s="695" t="str">
        <f t="shared" si="7"/>
        <v>--</v>
      </c>
      <c r="T23" s="696" t="str">
        <f t="shared" si="8"/>
        <v>--</v>
      </c>
      <c r="U23" s="697" t="str">
        <f t="shared" si="9"/>
        <v>--</v>
      </c>
      <c r="V23" s="698" t="str">
        <f t="shared" si="10"/>
        <v>--</v>
      </c>
      <c r="W23" s="699" t="str">
        <f t="shared" si="11"/>
        <v>--</v>
      </c>
      <c r="X23" s="700" t="str">
        <f t="shared" si="12"/>
        <v>--</v>
      </c>
      <c r="Y23" s="701" t="str">
        <f t="shared" si="13"/>
        <v>--</v>
      </c>
      <c r="Z23" s="702">
        <f t="shared" si="14"/>
      </c>
      <c r="AA23" s="55">
        <f t="shared" si="15"/>
      </c>
      <c r="AB23" s="3"/>
    </row>
    <row r="24" spans="1:28" ht="16.5" customHeight="1">
      <c r="A24" s="1"/>
      <c r="B24" s="2"/>
      <c r="C24" s="500"/>
      <c r="D24" s="500"/>
      <c r="E24" s="500"/>
      <c r="F24" s="501"/>
      <c r="G24" s="502"/>
      <c r="H24" s="503"/>
      <c r="I24" s="268">
        <f t="shared" si="0"/>
        <v>69.46875</v>
      </c>
      <c r="J24" s="508"/>
      <c r="K24" s="508"/>
      <c r="L24" s="13">
        <f t="shared" si="1"/>
      </c>
      <c r="M24" s="14">
        <f t="shared" si="2"/>
      </c>
      <c r="N24" s="509"/>
      <c r="O24" s="691">
        <f t="shared" si="3"/>
      </c>
      <c r="P24" s="692" t="str">
        <f t="shared" si="4"/>
        <v>--</v>
      </c>
      <c r="Q24" s="693" t="str">
        <f t="shared" si="5"/>
        <v>--</v>
      </c>
      <c r="R24" s="694" t="str">
        <f t="shared" si="6"/>
        <v>--</v>
      </c>
      <c r="S24" s="695" t="str">
        <f t="shared" si="7"/>
        <v>--</v>
      </c>
      <c r="T24" s="696" t="str">
        <f t="shared" si="8"/>
        <v>--</v>
      </c>
      <c r="U24" s="697" t="str">
        <f t="shared" si="9"/>
        <v>--</v>
      </c>
      <c r="V24" s="698" t="str">
        <f t="shared" si="10"/>
        <v>--</v>
      </c>
      <c r="W24" s="699" t="str">
        <f t="shared" si="11"/>
        <v>--</v>
      </c>
      <c r="X24" s="700" t="str">
        <f t="shared" si="12"/>
        <v>--</v>
      </c>
      <c r="Y24" s="701" t="str">
        <f t="shared" si="13"/>
        <v>--</v>
      </c>
      <c r="Z24" s="702">
        <f t="shared" si="14"/>
      </c>
      <c r="AA24" s="55">
        <f t="shared" si="15"/>
      </c>
      <c r="AB24" s="3"/>
    </row>
    <row r="25" spans="1:28" ht="16.5" customHeight="1">
      <c r="A25" s="1"/>
      <c r="B25" s="2"/>
      <c r="C25" s="500"/>
      <c r="D25" s="500"/>
      <c r="E25" s="500"/>
      <c r="F25" s="501"/>
      <c r="G25" s="502"/>
      <c r="H25" s="503"/>
      <c r="I25" s="268">
        <f t="shared" si="0"/>
        <v>69.46875</v>
      </c>
      <c r="J25" s="508"/>
      <c r="K25" s="508"/>
      <c r="L25" s="13">
        <f t="shared" si="1"/>
      </c>
      <c r="M25" s="14">
        <f t="shared" si="2"/>
      </c>
      <c r="N25" s="509"/>
      <c r="O25" s="691">
        <f t="shared" si="3"/>
      </c>
      <c r="P25" s="692" t="str">
        <f t="shared" si="4"/>
        <v>--</v>
      </c>
      <c r="Q25" s="693" t="str">
        <f t="shared" si="5"/>
        <v>--</v>
      </c>
      <c r="R25" s="694" t="str">
        <f t="shared" si="6"/>
        <v>--</v>
      </c>
      <c r="S25" s="695" t="str">
        <f t="shared" si="7"/>
        <v>--</v>
      </c>
      <c r="T25" s="696" t="str">
        <f t="shared" si="8"/>
        <v>--</v>
      </c>
      <c r="U25" s="697" t="str">
        <f t="shared" si="9"/>
        <v>--</v>
      </c>
      <c r="V25" s="698" t="str">
        <f t="shared" si="10"/>
        <v>--</v>
      </c>
      <c r="W25" s="699" t="str">
        <f t="shared" si="11"/>
        <v>--</v>
      </c>
      <c r="X25" s="700" t="str">
        <f t="shared" si="12"/>
        <v>--</v>
      </c>
      <c r="Y25" s="701" t="str">
        <f t="shared" si="13"/>
        <v>--</v>
      </c>
      <c r="Z25" s="702">
        <f t="shared" si="14"/>
      </c>
      <c r="AA25" s="55">
        <f t="shared" si="15"/>
      </c>
      <c r="AB25" s="3"/>
    </row>
    <row r="26" spans="1:28" ht="16.5" customHeight="1">
      <c r="A26" s="1"/>
      <c r="B26" s="2"/>
      <c r="C26" s="500"/>
      <c r="D26" s="500"/>
      <c r="E26" s="500"/>
      <c r="F26" s="501"/>
      <c r="G26" s="502"/>
      <c r="H26" s="503"/>
      <c r="I26" s="268">
        <f t="shared" si="0"/>
        <v>69.46875</v>
      </c>
      <c r="J26" s="508"/>
      <c r="K26" s="508"/>
      <c r="L26" s="13">
        <f t="shared" si="1"/>
      </c>
      <c r="M26" s="14">
        <f t="shared" si="2"/>
      </c>
      <c r="N26" s="509"/>
      <c r="O26" s="691">
        <f t="shared" si="3"/>
      </c>
      <c r="P26" s="692" t="str">
        <f t="shared" si="4"/>
        <v>--</v>
      </c>
      <c r="Q26" s="693" t="str">
        <f t="shared" si="5"/>
        <v>--</v>
      </c>
      <c r="R26" s="694" t="str">
        <f t="shared" si="6"/>
        <v>--</v>
      </c>
      <c r="S26" s="695" t="str">
        <f t="shared" si="7"/>
        <v>--</v>
      </c>
      <c r="T26" s="696" t="str">
        <f t="shared" si="8"/>
        <v>--</v>
      </c>
      <c r="U26" s="697" t="str">
        <f t="shared" si="9"/>
        <v>--</v>
      </c>
      <c r="V26" s="698" t="str">
        <f t="shared" si="10"/>
        <v>--</v>
      </c>
      <c r="W26" s="699" t="str">
        <f t="shared" si="11"/>
        <v>--</v>
      </c>
      <c r="X26" s="700" t="str">
        <f t="shared" si="12"/>
        <v>--</v>
      </c>
      <c r="Y26" s="701" t="str">
        <f t="shared" si="13"/>
        <v>--</v>
      </c>
      <c r="Z26" s="702">
        <f t="shared" si="14"/>
      </c>
      <c r="AA26" s="55">
        <f t="shared" si="15"/>
      </c>
      <c r="AB26" s="3"/>
    </row>
    <row r="27" spans="1:28" ht="16.5" customHeight="1">
      <c r="A27" s="1"/>
      <c r="B27" s="2"/>
      <c r="C27" s="500"/>
      <c r="D27" s="500"/>
      <c r="E27" s="500"/>
      <c r="F27" s="501"/>
      <c r="G27" s="502"/>
      <c r="H27" s="503"/>
      <c r="I27" s="268">
        <f t="shared" si="0"/>
        <v>69.46875</v>
      </c>
      <c r="J27" s="508"/>
      <c r="K27" s="508"/>
      <c r="L27" s="13">
        <f t="shared" si="1"/>
      </c>
      <c r="M27" s="14">
        <f t="shared" si="2"/>
      </c>
      <c r="N27" s="509"/>
      <c r="O27" s="691">
        <f t="shared" si="3"/>
      </c>
      <c r="P27" s="692" t="str">
        <f t="shared" si="4"/>
        <v>--</v>
      </c>
      <c r="Q27" s="693" t="str">
        <f t="shared" si="5"/>
        <v>--</v>
      </c>
      <c r="R27" s="694" t="str">
        <f t="shared" si="6"/>
        <v>--</v>
      </c>
      <c r="S27" s="695" t="str">
        <f t="shared" si="7"/>
        <v>--</v>
      </c>
      <c r="T27" s="696" t="str">
        <f t="shared" si="8"/>
        <v>--</v>
      </c>
      <c r="U27" s="697" t="str">
        <f t="shared" si="9"/>
        <v>--</v>
      </c>
      <c r="V27" s="698" t="str">
        <f t="shared" si="10"/>
        <v>--</v>
      </c>
      <c r="W27" s="699" t="str">
        <f t="shared" si="11"/>
        <v>--</v>
      </c>
      <c r="X27" s="700" t="str">
        <f t="shared" si="12"/>
        <v>--</v>
      </c>
      <c r="Y27" s="701" t="str">
        <f t="shared" si="13"/>
        <v>--</v>
      </c>
      <c r="Z27" s="702">
        <f t="shared" si="14"/>
      </c>
      <c r="AA27" s="55">
        <f t="shared" si="15"/>
      </c>
      <c r="AB27" s="3"/>
    </row>
    <row r="28" spans="1:28" ht="16.5" customHeight="1">
      <c r="A28" s="1"/>
      <c r="B28" s="2"/>
      <c r="C28" s="500"/>
      <c r="D28" s="500"/>
      <c r="E28" s="500"/>
      <c r="F28" s="501"/>
      <c r="G28" s="502"/>
      <c r="H28" s="503"/>
      <c r="I28" s="268">
        <f t="shared" si="0"/>
        <v>69.46875</v>
      </c>
      <c r="J28" s="508"/>
      <c r="K28" s="508"/>
      <c r="L28" s="13">
        <f t="shared" si="1"/>
      </c>
      <c r="M28" s="14">
        <f t="shared" si="2"/>
      </c>
      <c r="N28" s="509"/>
      <c r="O28" s="691">
        <f t="shared" si="3"/>
      </c>
      <c r="P28" s="692" t="str">
        <f t="shared" si="4"/>
        <v>--</v>
      </c>
      <c r="Q28" s="693" t="str">
        <f t="shared" si="5"/>
        <v>--</v>
      </c>
      <c r="R28" s="694" t="str">
        <f t="shared" si="6"/>
        <v>--</v>
      </c>
      <c r="S28" s="695" t="str">
        <f t="shared" si="7"/>
        <v>--</v>
      </c>
      <c r="T28" s="696" t="str">
        <f t="shared" si="8"/>
        <v>--</v>
      </c>
      <c r="U28" s="697" t="str">
        <f t="shared" si="9"/>
        <v>--</v>
      </c>
      <c r="V28" s="698" t="str">
        <f t="shared" si="10"/>
        <v>--</v>
      </c>
      <c r="W28" s="699" t="str">
        <f t="shared" si="11"/>
        <v>--</v>
      </c>
      <c r="X28" s="700" t="str">
        <f t="shared" si="12"/>
        <v>--</v>
      </c>
      <c r="Y28" s="701" t="str">
        <f t="shared" si="13"/>
        <v>--</v>
      </c>
      <c r="Z28" s="702">
        <f t="shared" si="14"/>
      </c>
      <c r="AA28" s="55">
        <f t="shared" si="15"/>
      </c>
      <c r="AB28" s="3"/>
    </row>
    <row r="29" spans="1:28" ht="16.5" customHeight="1">
      <c r="A29" s="1"/>
      <c r="B29" s="2"/>
      <c r="C29" s="500"/>
      <c r="D29" s="500"/>
      <c r="E29" s="500"/>
      <c r="F29" s="501"/>
      <c r="G29" s="502"/>
      <c r="H29" s="503"/>
      <c r="I29" s="268">
        <f t="shared" si="0"/>
        <v>69.46875</v>
      </c>
      <c r="J29" s="508"/>
      <c r="K29" s="508"/>
      <c r="L29" s="13">
        <f t="shared" si="1"/>
      </c>
      <c r="M29" s="14">
        <f t="shared" si="2"/>
      </c>
      <c r="N29" s="509"/>
      <c r="O29" s="691">
        <f t="shared" si="3"/>
      </c>
      <c r="P29" s="692" t="str">
        <f t="shared" si="4"/>
        <v>--</v>
      </c>
      <c r="Q29" s="693" t="str">
        <f t="shared" si="5"/>
        <v>--</v>
      </c>
      <c r="R29" s="694" t="str">
        <f t="shared" si="6"/>
        <v>--</v>
      </c>
      <c r="S29" s="695" t="str">
        <f t="shared" si="7"/>
        <v>--</v>
      </c>
      <c r="T29" s="696" t="str">
        <f t="shared" si="8"/>
        <v>--</v>
      </c>
      <c r="U29" s="697" t="str">
        <f t="shared" si="9"/>
        <v>--</v>
      </c>
      <c r="V29" s="698" t="str">
        <f t="shared" si="10"/>
        <v>--</v>
      </c>
      <c r="W29" s="699" t="str">
        <f t="shared" si="11"/>
        <v>--</v>
      </c>
      <c r="X29" s="700" t="str">
        <f t="shared" si="12"/>
        <v>--</v>
      </c>
      <c r="Y29" s="701" t="str">
        <f t="shared" si="13"/>
        <v>--</v>
      </c>
      <c r="Z29" s="702">
        <f t="shared" si="14"/>
      </c>
      <c r="AA29" s="55">
        <f t="shared" si="15"/>
      </c>
      <c r="AB29" s="3"/>
    </row>
    <row r="30" spans="1:28" ht="16.5" customHeight="1">
      <c r="A30" s="1"/>
      <c r="B30" s="2"/>
      <c r="C30" s="500"/>
      <c r="D30" s="500"/>
      <c r="E30" s="500"/>
      <c r="F30" s="501"/>
      <c r="G30" s="502"/>
      <c r="H30" s="503"/>
      <c r="I30" s="268">
        <f t="shared" si="0"/>
        <v>69.46875</v>
      </c>
      <c r="J30" s="508"/>
      <c r="K30" s="508"/>
      <c r="L30" s="13">
        <f t="shared" si="1"/>
      </c>
      <c r="M30" s="14">
        <f t="shared" si="2"/>
      </c>
      <c r="N30" s="509"/>
      <c r="O30" s="691">
        <f t="shared" si="3"/>
      </c>
      <c r="P30" s="692" t="str">
        <f t="shared" si="4"/>
        <v>--</v>
      </c>
      <c r="Q30" s="693" t="str">
        <f t="shared" si="5"/>
        <v>--</v>
      </c>
      <c r="R30" s="694" t="str">
        <f t="shared" si="6"/>
        <v>--</v>
      </c>
      <c r="S30" s="695" t="str">
        <f t="shared" si="7"/>
        <v>--</v>
      </c>
      <c r="T30" s="696" t="str">
        <f t="shared" si="8"/>
        <v>--</v>
      </c>
      <c r="U30" s="697" t="str">
        <f t="shared" si="9"/>
        <v>--</v>
      </c>
      <c r="V30" s="698" t="str">
        <f t="shared" si="10"/>
        <v>--</v>
      </c>
      <c r="W30" s="699" t="str">
        <f t="shared" si="11"/>
        <v>--</v>
      </c>
      <c r="X30" s="700" t="str">
        <f t="shared" si="12"/>
        <v>--</v>
      </c>
      <c r="Y30" s="701" t="str">
        <f t="shared" si="13"/>
        <v>--</v>
      </c>
      <c r="Z30" s="702">
        <f t="shared" si="14"/>
      </c>
      <c r="AA30" s="55">
        <f t="shared" si="15"/>
      </c>
      <c r="AB30" s="3"/>
    </row>
    <row r="31" spans="1:28" ht="16.5" customHeight="1">
      <c r="A31" s="1"/>
      <c r="B31" s="2"/>
      <c r="C31" s="500"/>
      <c r="D31" s="500"/>
      <c r="E31" s="500"/>
      <c r="F31" s="501"/>
      <c r="G31" s="502"/>
      <c r="H31" s="503"/>
      <c r="I31" s="268">
        <f t="shared" si="0"/>
        <v>69.46875</v>
      </c>
      <c r="J31" s="508"/>
      <c r="K31" s="508"/>
      <c r="L31" s="13">
        <f t="shared" si="1"/>
      </c>
      <c r="M31" s="14">
        <f t="shared" si="2"/>
      </c>
      <c r="N31" s="509"/>
      <c r="O31" s="691">
        <f t="shared" si="3"/>
      </c>
      <c r="P31" s="692" t="str">
        <f t="shared" si="4"/>
        <v>--</v>
      </c>
      <c r="Q31" s="693" t="str">
        <f t="shared" si="5"/>
        <v>--</v>
      </c>
      <c r="R31" s="694" t="str">
        <f t="shared" si="6"/>
        <v>--</v>
      </c>
      <c r="S31" s="695" t="str">
        <f t="shared" si="7"/>
        <v>--</v>
      </c>
      <c r="T31" s="696" t="str">
        <f t="shared" si="8"/>
        <v>--</v>
      </c>
      <c r="U31" s="697" t="str">
        <f t="shared" si="9"/>
        <v>--</v>
      </c>
      <c r="V31" s="698" t="str">
        <f t="shared" si="10"/>
        <v>--</v>
      </c>
      <c r="W31" s="699" t="str">
        <f t="shared" si="11"/>
        <v>--</v>
      </c>
      <c r="X31" s="700" t="str">
        <f t="shared" si="12"/>
        <v>--</v>
      </c>
      <c r="Y31" s="701" t="str">
        <f t="shared" si="13"/>
        <v>--</v>
      </c>
      <c r="Z31" s="702">
        <f t="shared" si="14"/>
      </c>
      <c r="AA31" s="55">
        <f t="shared" si="15"/>
      </c>
      <c r="AB31" s="3"/>
    </row>
    <row r="32" spans="1:28" ht="16.5" customHeight="1">
      <c r="A32" s="1"/>
      <c r="B32" s="2"/>
      <c r="C32" s="500"/>
      <c r="D32" s="500"/>
      <c r="E32" s="500"/>
      <c r="F32" s="501"/>
      <c r="G32" s="502"/>
      <c r="H32" s="503"/>
      <c r="I32" s="268">
        <f t="shared" si="0"/>
        <v>69.46875</v>
      </c>
      <c r="J32" s="508"/>
      <c r="K32" s="508"/>
      <c r="L32" s="13">
        <f t="shared" si="1"/>
      </c>
      <c r="M32" s="14">
        <f t="shared" si="2"/>
      </c>
      <c r="N32" s="509"/>
      <c r="O32" s="691">
        <f t="shared" si="3"/>
      </c>
      <c r="P32" s="692" t="str">
        <f t="shared" si="4"/>
        <v>--</v>
      </c>
      <c r="Q32" s="693" t="str">
        <f t="shared" si="5"/>
        <v>--</v>
      </c>
      <c r="R32" s="694" t="str">
        <f t="shared" si="6"/>
        <v>--</v>
      </c>
      <c r="S32" s="695" t="str">
        <f t="shared" si="7"/>
        <v>--</v>
      </c>
      <c r="T32" s="696" t="str">
        <f t="shared" si="8"/>
        <v>--</v>
      </c>
      <c r="U32" s="697" t="str">
        <f t="shared" si="9"/>
        <v>--</v>
      </c>
      <c r="V32" s="698" t="str">
        <f t="shared" si="10"/>
        <v>--</v>
      </c>
      <c r="W32" s="699" t="str">
        <f t="shared" si="11"/>
        <v>--</v>
      </c>
      <c r="X32" s="700" t="str">
        <f t="shared" si="12"/>
        <v>--</v>
      </c>
      <c r="Y32" s="701" t="str">
        <f t="shared" si="13"/>
        <v>--</v>
      </c>
      <c r="Z32" s="702">
        <f t="shared" si="14"/>
      </c>
      <c r="AA32" s="55">
        <f t="shared" si="15"/>
      </c>
      <c r="AB32" s="3"/>
    </row>
    <row r="33" spans="1:28" ht="16.5" customHeight="1">
      <c r="A33" s="1"/>
      <c r="B33" s="2"/>
      <c r="C33" s="500"/>
      <c r="D33" s="500"/>
      <c r="E33" s="500"/>
      <c r="F33" s="501"/>
      <c r="G33" s="502"/>
      <c r="H33" s="503"/>
      <c r="I33" s="268">
        <f t="shared" si="0"/>
        <v>69.46875</v>
      </c>
      <c r="J33" s="508"/>
      <c r="K33" s="508"/>
      <c r="L33" s="13">
        <f t="shared" si="1"/>
      </c>
      <c r="M33" s="14">
        <f t="shared" si="2"/>
      </c>
      <c r="N33" s="509"/>
      <c r="O33" s="691">
        <f t="shared" si="3"/>
      </c>
      <c r="P33" s="692" t="str">
        <f t="shared" si="4"/>
        <v>--</v>
      </c>
      <c r="Q33" s="693" t="str">
        <f t="shared" si="5"/>
        <v>--</v>
      </c>
      <c r="R33" s="694" t="str">
        <f t="shared" si="6"/>
        <v>--</v>
      </c>
      <c r="S33" s="695" t="str">
        <f t="shared" si="7"/>
        <v>--</v>
      </c>
      <c r="T33" s="696" t="str">
        <f t="shared" si="8"/>
        <v>--</v>
      </c>
      <c r="U33" s="697" t="str">
        <f t="shared" si="9"/>
        <v>--</v>
      </c>
      <c r="V33" s="698" t="str">
        <f t="shared" si="10"/>
        <v>--</v>
      </c>
      <c r="W33" s="699" t="str">
        <f t="shared" si="11"/>
        <v>--</v>
      </c>
      <c r="X33" s="700" t="str">
        <f t="shared" si="12"/>
        <v>--</v>
      </c>
      <c r="Y33" s="701" t="str">
        <f t="shared" si="13"/>
        <v>--</v>
      </c>
      <c r="Z33" s="702">
        <f t="shared" si="14"/>
      </c>
      <c r="AA33" s="55">
        <f t="shared" si="15"/>
      </c>
      <c r="AB33" s="3"/>
    </row>
    <row r="34" spans="1:28" ht="16.5" customHeight="1">
      <c r="A34" s="1"/>
      <c r="B34" s="2"/>
      <c r="C34" s="500"/>
      <c r="D34" s="500"/>
      <c r="E34" s="500"/>
      <c r="F34" s="501"/>
      <c r="G34" s="502"/>
      <c r="H34" s="503"/>
      <c r="I34" s="268">
        <f t="shared" si="0"/>
        <v>69.46875</v>
      </c>
      <c r="J34" s="508"/>
      <c r="K34" s="508"/>
      <c r="L34" s="13">
        <f t="shared" si="1"/>
      </c>
      <c r="M34" s="14">
        <f t="shared" si="2"/>
      </c>
      <c r="N34" s="509"/>
      <c r="O34" s="691">
        <f t="shared" si="3"/>
      </c>
      <c r="P34" s="692" t="str">
        <f t="shared" si="4"/>
        <v>--</v>
      </c>
      <c r="Q34" s="693" t="str">
        <f t="shared" si="5"/>
        <v>--</v>
      </c>
      <c r="R34" s="694" t="str">
        <f t="shared" si="6"/>
        <v>--</v>
      </c>
      <c r="S34" s="695" t="str">
        <f t="shared" si="7"/>
        <v>--</v>
      </c>
      <c r="T34" s="696" t="str">
        <f t="shared" si="8"/>
        <v>--</v>
      </c>
      <c r="U34" s="697" t="str">
        <f t="shared" si="9"/>
        <v>--</v>
      </c>
      <c r="V34" s="698" t="str">
        <f t="shared" si="10"/>
        <v>--</v>
      </c>
      <c r="W34" s="699" t="str">
        <f t="shared" si="11"/>
        <v>--</v>
      </c>
      <c r="X34" s="700" t="str">
        <f t="shared" si="12"/>
        <v>--</v>
      </c>
      <c r="Y34" s="701" t="str">
        <f t="shared" si="13"/>
        <v>--</v>
      </c>
      <c r="Z34" s="702">
        <f t="shared" si="14"/>
      </c>
      <c r="AA34" s="55">
        <f t="shared" si="15"/>
      </c>
      <c r="AB34" s="3"/>
    </row>
    <row r="35" spans="1:28" ht="16.5" customHeight="1">
      <c r="A35" s="1"/>
      <c r="B35" s="2"/>
      <c r="C35" s="500"/>
      <c r="D35" s="500"/>
      <c r="E35" s="500"/>
      <c r="F35" s="501"/>
      <c r="G35" s="502"/>
      <c r="H35" s="503"/>
      <c r="I35" s="268">
        <f t="shared" si="0"/>
        <v>69.46875</v>
      </c>
      <c r="J35" s="508"/>
      <c r="K35" s="508"/>
      <c r="L35" s="13">
        <f t="shared" si="1"/>
      </c>
      <c r="M35" s="14">
        <f t="shared" si="2"/>
      </c>
      <c r="N35" s="509"/>
      <c r="O35" s="691">
        <f t="shared" si="3"/>
      </c>
      <c r="P35" s="692" t="str">
        <f t="shared" si="4"/>
        <v>--</v>
      </c>
      <c r="Q35" s="693" t="str">
        <f t="shared" si="5"/>
        <v>--</v>
      </c>
      <c r="R35" s="694" t="str">
        <f t="shared" si="6"/>
        <v>--</v>
      </c>
      <c r="S35" s="695" t="str">
        <f t="shared" si="7"/>
        <v>--</v>
      </c>
      <c r="T35" s="696" t="str">
        <f t="shared" si="8"/>
        <v>--</v>
      </c>
      <c r="U35" s="697" t="str">
        <f t="shared" si="9"/>
        <v>--</v>
      </c>
      <c r="V35" s="698" t="str">
        <f t="shared" si="10"/>
        <v>--</v>
      </c>
      <c r="W35" s="699" t="str">
        <f t="shared" si="11"/>
        <v>--</v>
      </c>
      <c r="X35" s="700" t="str">
        <f t="shared" si="12"/>
        <v>--</v>
      </c>
      <c r="Y35" s="701" t="str">
        <f t="shared" si="13"/>
        <v>--</v>
      </c>
      <c r="Z35" s="702">
        <f t="shared" si="14"/>
      </c>
      <c r="AA35" s="55">
        <f t="shared" si="15"/>
      </c>
      <c r="AB35" s="3"/>
    </row>
    <row r="36" spans="1:28" ht="16.5" customHeight="1">
      <c r="A36" s="1"/>
      <c r="B36" s="2"/>
      <c r="C36" s="500"/>
      <c r="D36" s="500"/>
      <c r="E36" s="500"/>
      <c r="F36" s="501"/>
      <c r="G36" s="502"/>
      <c r="H36" s="503"/>
      <c r="I36" s="268">
        <f t="shared" si="0"/>
        <v>69.46875</v>
      </c>
      <c r="J36" s="508"/>
      <c r="K36" s="508"/>
      <c r="L36" s="13">
        <f t="shared" si="1"/>
      </c>
      <c r="M36" s="14">
        <f t="shared" si="2"/>
      </c>
      <c r="N36" s="509"/>
      <c r="O36" s="691">
        <f t="shared" si="3"/>
      </c>
      <c r="P36" s="692" t="str">
        <f t="shared" si="4"/>
        <v>--</v>
      </c>
      <c r="Q36" s="693" t="str">
        <f t="shared" si="5"/>
        <v>--</v>
      </c>
      <c r="R36" s="694" t="str">
        <f t="shared" si="6"/>
        <v>--</v>
      </c>
      <c r="S36" s="695" t="str">
        <f t="shared" si="7"/>
        <v>--</v>
      </c>
      <c r="T36" s="696" t="str">
        <f t="shared" si="8"/>
        <v>--</v>
      </c>
      <c r="U36" s="697" t="str">
        <f t="shared" si="9"/>
        <v>--</v>
      </c>
      <c r="V36" s="698" t="str">
        <f t="shared" si="10"/>
        <v>--</v>
      </c>
      <c r="W36" s="699" t="str">
        <f t="shared" si="11"/>
        <v>--</v>
      </c>
      <c r="X36" s="700" t="str">
        <f t="shared" si="12"/>
        <v>--</v>
      </c>
      <c r="Y36" s="701" t="str">
        <f t="shared" si="13"/>
        <v>--</v>
      </c>
      <c r="Z36" s="702">
        <f t="shared" si="14"/>
      </c>
      <c r="AA36" s="55">
        <f t="shared" si="15"/>
      </c>
      <c r="AB36" s="3"/>
    </row>
    <row r="37" spans="1:28" ht="16.5" customHeight="1">
      <c r="A37" s="1"/>
      <c r="B37" s="2"/>
      <c r="C37" s="500"/>
      <c r="D37" s="500"/>
      <c r="E37" s="500"/>
      <c r="F37" s="501"/>
      <c r="G37" s="502"/>
      <c r="H37" s="503"/>
      <c r="I37" s="268">
        <f t="shared" si="0"/>
        <v>69.46875</v>
      </c>
      <c r="J37" s="508"/>
      <c r="K37" s="508"/>
      <c r="L37" s="13">
        <f t="shared" si="1"/>
      </c>
      <c r="M37" s="14">
        <f t="shared" si="2"/>
      </c>
      <c r="N37" s="509"/>
      <c r="O37" s="691">
        <f t="shared" si="3"/>
      </c>
      <c r="P37" s="692" t="str">
        <f t="shared" si="4"/>
        <v>--</v>
      </c>
      <c r="Q37" s="693" t="str">
        <f t="shared" si="5"/>
        <v>--</v>
      </c>
      <c r="R37" s="694" t="str">
        <f t="shared" si="6"/>
        <v>--</v>
      </c>
      <c r="S37" s="695" t="str">
        <f t="shared" si="7"/>
        <v>--</v>
      </c>
      <c r="T37" s="696" t="str">
        <f t="shared" si="8"/>
        <v>--</v>
      </c>
      <c r="U37" s="697" t="str">
        <f t="shared" si="9"/>
        <v>--</v>
      </c>
      <c r="V37" s="698" t="str">
        <f t="shared" si="10"/>
        <v>--</v>
      </c>
      <c r="W37" s="699" t="str">
        <f t="shared" si="11"/>
        <v>--</v>
      </c>
      <c r="X37" s="700" t="str">
        <f t="shared" si="12"/>
        <v>--</v>
      </c>
      <c r="Y37" s="701" t="str">
        <f t="shared" si="13"/>
        <v>--</v>
      </c>
      <c r="Z37" s="702">
        <f t="shared" si="14"/>
      </c>
      <c r="AA37" s="55">
        <f t="shared" si="15"/>
      </c>
      <c r="AB37" s="3"/>
    </row>
    <row r="38" spans="2:28" ht="16.5" customHeight="1">
      <c r="B38" s="56"/>
      <c r="C38" s="500"/>
      <c r="D38" s="500"/>
      <c r="E38" s="500"/>
      <c r="F38" s="501"/>
      <c r="G38" s="502"/>
      <c r="H38" s="503"/>
      <c r="I38" s="268">
        <f t="shared" si="0"/>
        <v>69.46875</v>
      </c>
      <c r="J38" s="508"/>
      <c r="K38" s="508"/>
      <c r="L38" s="13">
        <f t="shared" si="1"/>
      </c>
      <c r="M38" s="14">
        <f t="shared" si="2"/>
      </c>
      <c r="N38" s="509"/>
      <c r="O38" s="691">
        <f t="shared" si="3"/>
      </c>
      <c r="P38" s="692" t="str">
        <f t="shared" si="4"/>
        <v>--</v>
      </c>
      <c r="Q38" s="693" t="str">
        <f t="shared" si="5"/>
        <v>--</v>
      </c>
      <c r="R38" s="694" t="str">
        <f t="shared" si="6"/>
        <v>--</v>
      </c>
      <c r="S38" s="695" t="str">
        <f t="shared" si="7"/>
        <v>--</v>
      </c>
      <c r="T38" s="696" t="str">
        <f t="shared" si="8"/>
        <v>--</v>
      </c>
      <c r="U38" s="697" t="str">
        <f t="shared" si="9"/>
        <v>--</v>
      </c>
      <c r="V38" s="698" t="str">
        <f t="shared" si="10"/>
        <v>--</v>
      </c>
      <c r="W38" s="699" t="str">
        <f t="shared" si="11"/>
        <v>--</v>
      </c>
      <c r="X38" s="700" t="str">
        <f t="shared" si="12"/>
        <v>--</v>
      </c>
      <c r="Y38" s="701" t="str">
        <f t="shared" si="13"/>
        <v>--</v>
      </c>
      <c r="Z38" s="702">
        <f t="shared" si="14"/>
      </c>
      <c r="AA38" s="55">
        <f t="shared" si="15"/>
      </c>
      <c r="AB38" s="3"/>
    </row>
    <row r="39" spans="2:28" ht="16.5" customHeight="1">
      <c r="B39" s="56"/>
      <c r="C39" s="500"/>
      <c r="D39" s="500"/>
      <c r="E39" s="500"/>
      <c r="F39" s="501"/>
      <c r="G39" s="502"/>
      <c r="H39" s="503"/>
      <c r="I39" s="268">
        <f t="shared" si="0"/>
        <v>69.46875</v>
      </c>
      <c r="J39" s="508"/>
      <c r="K39" s="508"/>
      <c r="L39" s="13">
        <f t="shared" si="1"/>
      </c>
      <c r="M39" s="14">
        <f t="shared" si="2"/>
      </c>
      <c r="N39" s="509"/>
      <c r="O39" s="691">
        <f t="shared" si="3"/>
      </c>
      <c r="P39" s="692" t="str">
        <f t="shared" si="4"/>
        <v>--</v>
      </c>
      <c r="Q39" s="693" t="str">
        <f t="shared" si="5"/>
        <v>--</v>
      </c>
      <c r="R39" s="694" t="str">
        <f t="shared" si="6"/>
        <v>--</v>
      </c>
      <c r="S39" s="695" t="str">
        <f t="shared" si="7"/>
        <v>--</v>
      </c>
      <c r="T39" s="696" t="str">
        <f t="shared" si="8"/>
        <v>--</v>
      </c>
      <c r="U39" s="697" t="str">
        <f t="shared" si="9"/>
        <v>--</v>
      </c>
      <c r="V39" s="698" t="str">
        <f t="shared" si="10"/>
        <v>--</v>
      </c>
      <c r="W39" s="699" t="str">
        <f t="shared" si="11"/>
        <v>--</v>
      </c>
      <c r="X39" s="700" t="str">
        <f t="shared" si="12"/>
        <v>--</v>
      </c>
      <c r="Y39" s="701" t="str">
        <f t="shared" si="13"/>
        <v>--</v>
      </c>
      <c r="Z39" s="702">
        <f t="shared" si="14"/>
      </c>
      <c r="AA39" s="55">
        <f t="shared" si="15"/>
      </c>
      <c r="AB39" s="3"/>
    </row>
    <row r="40" spans="2:28" ht="16.5" customHeight="1">
      <c r="B40" s="56"/>
      <c r="C40" s="500"/>
      <c r="D40" s="500"/>
      <c r="E40" s="500"/>
      <c r="F40" s="501"/>
      <c r="G40" s="502"/>
      <c r="H40" s="503"/>
      <c r="I40" s="268">
        <f t="shared" si="0"/>
        <v>69.46875</v>
      </c>
      <c r="J40" s="508"/>
      <c r="K40" s="508"/>
      <c r="L40" s="13">
        <f t="shared" si="1"/>
      </c>
      <c r="M40" s="14">
        <f t="shared" si="2"/>
      </c>
      <c r="N40" s="509"/>
      <c r="O40" s="691">
        <f t="shared" si="3"/>
      </c>
      <c r="P40" s="692" t="str">
        <f t="shared" si="4"/>
        <v>--</v>
      </c>
      <c r="Q40" s="693" t="str">
        <f t="shared" si="5"/>
        <v>--</v>
      </c>
      <c r="R40" s="694" t="str">
        <f t="shared" si="6"/>
        <v>--</v>
      </c>
      <c r="S40" s="695" t="str">
        <f t="shared" si="7"/>
        <v>--</v>
      </c>
      <c r="T40" s="696" t="str">
        <f t="shared" si="8"/>
        <v>--</v>
      </c>
      <c r="U40" s="697" t="str">
        <f t="shared" si="9"/>
        <v>--</v>
      </c>
      <c r="V40" s="698" t="str">
        <f t="shared" si="10"/>
        <v>--</v>
      </c>
      <c r="W40" s="699" t="str">
        <f t="shared" si="11"/>
        <v>--</v>
      </c>
      <c r="X40" s="700" t="str">
        <f t="shared" si="12"/>
        <v>--</v>
      </c>
      <c r="Y40" s="701" t="str">
        <f t="shared" si="13"/>
        <v>--</v>
      </c>
      <c r="Z40" s="702">
        <f t="shared" si="14"/>
      </c>
      <c r="AA40" s="55">
        <f t="shared" si="15"/>
      </c>
      <c r="AB40" s="3"/>
    </row>
    <row r="41" spans="2:28" ht="16.5" customHeight="1">
      <c r="B41" s="56"/>
      <c r="C41" s="500"/>
      <c r="D41" s="500"/>
      <c r="E41" s="500"/>
      <c r="F41" s="501"/>
      <c r="G41" s="502"/>
      <c r="H41" s="503"/>
      <c r="I41" s="268">
        <f t="shared" si="0"/>
        <v>69.46875</v>
      </c>
      <c r="J41" s="508"/>
      <c r="K41" s="508"/>
      <c r="L41" s="13">
        <f t="shared" si="1"/>
      </c>
      <c r="M41" s="14">
        <f t="shared" si="2"/>
      </c>
      <c r="N41" s="509"/>
      <c r="O41" s="691">
        <f t="shared" si="3"/>
      </c>
      <c r="P41" s="692" t="str">
        <f t="shared" si="4"/>
        <v>--</v>
      </c>
      <c r="Q41" s="693" t="str">
        <f t="shared" si="5"/>
        <v>--</v>
      </c>
      <c r="R41" s="694" t="str">
        <f t="shared" si="6"/>
        <v>--</v>
      </c>
      <c r="S41" s="695" t="str">
        <f t="shared" si="7"/>
        <v>--</v>
      </c>
      <c r="T41" s="696" t="str">
        <f t="shared" si="8"/>
        <v>--</v>
      </c>
      <c r="U41" s="697" t="str">
        <f t="shared" si="9"/>
        <v>--</v>
      </c>
      <c r="V41" s="698" t="str">
        <f t="shared" si="10"/>
        <v>--</v>
      </c>
      <c r="W41" s="699" t="str">
        <f t="shared" si="11"/>
        <v>--</v>
      </c>
      <c r="X41" s="700" t="str">
        <f t="shared" si="12"/>
        <v>--</v>
      </c>
      <c r="Y41" s="701" t="str">
        <f t="shared" si="13"/>
        <v>--</v>
      </c>
      <c r="Z41" s="702">
        <f t="shared" si="14"/>
      </c>
      <c r="AA41" s="55">
        <f t="shared" si="15"/>
      </c>
      <c r="AB41" s="3"/>
    </row>
    <row r="42" spans="1:28" ht="16.5" customHeight="1" thickBot="1">
      <c r="A42" s="1"/>
      <c r="B42" s="2"/>
      <c r="C42" s="504"/>
      <c r="D42" s="504"/>
      <c r="E42" s="504"/>
      <c r="F42" s="505"/>
      <c r="G42" s="506"/>
      <c r="H42" s="507"/>
      <c r="I42" s="269"/>
      <c r="J42" s="507"/>
      <c r="K42" s="507"/>
      <c r="L42" s="15"/>
      <c r="M42" s="15"/>
      <c r="N42" s="507"/>
      <c r="O42" s="510"/>
      <c r="P42" s="511"/>
      <c r="Q42" s="512"/>
      <c r="R42" s="513"/>
      <c r="S42" s="514"/>
      <c r="T42" s="515"/>
      <c r="U42" s="516"/>
      <c r="V42" s="517"/>
      <c r="W42" s="518"/>
      <c r="X42" s="519"/>
      <c r="Y42" s="520"/>
      <c r="Z42" s="521"/>
      <c r="AA42" s="57"/>
      <c r="AB42" s="3"/>
    </row>
    <row r="43" spans="1:28" ht="16.5" customHeight="1" thickBot="1" thickTop="1">
      <c r="A43" s="1"/>
      <c r="B43" s="2"/>
      <c r="C43" s="240" t="s">
        <v>64</v>
      </c>
      <c r="D43" s="723" t="s">
        <v>179</v>
      </c>
      <c r="E43" s="686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115.22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90">
        <f>ROUND(SUM(AA20:AA42),2)</f>
        <v>115.22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1">
    <mergeCell ref="G16:H16"/>
  </mergeCells>
  <printOptions/>
  <pageMargins left="0.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8" sqref="I18"/>
    </sheetView>
  </sheetViews>
  <sheetFormatPr defaultColWidth="11.421875" defaultRowHeight="12.75"/>
  <cols>
    <col min="1" max="2" width="4.140625" style="633" customWidth="1"/>
    <col min="3" max="3" width="5.57421875" style="633" customWidth="1"/>
    <col min="4" max="5" width="13.7109375" style="633" customWidth="1"/>
    <col min="6" max="6" width="29.57421875" style="633" customWidth="1"/>
    <col min="7" max="7" width="22.421875" style="633" customWidth="1"/>
    <col min="8" max="8" width="7.7109375" style="633" customWidth="1"/>
    <col min="9" max="9" width="12.7109375" style="633" customWidth="1"/>
    <col min="10" max="10" width="11.8515625" style="633" hidden="1" customWidth="1"/>
    <col min="11" max="12" width="15.7109375" style="633" customWidth="1"/>
    <col min="13" max="15" width="9.7109375" style="633" customWidth="1"/>
    <col min="16" max="16" width="5.8515625" style="633" customWidth="1"/>
    <col min="17" max="18" width="7.00390625" style="633" customWidth="1"/>
    <col min="19" max="19" width="11.7109375" style="633" hidden="1" customWidth="1"/>
    <col min="20" max="21" width="14.00390625" style="633" hidden="1" customWidth="1"/>
    <col min="22" max="22" width="14.28125" style="633" hidden="1" customWidth="1"/>
    <col min="23" max="27" width="14.140625" style="633" hidden="1" customWidth="1"/>
    <col min="28" max="28" width="9.00390625" style="633" customWidth="1"/>
    <col min="29" max="29" width="15.7109375" style="633" customWidth="1"/>
    <col min="30" max="30" width="4.140625" style="633" customWidth="1"/>
    <col min="31" max="16384" width="11.421875" style="633" customWidth="1"/>
  </cols>
  <sheetData>
    <row r="1" spans="1:30" s="539" customFormat="1" ht="26.25">
      <c r="A1" s="109"/>
      <c r="B1" s="109"/>
      <c r="C1" s="109"/>
      <c r="D1" s="109"/>
      <c r="E1" s="109"/>
      <c r="F1" s="109"/>
      <c r="G1" s="109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8"/>
    </row>
    <row r="2" spans="1:30" s="539" customFormat="1" ht="26.25">
      <c r="A2" s="109"/>
      <c r="B2" s="110" t="str">
        <f>+'TOT-0114'!B2</f>
        <v>ANEXO I al Memorándum  D.T.E.E.  N°        34   / 2014.-</v>
      </c>
      <c r="C2" s="111"/>
      <c r="D2" s="111"/>
      <c r="E2" s="111"/>
      <c r="F2" s="111"/>
      <c r="G2" s="111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0" s="542" customFormat="1" ht="12.75">
      <c r="A3" s="10"/>
      <c r="B3" s="10"/>
      <c r="C3" s="10"/>
      <c r="D3" s="10"/>
      <c r="E3" s="10"/>
      <c r="F3" s="10"/>
      <c r="G3" s="10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</row>
    <row r="4" spans="1:30" s="544" customFormat="1" ht="11.25">
      <c r="A4" s="689" t="s">
        <v>17</v>
      </c>
      <c r="B4" s="112"/>
      <c r="C4" s="688"/>
      <c r="D4" s="688"/>
      <c r="E4" s="688"/>
      <c r="F4" s="112"/>
      <c r="G4" s="112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</row>
    <row r="5" spans="1:30" s="544" customFormat="1" ht="11.25">
      <c r="A5" s="689" t="s">
        <v>147</v>
      </c>
      <c r="B5" s="112"/>
      <c r="C5" s="688"/>
      <c r="D5" s="688"/>
      <c r="E5" s="688"/>
      <c r="F5" s="112"/>
      <c r="G5" s="112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</row>
    <row r="6" spans="1:30" s="542" customFormat="1" ht="13.5" thickBot="1">
      <c r="A6" s="541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</row>
    <row r="7" spans="1:30" s="542" customFormat="1" ht="13.5" thickTop="1">
      <c r="A7" s="541"/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7"/>
    </row>
    <row r="8" spans="1:30" s="551" customFormat="1" ht="20.25">
      <c r="A8" s="548"/>
      <c r="B8" s="549"/>
      <c r="C8" s="190"/>
      <c r="D8" s="190"/>
      <c r="E8" s="190"/>
      <c r="F8" s="550" t="s">
        <v>40</v>
      </c>
      <c r="H8" s="190"/>
      <c r="I8" s="548"/>
      <c r="J8" s="548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552"/>
    </row>
    <row r="9" spans="1:30" s="542" customFormat="1" ht="12.75">
      <c r="A9" s="541"/>
      <c r="B9" s="553"/>
      <c r="C9" s="176"/>
      <c r="D9" s="176"/>
      <c r="E9" s="176"/>
      <c r="F9" s="176"/>
      <c r="G9" s="176"/>
      <c r="H9" s="176"/>
      <c r="I9" s="541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554"/>
    </row>
    <row r="10" spans="1:30" s="551" customFormat="1" ht="20.25">
      <c r="A10" s="548"/>
      <c r="B10" s="549"/>
      <c r="C10" s="190"/>
      <c r="D10" s="190"/>
      <c r="E10" s="190"/>
      <c r="F10" s="550" t="s">
        <v>65</v>
      </c>
      <c r="G10" s="190"/>
      <c r="H10" s="190"/>
      <c r="I10" s="548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552"/>
    </row>
    <row r="11" spans="1:30" s="542" customFormat="1" ht="12.75">
      <c r="A11" s="541"/>
      <c r="B11" s="553"/>
      <c r="C11" s="176"/>
      <c r="D11" s="176"/>
      <c r="E11" s="176"/>
      <c r="F11" s="555"/>
      <c r="G11" s="176"/>
      <c r="H11" s="176"/>
      <c r="I11" s="541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554"/>
    </row>
    <row r="12" spans="1:30" s="551" customFormat="1" ht="20.25">
      <c r="A12" s="548"/>
      <c r="B12" s="549"/>
      <c r="C12" s="190"/>
      <c r="D12" s="190"/>
      <c r="E12" s="190"/>
      <c r="F12" s="550" t="s">
        <v>66</v>
      </c>
      <c r="G12" s="556"/>
      <c r="H12" s="548"/>
      <c r="I12" s="548"/>
      <c r="J12" s="190"/>
      <c r="K12" s="190"/>
      <c r="L12" s="548"/>
      <c r="M12" s="548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552"/>
    </row>
    <row r="13" spans="1:30" s="542" customFormat="1" ht="12.75">
      <c r="A13" s="541"/>
      <c r="B13" s="553"/>
      <c r="C13" s="176"/>
      <c r="D13" s="176"/>
      <c r="E13" s="176"/>
      <c r="F13" s="557"/>
      <c r="G13" s="558"/>
      <c r="H13" s="541"/>
      <c r="I13" s="541"/>
      <c r="J13" s="176"/>
      <c r="K13" s="176"/>
      <c r="L13" s="541"/>
      <c r="M13" s="541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554"/>
    </row>
    <row r="14" spans="1:30" s="551" customFormat="1" ht="20.25">
      <c r="A14" s="548"/>
      <c r="B14" s="549"/>
      <c r="C14" s="190"/>
      <c r="D14" s="190"/>
      <c r="E14" s="190"/>
      <c r="F14" s="550" t="s">
        <v>67</v>
      </c>
      <c r="G14" s="191"/>
      <c r="H14" s="191"/>
      <c r="I14" s="192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552"/>
    </row>
    <row r="15" spans="1:30" s="542" customFormat="1" ht="12.75">
      <c r="A15" s="541"/>
      <c r="B15" s="553"/>
      <c r="C15" s="176"/>
      <c r="D15" s="176"/>
      <c r="E15" s="176"/>
      <c r="F15" s="559"/>
      <c r="G15" s="177"/>
      <c r="H15" s="177"/>
      <c r="I15" s="178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554"/>
    </row>
    <row r="16" spans="1:30" s="565" customFormat="1" ht="19.5">
      <c r="A16" s="560"/>
      <c r="B16" s="87" t="str">
        <f>+'TOT-0114'!B14</f>
        <v>Desde el 01 al 31 de enero de 2014</v>
      </c>
      <c r="C16" s="561"/>
      <c r="D16" s="561"/>
      <c r="E16" s="561"/>
      <c r="F16" s="561"/>
      <c r="G16" s="561"/>
      <c r="H16" s="561"/>
      <c r="I16" s="562"/>
      <c r="J16" s="561"/>
      <c r="K16" s="563"/>
      <c r="L16" s="563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4"/>
    </row>
    <row r="17" spans="1:30" s="542" customFormat="1" ht="14.25" thickBot="1">
      <c r="A17" s="541"/>
      <c r="B17" s="553"/>
      <c r="C17" s="176"/>
      <c r="D17" s="176"/>
      <c r="E17" s="176"/>
      <c r="F17" s="176"/>
      <c r="G17" s="176"/>
      <c r="H17" s="176"/>
      <c r="I17" s="37"/>
      <c r="J17" s="176"/>
      <c r="K17" s="566"/>
      <c r="L17" s="567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554"/>
    </row>
    <row r="18" spans="1:30" s="542" customFormat="1" ht="16.5" customHeight="1" thickBot="1" thickTop="1">
      <c r="A18" s="541"/>
      <c r="B18" s="553"/>
      <c r="C18" s="176"/>
      <c r="D18" s="176"/>
      <c r="E18" s="176"/>
      <c r="F18" s="197" t="s">
        <v>68</v>
      </c>
      <c r="G18" s="198"/>
      <c r="H18" s="568"/>
      <c r="I18" s="569">
        <v>0.975</v>
      </c>
      <c r="J18" s="541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554"/>
    </row>
    <row r="19" spans="1:30" s="542" customFormat="1" ht="16.5" customHeight="1" thickBot="1" thickTop="1">
      <c r="A19" s="541"/>
      <c r="B19" s="553"/>
      <c r="C19" s="176"/>
      <c r="D19" s="176"/>
      <c r="E19" s="176"/>
      <c r="F19" s="200" t="s">
        <v>69</v>
      </c>
      <c r="G19" s="201"/>
      <c r="H19" s="201"/>
      <c r="I19" s="202">
        <v>30</v>
      </c>
      <c r="J19" s="176"/>
      <c r="K19" s="236" t="str">
        <f>IF(I19=30," ",IF(I19=60,"Coeficiente duplicado por tasa de falla &gt;4 Sal. x año/100 km.","REVISAR COEFICIENTE"))</f>
        <v> 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570"/>
      <c r="X19" s="570"/>
      <c r="Y19" s="570"/>
      <c r="Z19" s="570"/>
      <c r="AA19" s="570"/>
      <c r="AB19" s="570"/>
      <c r="AC19" s="570"/>
      <c r="AD19" s="554"/>
    </row>
    <row r="20" spans="1:30" s="717" customFormat="1" ht="16.5" customHeight="1" thickBot="1" thickTop="1">
      <c r="A20" s="713"/>
      <c r="B20" s="714"/>
      <c r="C20" s="715">
        <v>3</v>
      </c>
      <c r="D20" s="715">
        <v>4</v>
      </c>
      <c r="E20" s="715">
        <v>5</v>
      </c>
      <c r="F20" s="715">
        <v>6</v>
      </c>
      <c r="G20" s="715">
        <v>7</v>
      </c>
      <c r="H20" s="715">
        <v>8</v>
      </c>
      <c r="I20" s="715">
        <v>9</v>
      </c>
      <c r="J20" s="715">
        <v>10</v>
      </c>
      <c r="K20" s="715">
        <v>11</v>
      </c>
      <c r="L20" s="715">
        <v>12</v>
      </c>
      <c r="M20" s="715">
        <v>13</v>
      </c>
      <c r="N20" s="715">
        <v>14</v>
      </c>
      <c r="O20" s="715">
        <v>15</v>
      </c>
      <c r="P20" s="715">
        <v>16</v>
      </c>
      <c r="Q20" s="715">
        <v>17</v>
      </c>
      <c r="R20" s="715">
        <v>18</v>
      </c>
      <c r="S20" s="715">
        <v>19</v>
      </c>
      <c r="T20" s="715">
        <v>20</v>
      </c>
      <c r="U20" s="715">
        <v>21</v>
      </c>
      <c r="V20" s="715">
        <v>22</v>
      </c>
      <c r="W20" s="715">
        <v>23</v>
      </c>
      <c r="X20" s="715">
        <v>24</v>
      </c>
      <c r="Y20" s="715">
        <v>25</v>
      </c>
      <c r="Z20" s="715">
        <v>26</v>
      </c>
      <c r="AA20" s="715">
        <v>27</v>
      </c>
      <c r="AB20" s="715">
        <v>28</v>
      </c>
      <c r="AC20" s="715">
        <v>29</v>
      </c>
      <c r="AD20" s="716"/>
    </row>
    <row r="21" spans="1:30" s="580" customFormat="1" ht="33.75" customHeight="1" thickBot="1" thickTop="1">
      <c r="A21" s="571"/>
      <c r="B21" s="572"/>
      <c r="C21" s="212" t="s">
        <v>46</v>
      </c>
      <c r="D21" s="101" t="s">
        <v>146</v>
      </c>
      <c r="E21" s="101" t="s">
        <v>145</v>
      </c>
      <c r="F21" s="211" t="s">
        <v>70</v>
      </c>
      <c r="G21" s="207" t="s">
        <v>15</v>
      </c>
      <c r="H21" s="208" t="s">
        <v>71</v>
      </c>
      <c r="I21" s="211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573" t="s">
        <v>56</v>
      </c>
      <c r="U21" s="574" t="s">
        <v>57</v>
      </c>
      <c r="V21" s="351" t="s">
        <v>80</v>
      </c>
      <c r="W21" s="575"/>
      <c r="X21" s="360" t="s">
        <v>80</v>
      </c>
      <c r="Y21" s="576"/>
      <c r="Z21" s="577" t="s">
        <v>60</v>
      </c>
      <c r="AA21" s="578" t="s">
        <v>61</v>
      </c>
      <c r="AB21" s="211" t="s">
        <v>62</v>
      </c>
      <c r="AC21" s="211" t="s">
        <v>63</v>
      </c>
      <c r="AD21" s="579"/>
    </row>
    <row r="22" spans="1:30" s="542" customFormat="1" ht="16.5" customHeight="1" thickTop="1">
      <c r="A22" s="541"/>
      <c r="B22" s="553"/>
      <c r="C22" s="581"/>
      <c r="D22" s="581"/>
      <c r="E22" s="581"/>
      <c r="F22" s="582"/>
      <c r="G22" s="583"/>
      <c r="H22" s="583"/>
      <c r="I22" s="583"/>
      <c r="J22" s="584"/>
      <c r="K22" s="582"/>
      <c r="L22" s="583"/>
      <c r="M22" s="582"/>
      <c r="N22" s="582"/>
      <c r="O22" s="583"/>
      <c r="P22" s="583"/>
      <c r="Q22" s="583"/>
      <c r="R22" s="583"/>
      <c r="S22" s="585"/>
      <c r="T22" s="586"/>
      <c r="U22" s="587"/>
      <c r="V22" s="588"/>
      <c r="W22" s="589"/>
      <c r="X22" s="590"/>
      <c r="Y22" s="591"/>
      <c r="Z22" s="592"/>
      <c r="AA22" s="593"/>
      <c r="AB22" s="583"/>
      <c r="AC22" s="594"/>
      <c r="AD22" s="554"/>
    </row>
    <row r="23" spans="1:30" s="542" customFormat="1" ht="16.5" customHeight="1">
      <c r="A23" s="541"/>
      <c r="B23" s="553"/>
      <c r="C23" s="581"/>
      <c r="D23" s="581"/>
      <c r="E23" s="581"/>
      <c r="F23" s="595"/>
      <c r="G23" s="595"/>
      <c r="H23" s="595"/>
      <c r="I23" s="595"/>
      <c r="J23" s="596"/>
      <c r="K23" s="597"/>
      <c r="L23" s="595"/>
      <c r="M23" s="597"/>
      <c r="N23" s="597"/>
      <c r="O23" s="595"/>
      <c r="P23" s="595"/>
      <c r="Q23" s="595"/>
      <c r="R23" s="595"/>
      <c r="S23" s="598"/>
      <c r="T23" s="599"/>
      <c r="U23" s="600"/>
      <c r="V23" s="601"/>
      <c r="W23" s="602"/>
      <c r="X23" s="603"/>
      <c r="Y23" s="604"/>
      <c r="Z23" s="605"/>
      <c r="AA23" s="606"/>
      <c r="AB23" s="595"/>
      <c r="AC23" s="607"/>
      <c r="AD23" s="554"/>
    </row>
    <row r="24" spans="1:30" s="542" customFormat="1" ht="16.5" customHeight="1">
      <c r="A24" s="541"/>
      <c r="B24" s="553"/>
      <c r="C24" s="636">
        <v>3</v>
      </c>
      <c r="D24" s="636">
        <v>270374</v>
      </c>
      <c r="E24" s="636">
        <v>3518</v>
      </c>
      <c r="F24" s="501" t="s">
        <v>156</v>
      </c>
      <c r="G24" s="500" t="s">
        <v>9</v>
      </c>
      <c r="H24" s="637">
        <v>15</v>
      </c>
      <c r="I24" s="683" t="s">
        <v>157</v>
      </c>
      <c r="J24" s="268">
        <f aca="true" t="shared" si="0" ref="J24:J39">H24*$I$18</f>
        <v>14.625</v>
      </c>
      <c r="K24" s="640">
        <v>41651.27222222222</v>
      </c>
      <c r="L24" s="640">
        <v>41651.31736111111</v>
      </c>
      <c r="M24" s="26">
        <f aca="true" t="shared" si="1" ref="M24:M39">IF(F24="","",(L24-K24)*24)</f>
        <v>1.0833333333721384</v>
      </c>
      <c r="N24" s="27">
        <f aca="true" t="shared" si="2" ref="N24:N39">IF(F24="","",ROUND((L24-K24)*24*60,0))</f>
        <v>65</v>
      </c>
      <c r="O24" s="641" t="s">
        <v>152</v>
      </c>
      <c r="P24" s="25" t="str">
        <f aca="true" t="shared" si="3" ref="P24:P43">IF(F24="","",IF(OR(O24="P",O24="RP"),"--","NO"))</f>
        <v>--</v>
      </c>
      <c r="Q24" s="703" t="str">
        <f aca="true" t="shared" si="4" ref="Q24:Q43">IF(F24="","","--")</f>
        <v>--</v>
      </c>
      <c r="R24" s="25" t="s">
        <v>153</v>
      </c>
      <c r="S24" s="338">
        <f aca="true" t="shared" si="5" ref="S24:S39">$I$19*IF(OR(O24="P",O24="RP"),0.1,1)*IF(R24="SI",1,0.1)</f>
        <v>3</v>
      </c>
      <c r="T24" s="704">
        <f aca="true" t="shared" si="6" ref="T24:T39">IF(O24="P",J24*S24*ROUND(N24/60,2),"--")</f>
        <v>47.385000000000005</v>
      </c>
      <c r="U24" s="705" t="str">
        <f aca="true" t="shared" si="7" ref="U24:U39">IF(O24="RP",J24*S24*ROUND(N24/60,2)*Q24/100,"--")</f>
        <v>--</v>
      </c>
      <c r="V24" s="357" t="str">
        <f aca="true" t="shared" si="8" ref="V24:V39">IF(AND(O24="F",P24="NO"),J24*S24,"--")</f>
        <v>--</v>
      </c>
      <c r="W24" s="358" t="str">
        <f aca="true" t="shared" si="9" ref="W24:W39">IF(O24="F",J24*S24*ROUND(N24/60,2),"--")</f>
        <v>--</v>
      </c>
      <c r="X24" s="366" t="str">
        <f aca="true" t="shared" si="10" ref="X24:X39">IF(AND(O24="R",P24="NO"),J24*S24*Q24/100,"--")</f>
        <v>--</v>
      </c>
      <c r="Y24" s="367" t="str">
        <f aca="true" t="shared" si="11" ref="Y24:Y39">IF(O24="R",J24*S24*ROUND(N24/60,2)*Q24/100,"--")</f>
        <v>--</v>
      </c>
      <c r="Z24" s="372" t="str">
        <f aca="true" t="shared" si="12" ref="Z24:Z39">IF(O24="RF",J24*S24*ROUND(N24/60,2),"--")</f>
        <v>--</v>
      </c>
      <c r="AA24" s="378" t="str">
        <f aca="true" t="shared" si="13" ref="AA24:AA39">IF(O24="RR",J24*S24*ROUND(N24/60,2)*Q24/100,"--")</f>
        <v>--</v>
      </c>
      <c r="AB24" s="25" t="s">
        <v>153</v>
      </c>
      <c r="AC24" s="608">
        <f aca="true" t="shared" si="14" ref="AC24:AC39">IF(F24="","",SUM(T24:AA24)*IF(AB24="SI",1,2))</f>
        <v>47.385000000000005</v>
      </c>
      <c r="AD24" s="609"/>
    </row>
    <row r="25" spans="1:30" s="542" customFormat="1" ht="16.5" customHeight="1">
      <c r="A25" s="541"/>
      <c r="B25" s="553"/>
      <c r="C25" s="636">
        <v>4</v>
      </c>
      <c r="D25" s="636">
        <v>270626</v>
      </c>
      <c r="E25" s="636">
        <v>1798</v>
      </c>
      <c r="F25" s="501" t="s">
        <v>158</v>
      </c>
      <c r="G25" s="500" t="s">
        <v>8</v>
      </c>
      <c r="H25" s="637">
        <v>40</v>
      </c>
      <c r="I25" s="683" t="s">
        <v>157</v>
      </c>
      <c r="J25" s="268">
        <f t="shared" si="0"/>
        <v>39</v>
      </c>
      <c r="K25" s="640">
        <v>41654.353472222225</v>
      </c>
      <c r="L25" s="640">
        <v>41654.552777777775</v>
      </c>
      <c r="M25" s="26">
        <f t="shared" si="1"/>
        <v>4.783333333209157</v>
      </c>
      <c r="N25" s="27">
        <f t="shared" si="2"/>
        <v>287</v>
      </c>
      <c r="O25" s="641" t="s">
        <v>152</v>
      </c>
      <c r="P25" s="25" t="str">
        <f t="shared" si="3"/>
        <v>--</v>
      </c>
      <c r="Q25" s="703" t="str">
        <f t="shared" si="4"/>
        <v>--</v>
      </c>
      <c r="R25" s="25" t="str">
        <f aca="true" t="shared" si="15" ref="R25:R43">IF(F25="","","NO")</f>
        <v>NO</v>
      </c>
      <c r="S25" s="338">
        <f t="shared" si="5"/>
        <v>0.30000000000000004</v>
      </c>
      <c r="T25" s="704">
        <f t="shared" si="6"/>
        <v>55.92600000000001</v>
      </c>
      <c r="U25" s="705" t="str">
        <f t="shared" si="7"/>
        <v>--</v>
      </c>
      <c r="V25" s="357" t="str">
        <f t="shared" si="8"/>
        <v>--</v>
      </c>
      <c r="W25" s="358" t="str">
        <f t="shared" si="9"/>
        <v>--</v>
      </c>
      <c r="X25" s="366" t="str">
        <f t="shared" si="10"/>
        <v>--</v>
      </c>
      <c r="Y25" s="367" t="str">
        <f t="shared" si="11"/>
        <v>--</v>
      </c>
      <c r="Z25" s="372" t="str">
        <f t="shared" si="12"/>
        <v>--</v>
      </c>
      <c r="AA25" s="378" t="str">
        <f t="shared" si="13"/>
        <v>--</v>
      </c>
      <c r="AB25" s="25" t="s">
        <v>153</v>
      </c>
      <c r="AC25" s="608">
        <f t="shared" si="14"/>
        <v>55.92600000000001</v>
      </c>
      <c r="AD25" s="609"/>
    </row>
    <row r="26" spans="1:30" s="542" customFormat="1" ht="16.5" customHeight="1">
      <c r="A26" s="541"/>
      <c r="B26" s="553"/>
      <c r="C26" s="636"/>
      <c r="D26" s="636"/>
      <c r="E26" s="636"/>
      <c r="F26" s="501"/>
      <c r="G26" s="500"/>
      <c r="H26" s="637"/>
      <c r="I26" s="638"/>
      <c r="J26" s="268">
        <f t="shared" si="0"/>
        <v>0</v>
      </c>
      <c r="K26" s="640"/>
      <c r="L26" s="640"/>
      <c r="M26" s="26">
        <f t="shared" si="1"/>
      </c>
      <c r="N26" s="27">
        <f t="shared" si="2"/>
      </c>
      <c r="O26" s="641"/>
      <c r="P26" s="25">
        <f t="shared" si="3"/>
      </c>
      <c r="Q26" s="703">
        <f t="shared" si="4"/>
      </c>
      <c r="R26" s="25">
        <f t="shared" si="15"/>
      </c>
      <c r="S26" s="338">
        <f t="shared" si="5"/>
        <v>3</v>
      </c>
      <c r="T26" s="704" t="str">
        <f t="shared" si="6"/>
        <v>--</v>
      </c>
      <c r="U26" s="705" t="str">
        <f t="shared" si="7"/>
        <v>--</v>
      </c>
      <c r="V26" s="357" t="str">
        <f t="shared" si="8"/>
        <v>--</v>
      </c>
      <c r="W26" s="358" t="str">
        <f t="shared" si="9"/>
        <v>--</v>
      </c>
      <c r="X26" s="366" t="str">
        <f t="shared" si="10"/>
        <v>--</v>
      </c>
      <c r="Y26" s="367" t="str">
        <f t="shared" si="11"/>
        <v>--</v>
      </c>
      <c r="Z26" s="372" t="str">
        <f t="shared" si="12"/>
        <v>--</v>
      </c>
      <c r="AA26" s="378" t="str">
        <f t="shared" si="13"/>
        <v>--</v>
      </c>
      <c r="AB26" s="25">
        <f aca="true" t="shared" si="16" ref="AB26:AB39">IF(F26="","","SI")</f>
      </c>
      <c r="AC26" s="608">
        <f t="shared" si="14"/>
      </c>
      <c r="AD26" s="609"/>
    </row>
    <row r="27" spans="1:30" s="542" customFormat="1" ht="16.5" customHeight="1">
      <c r="A27" s="541"/>
      <c r="B27" s="553"/>
      <c r="C27" s="636"/>
      <c r="D27" s="636"/>
      <c r="E27" s="636"/>
      <c r="F27" s="501"/>
      <c r="G27" s="500"/>
      <c r="H27" s="637"/>
      <c r="I27" s="683"/>
      <c r="J27" s="268">
        <f t="shared" si="0"/>
        <v>0</v>
      </c>
      <c r="K27" s="640"/>
      <c r="L27" s="640"/>
      <c r="M27" s="26">
        <f t="shared" si="1"/>
      </c>
      <c r="N27" s="27">
        <f t="shared" si="2"/>
      </c>
      <c r="O27" s="641"/>
      <c r="P27" s="25">
        <f t="shared" si="3"/>
      </c>
      <c r="Q27" s="703">
        <f t="shared" si="4"/>
      </c>
      <c r="R27" s="25">
        <f t="shared" si="15"/>
      </c>
      <c r="S27" s="338">
        <f t="shared" si="5"/>
        <v>3</v>
      </c>
      <c r="T27" s="704" t="str">
        <f t="shared" si="6"/>
        <v>--</v>
      </c>
      <c r="U27" s="705" t="str">
        <f t="shared" si="7"/>
        <v>--</v>
      </c>
      <c r="V27" s="357" t="str">
        <f t="shared" si="8"/>
        <v>--</v>
      </c>
      <c r="W27" s="358" t="str">
        <f t="shared" si="9"/>
        <v>--</v>
      </c>
      <c r="X27" s="366" t="str">
        <f t="shared" si="10"/>
        <v>--</v>
      </c>
      <c r="Y27" s="367" t="str">
        <f t="shared" si="11"/>
        <v>--</v>
      </c>
      <c r="Z27" s="372" t="str">
        <f t="shared" si="12"/>
        <v>--</v>
      </c>
      <c r="AA27" s="378" t="str">
        <f t="shared" si="13"/>
        <v>--</v>
      </c>
      <c r="AB27" s="25">
        <f t="shared" si="16"/>
      </c>
      <c r="AC27" s="608">
        <f t="shared" si="14"/>
      </c>
      <c r="AD27" s="609"/>
    </row>
    <row r="28" spans="1:30" s="542" customFormat="1" ht="16.5" customHeight="1">
      <c r="A28" s="541"/>
      <c r="B28" s="553"/>
      <c r="C28" s="636"/>
      <c r="D28" s="636"/>
      <c r="E28" s="636"/>
      <c r="F28" s="501"/>
      <c r="G28" s="500"/>
      <c r="H28" s="637"/>
      <c r="I28" s="683"/>
      <c r="J28" s="268"/>
      <c r="K28" s="640"/>
      <c r="L28" s="640"/>
      <c r="M28" s="26"/>
      <c r="N28" s="27"/>
      <c r="O28" s="641"/>
      <c r="P28" s="25"/>
      <c r="Q28" s="703"/>
      <c r="R28" s="25"/>
      <c r="S28" s="338"/>
      <c r="T28" s="704"/>
      <c r="U28" s="705"/>
      <c r="V28" s="357"/>
      <c r="W28" s="358"/>
      <c r="X28" s="366"/>
      <c r="Y28" s="367"/>
      <c r="Z28" s="372"/>
      <c r="AA28" s="378"/>
      <c r="AB28" s="25"/>
      <c r="AC28" s="608"/>
      <c r="AD28" s="609"/>
    </row>
    <row r="29" spans="1:30" s="542" customFormat="1" ht="16.5" customHeight="1">
      <c r="A29" s="541"/>
      <c r="B29" s="553"/>
      <c r="C29" s="636"/>
      <c r="D29" s="636"/>
      <c r="E29" s="636"/>
      <c r="F29" s="501"/>
      <c r="G29" s="500"/>
      <c r="H29" s="637"/>
      <c r="I29" s="683"/>
      <c r="J29" s="268"/>
      <c r="K29" s="640"/>
      <c r="L29" s="640"/>
      <c r="M29" s="26"/>
      <c r="N29" s="27"/>
      <c r="O29" s="641"/>
      <c r="P29" s="25"/>
      <c r="Q29" s="703"/>
      <c r="R29" s="25"/>
      <c r="S29" s="338"/>
      <c r="T29" s="704"/>
      <c r="U29" s="705"/>
      <c r="V29" s="357"/>
      <c r="W29" s="358"/>
      <c r="X29" s="366"/>
      <c r="Y29" s="367"/>
      <c r="Z29" s="372"/>
      <c r="AA29" s="378"/>
      <c r="AB29" s="25"/>
      <c r="AC29" s="608"/>
      <c r="AD29" s="609"/>
    </row>
    <row r="30" spans="1:30" s="542" customFormat="1" ht="16.5" customHeight="1">
      <c r="A30" s="541"/>
      <c r="B30" s="553"/>
      <c r="C30" s="636"/>
      <c r="D30" s="636"/>
      <c r="E30" s="636"/>
      <c r="F30" s="501"/>
      <c r="G30" s="500"/>
      <c r="H30" s="637"/>
      <c r="I30" s="683"/>
      <c r="J30" s="268"/>
      <c r="K30" s="640"/>
      <c r="L30" s="640"/>
      <c r="M30" s="26"/>
      <c r="N30" s="27"/>
      <c r="O30" s="641"/>
      <c r="P30" s="25"/>
      <c r="Q30" s="703"/>
      <c r="R30" s="25"/>
      <c r="S30" s="338"/>
      <c r="T30" s="704"/>
      <c r="U30" s="705"/>
      <c r="V30" s="357"/>
      <c r="W30" s="358"/>
      <c r="X30" s="366"/>
      <c r="Y30" s="367"/>
      <c r="Z30" s="372"/>
      <c r="AA30" s="378"/>
      <c r="AB30" s="25"/>
      <c r="AC30" s="608"/>
      <c r="AD30" s="609"/>
    </row>
    <row r="31" spans="1:30" s="542" customFormat="1" ht="16.5" customHeight="1">
      <c r="A31" s="541"/>
      <c r="B31" s="553"/>
      <c r="C31" s="636"/>
      <c r="D31" s="636"/>
      <c r="E31" s="636"/>
      <c r="F31" s="501"/>
      <c r="G31" s="500"/>
      <c r="H31" s="637"/>
      <c r="I31" s="638"/>
      <c r="J31" s="268">
        <f t="shared" si="0"/>
        <v>0</v>
      </c>
      <c r="K31" s="640"/>
      <c r="L31" s="640"/>
      <c r="M31" s="26">
        <f t="shared" si="1"/>
      </c>
      <c r="N31" s="27">
        <f t="shared" si="2"/>
      </c>
      <c r="O31" s="641"/>
      <c r="P31" s="25">
        <f t="shared" si="3"/>
      </c>
      <c r="Q31" s="703">
        <f t="shared" si="4"/>
      </c>
      <c r="R31" s="25">
        <f t="shared" si="15"/>
      </c>
      <c r="S31" s="338">
        <f t="shared" si="5"/>
        <v>3</v>
      </c>
      <c r="T31" s="704" t="str">
        <f t="shared" si="6"/>
        <v>--</v>
      </c>
      <c r="U31" s="705" t="str">
        <f t="shared" si="7"/>
        <v>--</v>
      </c>
      <c r="V31" s="357" t="str">
        <f t="shared" si="8"/>
        <v>--</v>
      </c>
      <c r="W31" s="358" t="str">
        <f t="shared" si="9"/>
        <v>--</v>
      </c>
      <c r="X31" s="366" t="str">
        <f t="shared" si="10"/>
        <v>--</v>
      </c>
      <c r="Y31" s="367" t="str">
        <f t="shared" si="11"/>
        <v>--</v>
      </c>
      <c r="Z31" s="372" t="str">
        <f t="shared" si="12"/>
        <v>--</v>
      </c>
      <c r="AA31" s="378" t="str">
        <f t="shared" si="13"/>
        <v>--</v>
      </c>
      <c r="AB31" s="25">
        <f t="shared" si="16"/>
      </c>
      <c r="AC31" s="608">
        <f t="shared" si="14"/>
      </c>
      <c r="AD31" s="609"/>
    </row>
    <row r="32" spans="1:30" s="542" customFormat="1" ht="16.5" customHeight="1">
      <c r="A32" s="541"/>
      <c r="B32" s="553"/>
      <c r="C32" s="636"/>
      <c r="D32" s="636"/>
      <c r="E32" s="636"/>
      <c r="F32" s="501"/>
      <c r="G32" s="500"/>
      <c r="H32" s="637"/>
      <c r="I32" s="638"/>
      <c r="J32" s="268">
        <f t="shared" si="0"/>
        <v>0</v>
      </c>
      <c r="K32" s="640"/>
      <c r="L32" s="640"/>
      <c r="M32" s="26">
        <f t="shared" si="1"/>
      </c>
      <c r="N32" s="27">
        <f t="shared" si="2"/>
      </c>
      <c r="O32" s="641"/>
      <c r="P32" s="25">
        <f t="shared" si="3"/>
      </c>
      <c r="Q32" s="703">
        <f t="shared" si="4"/>
      </c>
      <c r="R32" s="25">
        <f t="shared" si="15"/>
      </c>
      <c r="S32" s="338">
        <f t="shared" si="5"/>
        <v>3</v>
      </c>
      <c r="T32" s="704" t="str">
        <f t="shared" si="6"/>
        <v>--</v>
      </c>
      <c r="U32" s="705" t="str">
        <f t="shared" si="7"/>
        <v>--</v>
      </c>
      <c r="V32" s="357" t="str">
        <f t="shared" si="8"/>
        <v>--</v>
      </c>
      <c r="W32" s="358" t="str">
        <f t="shared" si="9"/>
        <v>--</v>
      </c>
      <c r="X32" s="366" t="str">
        <f t="shared" si="10"/>
        <v>--</v>
      </c>
      <c r="Y32" s="367" t="str">
        <f t="shared" si="11"/>
        <v>--</v>
      </c>
      <c r="Z32" s="372" t="str">
        <f t="shared" si="12"/>
        <v>--</v>
      </c>
      <c r="AA32" s="378" t="str">
        <f t="shared" si="13"/>
        <v>--</v>
      </c>
      <c r="AB32" s="25">
        <f t="shared" si="16"/>
      </c>
      <c r="AC32" s="608">
        <f t="shared" si="14"/>
      </c>
      <c r="AD32" s="554"/>
    </row>
    <row r="33" spans="1:30" s="542" customFormat="1" ht="16.5" customHeight="1">
      <c r="A33" s="541"/>
      <c r="B33" s="553"/>
      <c r="C33" s="636"/>
      <c r="D33" s="636"/>
      <c r="E33" s="636"/>
      <c r="F33" s="501"/>
      <c r="G33" s="500"/>
      <c r="H33" s="637"/>
      <c r="I33" s="638"/>
      <c r="J33" s="268">
        <f t="shared" si="0"/>
        <v>0</v>
      </c>
      <c r="K33" s="640"/>
      <c r="L33" s="640"/>
      <c r="M33" s="26">
        <f t="shared" si="1"/>
      </c>
      <c r="N33" s="27">
        <f t="shared" si="2"/>
      </c>
      <c r="O33" s="641"/>
      <c r="P33" s="25">
        <f t="shared" si="3"/>
      </c>
      <c r="Q33" s="703">
        <f t="shared" si="4"/>
      </c>
      <c r="R33" s="25">
        <f t="shared" si="15"/>
      </c>
      <c r="S33" s="338">
        <f t="shared" si="5"/>
        <v>3</v>
      </c>
      <c r="T33" s="704" t="str">
        <f t="shared" si="6"/>
        <v>--</v>
      </c>
      <c r="U33" s="705" t="str">
        <f t="shared" si="7"/>
        <v>--</v>
      </c>
      <c r="V33" s="357" t="str">
        <f t="shared" si="8"/>
        <v>--</v>
      </c>
      <c r="W33" s="358" t="str">
        <f t="shared" si="9"/>
        <v>--</v>
      </c>
      <c r="X33" s="366" t="str">
        <f t="shared" si="10"/>
        <v>--</v>
      </c>
      <c r="Y33" s="367" t="str">
        <f t="shared" si="11"/>
        <v>--</v>
      </c>
      <c r="Z33" s="372" t="str">
        <f t="shared" si="12"/>
        <v>--</v>
      </c>
      <c r="AA33" s="378" t="str">
        <f t="shared" si="13"/>
        <v>--</v>
      </c>
      <c r="AB33" s="25">
        <f t="shared" si="16"/>
      </c>
      <c r="AC33" s="608">
        <f t="shared" si="14"/>
      </c>
      <c r="AD33" s="554"/>
    </row>
    <row r="34" spans="1:30" s="542" customFormat="1" ht="16.5" customHeight="1">
      <c r="A34" s="541"/>
      <c r="B34" s="553"/>
      <c r="C34" s="636"/>
      <c r="D34" s="636"/>
      <c r="E34" s="636"/>
      <c r="F34" s="501"/>
      <c r="G34" s="500"/>
      <c r="H34" s="637"/>
      <c r="I34" s="638"/>
      <c r="J34" s="268">
        <f t="shared" si="0"/>
        <v>0</v>
      </c>
      <c r="K34" s="640"/>
      <c r="L34" s="640"/>
      <c r="M34" s="26">
        <f t="shared" si="1"/>
      </c>
      <c r="N34" s="27">
        <f t="shared" si="2"/>
      </c>
      <c r="O34" s="641"/>
      <c r="P34" s="25">
        <f t="shared" si="3"/>
      </c>
      <c r="Q34" s="703">
        <f t="shared" si="4"/>
      </c>
      <c r="R34" s="25">
        <f t="shared" si="15"/>
      </c>
      <c r="S34" s="338">
        <f t="shared" si="5"/>
        <v>3</v>
      </c>
      <c r="T34" s="704" t="str">
        <f t="shared" si="6"/>
        <v>--</v>
      </c>
      <c r="U34" s="705" t="str">
        <f t="shared" si="7"/>
        <v>--</v>
      </c>
      <c r="V34" s="357" t="str">
        <f t="shared" si="8"/>
        <v>--</v>
      </c>
      <c r="W34" s="358" t="str">
        <f t="shared" si="9"/>
        <v>--</v>
      </c>
      <c r="X34" s="366" t="str">
        <f t="shared" si="10"/>
        <v>--</v>
      </c>
      <c r="Y34" s="367" t="str">
        <f t="shared" si="11"/>
        <v>--</v>
      </c>
      <c r="Z34" s="372" t="str">
        <f t="shared" si="12"/>
        <v>--</v>
      </c>
      <c r="AA34" s="378" t="str">
        <f t="shared" si="13"/>
        <v>--</v>
      </c>
      <c r="AB34" s="25">
        <f t="shared" si="16"/>
      </c>
      <c r="AC34" s="608">
        <f t="shared" si="14"/>
      </c>
      <c r="AD34" s="554"/>
    </row>
    <row r="35" spans="1:30" s="542" customFormat="1" ht="16.5" customHeight="1">
      <c r="A35" s="541"/>
      <c r="B35" s="553"/>
      <c r="C35" s="636"/>
      <c r="D35" s="636"/>
      <c r="E35" s="636"/>
      <c r="F35" s="501"/>
      <c r="G35" s="500"/>
      <c r="H35" s="637"/>
      <c r="I35" s="638"/>
      <c r="J35" s="268">
        <f t="shared" si="0"/>
        <v>0</v>
      </c>
      <c r="K35" s="640"/>
      <c r="L35" s="640"/>
      <c r="M35" s="26">
        <f t="shared" si="1"/>
      </c>
      <c r="N35" s="27">
        <f t="shared" si="2"/>
      </c>
      <c r="O35" s="641"/>
      <c r="P35" s="25">
        <f t="shared" si="3"/>
      </c>
      <c r="Q35" s="703">
        <f t="shared" si="4"/>
      </c>
      <c r="R35" s="25">
        <f t="shared" si="15"/>
      </c>
      <c r="S35" s="338">
        <f t="shared" si="5"/>
        <v>3</v>
      </c>
      <c r="T35" s="704" t="str">
        <f t="shared" si="6"/>
        <v>--</v>
      </c>
      <c r="U35" s="705" t="str">
        <f t="shared" si="7"/>
        <v>--</v>
      </c>
      <c r="V35" s="357" t="str">
        <f t="shared" si="8"/>
        <v>--</v>
      </c>
      <c r="W35" s="358" t="str">
        <f t="shared" si="9"/>
        <v>--</v>
      </c>
      <c r="X35" s="366" t="str">
        <f t="shared" si="10"/>
        <v>--</v>
      </c>
      <c r="Y35" s="367" t="str">
        <f t="shared" si="11"/>
        <v>--</v>
      </c>
      <c r="Z35" s="372" t="str">
        <f t="shared" si="12"/>
        <v>--</v>
      </c>
      <c r="AA35" s="378" t="str">
        <f t="shared" si="13"/>
        <v>--</v>
      </c>
      <c r="AB35" s="25">
        <f t="shared" si="16"/>
      </c>
      <c r="AC35" s="608">
        <f t="shared" si="14"/>
      </c>
      <c r="AD35" s="554"/>
    </row>
    <row r="36" spans="1:30" s="542" customFormat="1" ht="16.5" customHeight="1">
      <c r="A36" s="541"/>
      <c r="B36" s="553"/>
      <c r="C36" s="636"/>
      <c r="D36" s="636"/>
      <c r="E36" s="636"/>
      <c r="F36" s="501"/>
      <c r="G36" s="500"/>
      <c r="H36" s="637"/>
      <c r="I36" s="638"/>
      <c r="J36" s="268">
        <f t="shared" si="0"/>
        <v>0</v>
      </c>
      <c r="K36" s="640"/>
      <c r="L36" s="640"/>
      <c r="M36" s="26">
        <f t="shared" si="1"/>
      </c>
      <c r="N36" s="27">
        <f t="shared" si="2"/>
      </c>
      <c r="O36" s="641"/>
      <c r="P36" s="25">
        <f t="shared" si="3"/>
      </c>
      <c r="Q36" s="703">
        <f t="shared" si="4"/>
      </c>
      <c r="R36" s="25">
        <f t="shared" si="15"/>
      </c>
      <c r="S36" s="338">
        <f t="shared" si="5"/>
        <v>3</v>
      </c>
      <c r="T36" s="704" t="str">
        <f t="shared" si="6"/>
        <v>--</v>
      </c>
      <c r="U36" s="705" t="str">
        <f t="shared" si="7"/>
        <v>--</v>
      </c>
      <c r="V36" s="357" t="str">
        <f t="shared" si="8"/>
        <v>--</v>
      </c>
      <c r="W36" s="358" t="str">
        <f t="shared" si="9"/>
        <v>--</v>
      </c>
      <c r="X36" s="366" t="str">
        <f t="shared" si="10"/>
        <v>--</v>
      </c>
      <c r="Y36" s="367" t="str">
        <f t="shared" si="11"/>
        <v>--</v>
      </c>
      <c r="Z36" s="372" t="str">
        <f t="shared" si="12"/>
        <v>--</v>
      </c>
      <c r="AA36" s="378" t="str">
        <f t="shared" si="13"/>
        <v>--</v>
      </c>
      <c r="AB36" s="25">
        <f t="shared" si="16"/>
      </c>
      <c r="AC36" s="608">
        <f t="shared" si="14"/>
      </c>
      <c r="AD36" s="554"/>
    </row>
    <row r="37" spans="1:30" s="542" customFormat="1" ht="16.5" customHeight="1">
      <c r="A37" s="541"/>
      <c r="B37" s="553"/>
      <c r="C37" s="636"/>
      <c r="D37" s="636"/>
      <c r="E37" s="636"/>
      <c r="F37" s="501"/>
      <c r="G37" s="500"/>
      <c r="H37" s="637"/>
      <c r="I37" s="638"/>
      <c r="J37" s="268">
        <f t="shared" si="0"/>
        <v>0</v>
      </c>
      <c r="K37" s="640"/>
      <c r="L37" s="640"/>
      <c r="M37" s="26">
        <f t="shared" si="1"/>
      </c>
      <c r="N37" s="27">
        <f t="shared" si="2"/>
      </c>
      <c r="O37" s="641"/>
      <c r="P37" s="25">
        <f t="shared" si="3"/>
      </c>
      <c r="Q37" s="703">
        <f t="shared" si="4"/>
      </c>
      <c r="R37" s="25">
        <f t="shared" si="15"/>
      </c>
      <c r="S37" s="338">
        <f t="shared" si="5"/>
        <v>3</v>
      </c>
      <c r="T37" s="704" t="str">
        <f t="shared" si="6"/>
        <v>--</v>
      </c>
      <c r="U37" s="705" t="str">
        <f t="shared" si="7"/>
        <v>--</v>
      </c>
      <c r="V37" s="357" t="str">
        <f t="shared" si="8"/>
        <v>--</v>
      </c>
      <c r="W37" s="358" t="str">
        <f t="shared" si="9"/>
        <v>--</v>
      </c>
      <c r="X37" s="366" t="str">
        <f t="shared" si="10"/>
        <v>--</v>
      </c>
      <c r="Y37" s="367" t="str">
        <f t="shared" si="11"/>
        <v>--</v>
      </c>
      <c r="Z37" s="372" t="str">
        <f t="shared" si="12"/>
        <v>--</v>
      </c>
      <c r="AA37" s="378" t="str">
        <f t="shared" si="13"/>
        <v>--</v>
      </c>
      <c r="AB37" s="25">
        <f t="shared" si="16"/>
      </c>
      <c r="AC37" s="608">
        <f t="shared" si="14"/>
      </c>
      <c r="AD37" s="554"/>
    </row>
    <row r="38" spans="1:30" s="542" customFormat="1" ht="16.5" customHeight="1">
      <c r="A38" s="541"/>
      <c r="B38" s="553"/>
      <c r="C38" s="636"/>
      <c r="D38" s="636"/>
      <c r="E38" s="636"/>
      <c r="F38" s="501"/>
      <c r="G38" s="500"/>
      <c r="H38" s="637"/>
      <c r="I38" s="638"/>
      <c r="J38" s="268">
        <f t="shared" si="0"/>
        <v>0</v>
      </c>
      <c r="K38" s="640"/>
      <c r="L38" s="640"/>
      <c r="M38" s="26">
        <f t="shared" si="1"/>
      </c>
      <c r="N38" s="27">
        <f t="shared" si="2"/>
      </c>
      <c r="O38" s="641"/>
      <c r="P38" s="25">
        <f t="shared" si="3"/>
      </c>
      <c r="Q38" s="703">
        <f t="shared" si="4"/>
      </c>
      <c r="R38" s="25">
        <f t="shared" si="15"/>
      </c>
      <c r="S38" s="338">
        <f t="shared" si="5"/>
        <v>3</v>
      </c>
      <c r="T38" s="704" t="str">
        <f t="shared" si="6"/>
        <v>--</v>
      </c>
      <c r="U38" s="705" t="str">
        <f t="shared" si="7"/>
        <v>--</v>
      </c>
      <c r="V38" s="357" t="str">
        <f t="shared" si="8"/>
        <v>--</v>
      </c>
      <c r="W38" s="358" t="str">
        <f t="shared" si="9"/>
        <v>--</v>
      </c>
      <c r="X38" s="366" t="str">
        <f t="shared" si="10"/>
        <v>--</v>
      </c>
      <c r="Y38" s="367" t="str">
        <f t="shared" si="11"/>
        <v>--</v>
      </c>
      <c r="Z38" s="372" t="str">
        <f t="shared" si="12"/>
        <v>--</v>
      </c>
      <c r="AA38" s="378" t="str">
        <f t="shared" si="13"/>
        <v>--</v>
      </c>
      <c r="AB38" s="25">
        <f t="shared" si="16"/>
      </c>
      <c r="AC38" s="608">
        <f t="shared" si="14"/>
      </c>
      <c r="AD38" s="554"/>
    </row>
    <row r="39" spans="1:30" s="542" customFormat="1" ht="16.5" customHeight="1">
      <c r="A39" s="541"/>
      <c r="B39" s="553"/>
      <c r="C39" s="636"/>
      <c r="D39" s="636"/>
      <c r="E39" s="636"/>
      <c r="F39" s="501"/>
      <c r="G39" s="500"/>
      <c r="H39" s="637"/>
      <c r="I39" s="638"/>
      <c r="J39" s="268">
        <f t="shared" si="0"/>
        <v>0</v>
      </c>
      <c r="K39" s="640"/>
      <c r="L39" s="640"/>
      <c r="M39" s="26">
        <f t="shared" si="1"/>
      </c>
      <c r="N39" s="27">
        <f t="shared" si="2"/>
      </c>
      <c r="O39" s="641"/>
      <c r="P39" s="25">
        <f t="shared" si="3"/>
      </c>
      <c r="Q39" s="703">
        <f t="shared" si="4"/>
      </c>
      <c r="R39" s="25">
        <f t="shared" si="15"/>
      </c>
      <c r="S39" s="338">
        <f t="shared" si="5"/>
        <v>3</v>
      </c>
      <c r="T39" s="704" t="str">
        <f t="shared" si="6"/>
        <v>--</v>
      </c>
      <c r="U39" s="705" t="str">
        <f t="shared" si="7"/>
        <v>--</v>
      </c>
      <c r="V39" s="357" t="str">
        <f t="shared" si="8"/>
        <v>--</v>
      </c>
      <c r="W39" s="358" t="str">
        <f t="shared" si="9"/>
        <v>--</v>
      </c>
      <c r="X39" s="366" t="str">
        <f t="shared" si="10"/>
        <v>--</v>
      </c>
      <c r="Y39" s="367" t="str">
        <f t="shared" si="11"/>
        <v>--</v>
      </c>
      <c r="Z39" s="372" t="str">
        <f t="shared" si="12"/>
        <v>--</v>
      </c>
      <c r="AA39" s="378" t="str">
        <f t="shared" si="13"/>
        <v>--</v>
      </c>
      <c r="AB39" s="25">
        <f t="shared" si="16"/>
      </c>
      <c r="AC39" s="608">
        <f t="shared" si="14"/>
      </c>
      <c r="AD39" s="554"/>
    </row>
    <row r="40" spans="1:30" s="542" customFormat="1" ht="16.5" customHeight="1">
      <c r="A40" s="541"/>
      <c r="B40" s="553"/>
      <c r="C40" s="636"/>
      <c r="D40" s="636"/>
      <c r="E40" s="636"/>
      <c r="F40" s="501"/>
      <c r="G40" s="500"/>
      <c r="H40" s="637"/>
      <c r="I40" s="638"/>
      <c r="J40" s="268">
        <f>H40*$I$18</f>
        <v>0</v>
      </c>
      <c r="K40" s="640"/>
      <c r="L40" s="640"/>
      <c r="M40" s="26">
        <f>IF(F40="","",(L40-K40)*24)</f>
      </c>
      <c r="N40" s="27">
        <f>IF(F40="","",ROUND((L40-K40)*24*60,0))</f>
      </c>
      <c r="O40" s="641"/>
      <c r="P40" s="25">
        <f t="shared" si="3"/>
      </c>
      <c r="Q40" s="703">
        <f t="shared" si="4"/>
      </c>
      <c r="R40" s="25">
        <f t="shared" si="15"/>
      </c>
      <c r="S40" s="338">
        <f>$I$19*IF(OR(O40="P",O40="RP"),0.1,1)*IF(R40="SI",1,0.1)</f>
        <v>3</v>
      </c>
      <c r="T40" s="704" t="str">
        <f>IF(O40="P",J40*S40*ROUND(N40/60,2),"--")</f>
        <v>--</v>
      </c>
      <c r="U40" s="705" t="str">
        <f>IF(O40="RP",J40*S40*ROUND(N40/60,2)*Q40/100,"--")</f>
        <v>--</v>
      </c>
      <c r="V40" s="357" t="str">
        <f>IF(AND(O40="F",P40="NO"),J40*S40,"--")</f>
        <v>--</v>
      </c>
      <c r="W40" s="358" t="str">
        <f>IF(O40="F",J40*S40*ROUND(N40/60,2),"--")</f>
        <v>--</v>
      </c>
      <c r="X40" s="366" t="str">
        <f>IF(AND(O40="R",P40="NO"),J40*S40*Q40/100,"--")</f>
        <v>--</v>
      </c>
      <c r="Y40" s="367" t="str">
        <f>IF(O40="R",J40*S40*ROUND(N40/60,2)*Q40/100,"--")</f>
        <v>--</v>
      </c>
      <c r="Z40" s="372" t="str">
        <f>IF(O40="RF",J40*S40*ROUND(N40/60,2),"--")</f>
        <v>--</v>
      </c>
      <c r="AA40" s="378" t="str">
        <f>IF(O40="RR",J40*S40*ROUND(N40/60,2)*Q40/100,"--")</f>
        <v>--</v>
      </c>
      <c r="AB40" s="25">
        <f>IF(F40="","","SI")</f>
      </c>
      <c r="AC40" s="608">
        <f>IF(F40="","",SUM(T40:AA40)*IF(AB40="SI",1,2))</f>
      </c>
      <c r="AD40" s="554"/>
    </row>
    <row r="41" spans="1:30" s="542" customFormat="1" ht="16.5" customHeight="1">
      <c r="A41" s="541"/>
      <c r="B41" s="553"/>
      <c r="C41" s="636"/>
      <c r="D41" s="636"/>
      <c r="E41" s="636"/>
      <c r="F41" s="501"/>
      <c r="G41" s="500"/>
      <c r="H41" s="637"/>
      <c r="I41" s="638"/>
      <c r="J41" s="268">
        <f>H41*$I$18</f>
        <v>0</v>
      </c>
      <c r="K41" s="640"/>
      <c r="L41" s="640"/>
      <c r="M41" s="26">
        <f>IF(F41="","",(L41-K41)*24)</f>
      </c>
      <c r="N41" s="27">
        <f>IF(F41="","",ROUND((L41-K41)*24*60,0))</f>
      </c>
      <c r="O41" s="641"/>
      <c r="P41" s="25">
        <f t="shared" si="3"/>
      </c>
      <c r="Q41" s="703">
        <f t="shared" si="4"/>
      </c>
      <c r="R41" s="25">
        <f t="shared" si="15"/>
      </c>
      <c r="S41" s="338">
        <f>$I$19*IF(OR(O41="P",O41="RP"),0.1,1)*IF(R41="SI",1,0.1)</f>
        <v>3</v>
      </c>
      <c r="T41" s="704" t="str">
        <f>IF(O41="P",J41*S41*ROUND(N41/60,2),"--")</f>
        <v>--</v>
      </c>
      <c r="U41" s="705" t="str">
        <f>IF(O41="RP",J41*S41*ROUND(N41/60,2)*Q41/100,"--")</f>
        <v>--</v>
      </c>
      <c r="V41" s="357" t="str">
        <f>IF(AND(O41="F",P41="NO"),J41*S41,"--")</f>
        <v>--</v>
      </c>
      <c r="W41" s="358" t="str">
        <f>IF(O41="F",J41*S41*ROUND(N41/60,2),"--")</f>
        <v>--</v>
      </c>
      <c r="X41" s="366" t="str">
        <f>IF(AND(O41="R",P41="NO"),J41*S41*Q41/100,"--")</f>
        <v>--</v>
      </c>
      <c r="Y41" s="367" t="str">
        <f>IF(O41="R",J41*S41*ROUND(N41/60,2)*Q41/100,"--")</f>
        <v>--</v>
      </c>
      <c r="Z41" s="372" t="str">
        <f>IF(O41="RF",J41*S41*ROUND(N41/60,2),"--")</f>
        <v>--</v>
      </c>
      <c r="AA41" s="378" t="str">
        <f>IF(O41="RR",J41*S41*ROUND(N41/60,2)*Q41/100,"--")</f>
        <v>--</v>
      </c>
      <c r="AB41" s="25">
        <f>IF(F41="","","SI")</f>
      </c>
      <c r="AC41" s="608">
        <f>IF(F41="","",SUM(T41:AA41)*IF(AB41="SI",1,2))</f>
      </c>
      <c r="AD41" s="554"/>
    </row>
    <row r="42" spans="1:30" s="542" customFormat="1" ht="16.5" customHeight="1">
      <c r="A42" s="541"/>
      <c r="B42" s="553"/>
      <c r="C42" s="636"/>
      <c r="D42" s="636"/>
      <c r="E42" s="636"/>
      <c r="F42" s="501"/>
      <c r="G42" s="500"/>
      <c r="H42" s="637"/>
      <c r="I42" s="638"/>
      <c r="J42" s="268">
        <f>H42*$I$18</f>
        <v>0</v>
      </c>
      <c r="K42" s="640"/>
      <c r="L42" s="640"/>
      <c r="M42" s="26">
        <f>IF(F42="","",(L42-K42)*24)</f>
      </c>
      <c r="N42" s="27">
        <f>IF(F42="","",ROUND((L42-K42)*24*60,0))</f>
      </c>
      <c r="O42" s="641"/>
      <c r="P42" s="25">
        <f t="shared" si="3"/>
      </c>
      <c r="Q42" s="703">
        <f t="shared" si="4"/>
      </c>
      <c r="R42" s="25">
        <f t="shared" si="15"/>
      </c>
      <c r="S42" s="338">
        <f>$I$19*IF(OR(O42="P",O42="RP"),0.1,1)*IF(R42="SI",1,0.1)</f>
        <v>3</v>
      </c>
      <c r="T42" s="704" t="str">
        <f>IF(O42="P",J42*S42*ROUND(N42/60,2),"--")</f>
        <v>--</v>
      </c>
      <c r="U42" s="705" t="str">
        <f>IF(O42="RP",J42*S42*ROUND(N42/60,2)*Q42/100,"--")</f>
        <v>--</v>
      </c>
      <c r="V42" s="357" t="str">
        <f>IF(AND(O42="F",P42="NO"),J42*S42,"--")</f>
        <v>--</v>
      </c>
      <c r="W42" s="358" t="str">
        <f>IF(O42="F",J42*S42*ROUND(N42/60,2),"--")</f>
        <v>--</v>
      </c>
      <c r="X42" s="366" t="str">
        <f>IF(AND(O42="R",P42="NO"),J42*S42*Q42/100,"--")</f>
        <v>--</v>
      </c>
      <c r="Y42" s="367" t="str">
        <f>IF(O42="R",J42*S42*ROUND(N42/60,2)*Q42/100,"--")</f>
        <v>--</v>
      </c>
      <c r="Z42" s="372" t="str">
        <f>IF(O42="RF",J42*S42*ROUND(N42/60,2),"--")</f>
        <v>--</v>
      </c>
      <c r="AA42" s="378" t="str">
        <f>IF(O42="RR",J42*S42*ROUND(N42/60,2)*Q42/100,"--")</f>
        <v>--</v>
      </c>
      <c r="AB42" s="25">
        <f>IF(F42="","","SI")</f>
      </c>
      <c r="AC42" s="608">
        <f>IF(F42="","",SUM(T42:AA42)*IF(AB42="SI",1,2))</f>
      </c>
      <c r="AD42" s="554"/>
    </row>
    <row r="43" spans="1:30" s="542" customFormat="1" ht="16.5" customHeight="1">
      <c r="A43" s="541"/>
      <c r="B43" s="553"/>
      <c r="C43" s="636"/>
      <c r="D43" s="636"/>
      <c r="E43" s="636"/>
      <c r="F43" s="501"/>
      <c r="G43" s="500"/>
      <c r="H43" s="637"/>
      <c r="I43" s="638"/>
      <c r="J43" s="268">
        <f>H43*$I$18</f>
        <v>0</v>
      </c>
      <c r="K43" s="640"/>
      <c r="L43" s="640"/>
      <c r="M43" s="26">
        <f>IF(F43="","",(L43-K43)*24)</f>
      </c>
      <c r="N43" s="27">
        <f>IF(F43="","",ROUND((L43-K43)*24*60,0))</f>
      </c>
      <c r="O43" s="641"/>
      <c r="P43" s="25">
        <f t="shared" si="3"/>
      </c>
      <c r="Q43" s="703">
        <f t="shared" si="4"/>
      </c>
      <c r="R43" s="25">
        <f t="shared" si="15"/>
      </c>
      <c r="S43" s="338">
        <f>$I$19*IF(OR(O43="P",O43="RP"),0.1,1)*IF(R43="SI",1,0.1)</f>
        <v>3</v>
      </c>
      <c r="T43" s="704" t="str">
        <f>IF(O43="P",J43*S43*ROUND(N43/60,2),"--")</f>
        <v>--</v>
      </c>
      <c r="U43" s="705" t="str">
        <f>IF(O43="RP",J43*S43*ROUND(N43/60,2)*Q43/100,"--")</f>
        <v>--</v>
      </c>
      <c r="V43" s="357" t="str">
        <f>IF(AND(O43="F",P43="NO"),J43*S43,"--")</f>
        <v>--</v>
      </c>
      <c r="W43" s="358" t="str">
        <f>IF(O43="F",J43*S43*ROUND(N43/60,2),"--")</f>
        <v>--</v>
      </c>
      <c r="X43" s="366" t="str">
        <f>IF(AND(O43="R",P43="NO"),J43*S43*Q43/100,"--")</f>
        <v>--</v>
      </c>
      <c r="Y43" s="367" t="str">
        <f>IF(O43="R",J43*S43*ROUND(N43/60,2)*Q43/100,"--")</f>
        <v>--</v>
      </c>
      <c r="Z43" s="372" t="str">
        <f>IF(O43="RF",J43*S43*ROUND(N43/60,2),"--")</f>
        <v>--</v>
      </c>
      <c r="AA43" s="378" t="str">
        <f>IF(O43="RR",J43*S43*ROUND(N43/60,2)*Q43/100,"--")</f>
        <v>--</v>
      </c>
      <c r="AB43" s="25">
        <f>IF(F43="","","SI")</f>
      </c>
      <c r="AC43" s="608">
        <f>IF(F43="","",SUM(T43:AA43)*IF(AB43="SI",1,2))</f>
      </c>
      <c r="AD43" s="554"/>
    </row>
    <row r="44" spans="1:30" s="542" customFormat="1" ht="16.5" customHeight="1" thickBot="1">
      <c r="A44" s="541"/>
      <c r="B44" s="553"/>
      <c r="C44" s="639"/>
      <c r="D44" s="639"/>
      <c r="E44" s="639"/>
      <c r="F44" s="639"/>
      <c r="G44" s="639"/>
      <c r="H44" s="639"/>
      <c r="I44" s="639"/>
      <c r="J44" s="611"/>
      <c r="K44" s="639"/>
      <c r="L44" s="639"/>
      <c r="M44" s="610"/>
      <c r="N44" s="610"/>
      <c r="O44" s="639"/>
      <c r="P44" s="639"/>
      <c r="Q44" s="639"/>
      <c r="R44" s="639"/>
      <c r="S44" s="642"/>
      <c r="T44" s="643"/>
      <c r="U44" s="644"/>
      <c r="V44" s="645"/>
      <c r="W44" s="646"/>
      <c r="X44" s="647"/>
      <c r="Y44" s="648"/>
      <c r="Z44" s="649"/>
      <c r="AA44" s="650"/>
      <c r="AB44" s="639"/>
      <c r="AC44" s="612"/>
      <c r="AD44" s="554"/>
    </row>
    <row r="45" spans="1:30" s="542" customFormat="1" ht="16.5" customHeight="1" thickBot="1" thickTop="1">
      <c r="A45" s="541"/>
      <c r="B45" s="553"/>
      <c r="C45" s="613" t="s">
        <v>64</v>
      </c>
      <c r="D45" s="723" t="s">
        <v>179</v>
      </c>
      <c r="E45" s="246"/>
      <c r="F45" s="241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614">
        <f aca="true" t="shared" si="17" ref="T45:AA45">SUM(T22:T44)</f>
        <v>103.311</v>
      </c>
      <c r="U45" s="615">
        <f t="shared" si="17"/>
        <v>0</v>
      </c>
      <c r="V45" s="616">
        <f t="shared" si="17"/>
        <v>0</v>
      </c>
      <c r="W45" s="616">
        <f t="shared" si="17"/>
        <v>0</v>
      </c>
      <c r="X45" s="617">
        <f t="shared" si="17"/>
        <v>0</v>
      </c>
      <c r="Y45" s="617">
        <f t="shared" si="17"/>
        <v>0</v>
      </c>
      <c r="Z45" s="618">
        <f t="shared" si="17"/>
        <v>0</v>
      </c>
      <c r="AA45" s="619">
        <f t="shared" si="17"/>
        <v>0</v>
      </c>
      <c r="AB45" s="620"/>
      <c r="AC45" s="621">
        <f>ROUND(SUM(AC22:AC44),2)</f>
        <v>103.31</v>
      </c>
      <c r="AD45" s="554"/>
    </row>
    <row r="46" spans="1:30" s="629" customFormat="1" ht="9.75" thickTop="1">
      <c r="A46" s="622"/>
      <c r="B46" s="623"/>
      <c r="C46" s="624"/>
      <c r="D46" s="624"/>
      <c r="E46" s="624"/>
      <c r="F46" s="243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6"/>
      <c r="U46" s="626"/>
      <c r="V46" s="626"/>
      <c r="W46" s="626"/>
      <c r="X46" s="626"/>
      <c r="Y46" s="626"/>
      <c r="Z46" s="626"/>
      <c r="AA46" s="626"/>
      <c r="AB46" s="625"/>
      <c r="AC46" s="627"/>
      <c r="AD46" s="628"/>
    </row>
    <row r="47" spans="1:30" s="542" customFormat="1" ht="16.5" customHeight="1" thickBot="1">
      <c r="A47" s="541"/>
      <c r="B47" s="630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2"/>
    </row>
    <row r="48" spans="2:30" ht="16.5" customHeight="1" thickTop="1"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52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497"/>
    </row>
    <row r="2" spans="2:30" s="109" customFormat="1" ht="26.25">
      <c r="B2" s="110" t="str">
        <f>+'TOT-0114'!B2</f>
        <v>ANEXO I al Memorándum  D.T.E.E.  N°        34   / 2014.-</v>
      </c>
      <c r="C2" s="111"/>
      <c r="D2" s="111"/>
      <c r="E2" s="169"/>
      <c r="F2" s="169"/>
      <c r="G2" s="11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5:30" s="10" customFormat="1" ht="12.75"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0" s="112" customFormat="1" ht="11.25">
      <c r="A4" s="689" t="s">
        <v>17</v>
      </c>
      <c r="C4" s="688"/>
      <c r="D4" s="688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s="112" customFormat="1" ht="11.25">
      <c r="A5" s="689" t="s">
        <v>147</v>
      </c>
      <c r="C5" s="688"/>
      <c r="D5" s="688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0" customFormat="1" ht="13.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s="10" customFormat="1" ht="13.5" thickTop="1">
      <c r="A7" s="167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114" customFormat="1" ht="20.25">
      <c r="A8" s="187"/>
      <c r="B8" s="188"/>
      <c r="C8" s="175"/>
      <c r="D8" s="175"/>
      <c r="E8" s="175"/>
      <c r="F8" s="21" t="s">
        <v>40</v>
      </c>
      <c r="H8" s="175"/>
      <c r="I8" s="187"/>
      <c r="J8" s="187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9"/>
    </row>
    <row r="9" spans="1:30" s="114" customFormat="1" ht="7.5" customHeight="1">
      <c r="A9" s="187"/>
      <c r="B9" s="188"/>
      <c r="C9" s="175"/>
      <c r="D9" s="175"/>
      <c r="E9" s="175"/>
      <c r="F9" s="21"/>
      <c r="H9" s="175"/>
      <c r="I9" s="187"/>
      <c r="J9" s="187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89"/>
    </row>
    <row r="10" spans="1:30" s="10" customFormat="1" ht="7.5" customHeight="1">
      <c r="A10" s="167"/>
      <c r="B10" s="173"/>
      <c r="C10" s="30"/>
      <c r="D10" s="30"/>
      <c r="E10" s="30"/>
      <c r="F10" s="30"/>
      <c r="G10" s="30"/>
      <c r="H10" s="30"/>
      <c r="I10" s="16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7"/>
      <c r="B11" s="188"/>
      <c r="C11" s="175"/>
      <c r="D11" s="175"/>
      <c r="E11" s="175"/>
      <c r="F11" s="216" t="s">
        <v>81</v>
      </c>
      <c r="G11" s="175"/>
      <c r="H11" s="175"/>
      <c r="I11" s="187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89"/>
    </row>
    <row r="12" spans="1:30" s="114" customFormat="1" ht="8.25" customHeight="1">
      <c r="A12" s="187"/>
      <c r="B12" s="188"/>
      <c r="C12" s="175"/>
      <c r="D12" s="175"/>
      <c r="E12" s="175"/>
      <c r="F12" s="216"/>
      <c r="G12" s="175"/>
      <c r="H12" s="175"/>
      <c r="I12" s="187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89"/>
    </row>
    <row r="13" spans="1:30" s="10" customFormat="1" ht="8.25" customHeight="1">
      <c r="A13" s="167"/>
      <c r="B13" s="173"/>
      <c r="C13" s="30"/>
      <c r="D13" s="30"/>
      <c r="E13" s="30"/>
      <c r="F13" s="123"/>
      <c r="G13" s="177"/>
      <c r="H13" s="177"/>
      <c r="I13" s="178"/>
      <c r="J13" s="17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3"/>
      <c r="B14" s="87" t="str">
        <f>+'TOT-0114'!B14</f>
        <v>Desde el 01 al 31 de enero de 2014</v>
      </c>
      <c r="C14" s="194"/>
      <c r="D14" s="194"/>
      <c r="E14" s="194"/>
      <c r="F14" s="194"/>
      <c r="G14" s="194"/>
      <c r="H14" s="194"/>
      <c r="I14" s="195"/>
      <c r="J14" s="194"/>
      <c r="K14" s="118"/>
      <c r="L14" s="11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6"/>
    </row>
    <row r="15" spans="1:30" s="95" customFormat="1" ht="8.25" customHeight="1">
      <c r="A15" s="91"/>
      <c r="B15" s="92"/>
      <c r="C15" s="91"/>
      <c r="D15" s="91"/>
      <c r="E15" s="91"/>
      <c r="F15" s="678"/>
      <c r="G15" s="679"/>
      <c r="H15" s="680"/>
      <c r="I15" s="91"/>
      <c r="K15" s="97"/>
      <c r="L15" s="98"/>
      <c r="M15" s="236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7"/>
      <c r="B16" s="173"/>
      <c r="C16" s="30"/>
      <c r="D16" s="30"/>
      <c r="E16" s="30"/>
      <c r="F16" s="30"/>
      <c r="G16" s="30"/>
      <c r="H16" s="30"/>
      <c r="I16" s="74"/>
      <c r="J16" s="30"/>
      <c r="K16" s="184"/>
      <c r="L16" s="18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7"/>
      <c r="B17" s="173"/>
      <c r="C17" s="30"/>
      <c r="D17" s="30"/>
      <c r="E17" s="30"/>
      <c r="F17" s="197" t="s">
        <v>68</v>
      </c>
      <c r="G17" s="198"/>
      <c r="H17" s="199"/>
      <c r="I17" s="569">
        <v>0.975</v>
      </c>
      <c r="J17" s="16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7"/>
      <c r="B18" s="173"/>
      <c r="C18" s="30"/>
      <c r="D18" s="30"/>
      <c r="E18" s="30"/>
      <c r="F18" s="200" t="s">
        <v>69</v>
      </c>
      <c r="G18" s="201"/>
      <c r="H18" s="201"/>
      <c r="I18" s="202">
        <f>30*'TOT-0114'!B13</f>
        <v>30</v>
      </c>
      <c r="J18" s="30"/>
      <c r="K18" s="236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79"/>
      <c r="X18" s="179"/>
      <c r="Y18" s="179"/>
      <c r="Z18" s="179"/>
      <c r="AA18" s="179"/>
      <c r="AB18" s="179"/>
      <c r="AC18" s="179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8"/>
      <c r="G19" s="679"/>
      <c r="H19" s="680"/>
      <c r="I19" s="91"/>
      <c r="K19" s="97"/>
      <c r="L19" s="98"/>
      <c r="M19" s="23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12" customFormat="1" ht="15" customHeight="1" thickBot="1">
      <c r="A20" s="718"/>
      <c r="B20" s="719"/>
      <c r="C20" s="720">
        <v>3</v>
      </c>
      <c r="D20" s="720">
        <v>4</v>
      </c>
      <c r="E20" s="720">
        <v>5</v>
      </c>
      <c r="F20" s="720">
        <v>6</v>
      </c>
      <c r="G20" s="720">
        <v>7</v>
      </c>
      <c r="H20" s="720">
        <v>8</v>
      </c>
      <c r="I20" s="720">
        <v>9</v>
      </c>
      <c r="J20" s="720">
        <v>10</v>
      </c>
      <c r="K20" s="720">
        <v>11</v>
      </c>
      <c r="L20" s="720">
        <v>12</v>
      </c>
      <c r="M20" s="720">
        <v>13</v>
      </c>
      <c r="N20" s="720">
        <v>14</v>
      </c>
      <c r="O20" s="720">
        <v>15</v>
      </c>
      <c r="P20" s="720">
        <v>16</v>
      </c>
      <c r="Q20" s="720">
        <v>17</v>
      </c>
      <c r="R20" s="720">
        <v>18</v>
      </c>
      <c r="S20" s="720">
        <v>19</v>
      </c>
      <c r="T20" s="720">
        <v>20</v>
      </c>
      <c r="U20" s="720">
        <v>21</v>
      </c>
      <c r="V20" s="720">
        <v>22</v>
      </c>
      <c r="W20" s="720">
        <v>23</v>
      </c>
      <c r="X20" s="720">
        <v>24</v>
      </c>
      <c r="Y20" s="720">
        <v>25</v>
      </c>
      <c r="Z20" s="720">
        <v>26</v>
      </c>
      <c r="AA20" s="720">
        <v>27</v>
      </c>
      <c r="AB20" s="720">
        <v>28</v>
      </c>
      <c r="AC20" s="720">
        <v>29</v>
      </c>
      <c r="AD20" s="721"/>
    </row>
    <row r="21" spans="1:30" s="108" customFormat="1" ht="33.75" customHeight="1" thickBot="1" thickTop="1">
      <c r="A21" s="203"/>
      <c r="B21" s="204"/>
      <c r="C21" s="206" t="s">
        <v>46</v>
      </c>
      <c r="D21" s="101" t="s">
        <v>146</v>
      </c>
      <c r="E21" s="101" t="s">
        <v>145</v>
      </c>
      <c r="F21" s="211" t="s">
        <v>70</v>
      </c>
      <c r="G21" s="207" t="s">
        <v>15</v>
      </c>
      <c r="H21" s="208" t="s">
        <v>71</v>
      </c>
      <c r="I21" s="209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321" t="s">
        <v>56</v>
      </c>
      <c r="U21" s="345" t="s">
        <v>57</v>
      </c>
      <c r="V21" s="351" t="s">
        <v>80</v>
      </c>
      <c r="W21" s="352"/>
      <c r="X21" s="360" t="s">
        <v>80</v>
      </c>
      <c r="Y21" s="361"/>
      <c r="Z21" s="369" t="s">
        <v>60</v>
      </c>
      <c r="AA21" s="375" t="s">
        <v>61</v>
      </c>
      <c r="AB21" s="209" t="s">
        <v>62</v>
      </c>
      <c r="AC21" s="209" t="s">
        <v>63</v>
      </c>
      <c r="AD21" s="205"/>
    </row>
    <row r="22" spans="1:30" s="10" customFormat="1" ht="16.5" customHeight="1" thickTop="1">
      <c r="A22" s="167"/>
      <c r="B22" s="173"/>
      <c r="C22" s="18"/>
      <c r="D22" s="18"/>
      <c r="E22" s="18"/>
      <c r="F22" s="23"/>
      <c r="G22" s="23"/>
      <c r="H22" s="23"/>
      <c r="I22" s="23"/>
      <c r="J22" s="270"/>
      <c r="K22" s="24"/>
      <c r="L22" s="23"/>
      <c r="M22" s="24"/>
      <c r="N22" s="24"/>
      <c r="O22" s="23"/>
      <c r="P22" s="23"/>
      <c r="Q22" s="23"/>
      <c r="R22" s="23"/>
      <c r="S22" s="336"/>
      <c r="T22" s="340"/>
      <c r="U22" s="346"/>
      <c r="V22" s="353"/>
      <c r="W22" s="354"/>
      <c r="X22" s="362"/>
      <c r="Y22" s="363"/>
      <c r="Z22" s="370"/>
      <c r="AA22" s="376"/>
      <c r="AB22" s="23"/>
      <c r="AC22" s="62"/>
      <c r="AD22" s="38"/>
    </row>
    <row r="23" spans="1:30" s="10" customFormat="1" ht="16.5" customHeight="1">
      <c r="A23" s="167"/>
      <c r="B23" s="173"/>
      <c r="C23" s="18"/>
      <c r="D23" s="18"/>
      <c r="E23" s="18"/>
      <c r="F23" s="19"/>
      <c r="G23" s="19"/>
      <c r="H23" s="19"/>
      <c r="I23" s="19"/>
      <c r="J23" s="271"/>
      <c r="K23" s="20"/>
      <c r="L23" s="19"/>
      <c r="M23" s="20"/>
      <c r="N23" s="20"/>
      <c r="O23" s="19"/>
      <c r="P23" s="19"/>
      <c r="Q23" s="19"/>
      <c r="R23" s="19"/>
      <c r="S23" s="337"/>
      <c r="T23" s="341"/>
      <c r="U23" s="347"/>
      <c r="V23" s="355"/>
      <c r="W23" s="356"/>
      <c r="X23" s="364"/>
      <c r="Y23" s="365"/>
      <c r="Z23" s="371"/>
      <c r="AA23" s="377"/>
      <c r="AB23" s="19"/>
      <c r="AC23" s="214"/>
      <c r="AD23" s="38"/>
    </row>
    <row r="24" spans="1:30" s="10" customFormat="1" ht="16.5" customHeight="1">
      <c r="A24" s="167"/>
      <c r="B24" s="173"/>
      <c r="C24" s="636">
        <v>8</v>
      </c>
      <c r="D24" s="636">
        <v>270075</v>
      </c>
      <c r="E24" s="636">
        <v>1812</v>
      </c>
      <c r="F24" s="501" t="s">
        <v>14</v>
      </c>
      <c r="G24" s="500" t="s">
        <v>163</v>
      </c>
      <c r="H24" s="637">
        <v>15</v>
      </c>
      <c r="I24" s="683" t="s">
        <v>157</v>
      </c>
      <c r="J24" s="268">
        <f aca="true" t="shared" si="0" ref="J24:J43">H24*$I$17</f>
        <v>14.625</v>
      </c>
      <c r="K24" s="640">
        <v>41642.294444444444</v>
      </c>
      <c r="L24" s="640">
        <v>41642.35555555556</v>
      </c>
      <c r="M24" s="26">
        <f aca="true" t="shared" si="1" ref="M24:M43">IF(F24="","",(L24-K24)*24)</f>
        <v>1.4666666667326353</v>
      </c>
      <c r="N24" s="27">
        <f aca="true" t="shared" si="2" ref="N24:N43">IF(F24="","",ROUND((L24-K24)*24*60,0))</f>
        <v>88</v>
      </c>
      <c r="O24" s="641" t="s">
        <v>164</v>
      </c>
      <c r="P24" s="25" t="str">
        <f>IF(F24="","",IF(OR(O24="P",O24="RP"),"--","NO"))</f>
        <v>--</v>
      </c>
      <c r="Q24" s="703">
        <v>60</v>
      </c>
      <c r="R24" s="25" t="str">
        <f aca="true" t="shared" si="3" ref="R24:R43">IF(F24="","","NO")</f>
        <v>NO</v>
      </c>
      <c r="S24" s="338">
        <f aca="true" t="shared" si="4" ref="S24:S43">$I$18*IF(OR(O24="P",O24="RP"),0.1,1)*IF(R24="SI",1,0.1)</f>
        <v>0.30000000000000004</v>
      </c>
      <c r="T24" s="342" t="str">
        <f aca="true" t="shared" si="5" ref="T24:T43">IF(O24="P",J24*S24*ROUND(N24/60,2),"--")</f>
        <v>--</v>
      </c>
      <c r="U24" s="348">
        <f aca="true" t="shared" si="6" ref="U24:U43">IF(O24="RP",J24*S24*ROUND(N24/60,2)*Q24/100,"--")</f>
        <v>3.8697750000000006</v>
      </c>
      <c r="V24" s="357" t="str">
        <f aca="true" t="shared" si="7" ref="V24:V43">IF(AND(O24="F",P24="NO"),J24*S24,"--")</f>
        <v>--</v>
      </c>
      <c r="W24" s="358" t="str">
        <f aca="true" t="shared" si="8" ref="W24:W43">IF(O24="F",J24*S24*ROUND(N24/60,2),"--")</f>
        <v>--</v>
      </c>
      <c r="X24" s="366" t="str">
        <f aca="true" t="shared" si="9" ref="X24:X43">IF(AND(O24="R",P24="NO"),J24*S24*Q24/100,"--")</f>
        <v>--</v>
      </c>
      <c r="Y24" s="367" t="str">
        <f aca="true" t="shared" si="10" ref="Y24:Y43">IF(O24="R",J24*S24*ROUND(N24/60,2)*Q24/100,"--")</f>
        <v>--</v>
      </c>
      <c r="Z24" s="372" t="str">
        <f aca="true" t="shared" si="11" ref="Z24:Z43">IF(O24="RF",J24*S24*ROUND(N24/60,2),"--")</f>
        <v>--</v>
      </c>
      <c r="AA24" s="378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3.8697750000000006</v>
      </c>
      <c r="AD24" s="405"/>
    </row>
    <row r="25" spans="1:30" s="10" customFormat="1" ht="16.5" customHeight="1">
      <c r="A25" s="167"/>
      <c r="B25" s="173"/>
      <c r="C25" s="636">
        <v>9</v>
      </c>
      <c r="D25" s="636">
        <v>270375</v>
      </c>
      <c r="E25" s="636">
        <v>1806</v>
      </c>
      <c r="F25" s="501" t="s">
        <v>13</v>
      </c>
      <c r="G25" s="500" t="s">
        <v>165</v>
      </c>
      <c r="H25" s="637">
        <v>16</v>
      </c>
      <c r="I25" s="683" t="s">
        <v>166</v>
      </c>
      <c r="J25" s="268">
        <f t="shared" si="0"/>
        <v>15.6</v>
      </c>
      <c r="K25" s="640">
        <v>41648.413194444445</v>
      </c>
      <c r="L25" s="640">
        <v>41648.739583333336</v>
      </c>
      <c r="M25" s="26">
        <f t="shared" si="1"/>
        <v>7.833333333372138</v>
      </c>
      <c r="N25" s="27">
        <f t="shared" si="2"/>
        <v>470</v>
      </c>
      <c r="O25" s="641" t="s">
        <v>167</v>
      </c>
      <c r="P25" s="25" t="str">
        <f aca="true" t="shared" si="15" ref="P25:P43">IF(F25="","",IF(OR(O25="P",O25="RP"),"--","NO"))</f>
        <v>NO</v>
      </c>
      <c r="Q25" s="703" t="str">
        <f aca="true" t="shared" si="16" ref="Q25:Q43">IF(F25="","","--")</f>
        <v>--</v>
      </c>
      <c r="R25" s="25" t="str">
        <f t="shared" si="3"/>
        <v>NO</v>
      </c>
      <c r="S25" s="338">
        <f t="shared" si="4"/>
        <v>3</v>
      </c>
      <c r="T25" s="342" t="str">
        <f t="shared" si="5"/>
        <v>--</v>
      </c>
      <c r="U25" s="348" t="str">
        <f t="shared" si="6"/>
        <v>--</v>
      </c>
      <c r="V25" s="357">
        <f t="shared" si="7"/>
        <v>46.8</v>
      </c>
      <c r="W25" s="358">
        <f t="shared" si="8"/>
        <v>366.44399999999996</v>
      </c>
      <c r="X25" s="366" t="str">
        <f t="shared" si="9"/>
        <v>--</v>
      </c>
      <c r="Y25" s="367" t="str">
        <f t="shared" si="10"/>
        <v>--</v>
      </c>
      <c r="Z25" s="372" t="str">
        <f t="shared" si="11"/>
        <v>--</v>
      </c>
      <c r="AA25" s="378" t="str">
        <f t="shared" si="12"/>
        <v>--</v>
      </c>
      <c r="AB25" s="25" t="str">
        <f t="shared" si="13"/>
        <v>SI</v>
      </c>
      <c r="AC25" s="63">
        <f t="shared" si="14"/>
        <v>413.24399999999997</v>
      </c>
      <c r="AD25" s="405"/>
    </row>
    <row r="26" spans="1:30" s="10" customFormat="1" ht="16.5" customHeight="1">
      <c r="A26" s="167"/>
      <c r="B26" s="173"/>
      <c r="C26" s="636"/>
      <c r="D26" s="636"/>
      <c r="E26" s="636"/>
      <c r="F26" s="501"/>
      <c r="G26" s="500"/>
      <c r="H26" s="637"/>
      <c r="I26" s="638"/>
      <c r="J26" s="268">
        <f t="shared" si="0"/>
        <v>0</v>
      </c>
      <c r="K26" s="640"/>
      <c r="L26" s="640"/>
      <c r="M26" s="26">
        <f t="shared" si="1"/>
      </c>
      <c r="N26" s="27">
        <f t="shared" si="2"/>
      </c>
      <c r="O26" s="641"/>
      <c r="P26" s="25">
        <f t="shared" si="15"/>
      </c>
      <c r="Q26" s="703">
        <f t="shared" si="16"/>
      </c>
      <c r="R26" s="25">
        <f t="shared" si="3"/>
      </c>
      <c r="S26" s="338">
        <f t="shared" si="4"/>
        <v>3</v>
      </c>
      <c r="T26" s="342" t="str">
        <f t="shared" si="5"/>
        <v>--</v>
      </c>
      <c r="U26" s="348" t="str">
        <f t="shared" si="6"/>
        <v>--</v>
      </c>
      <c r="V26" s="357" t="str">
        <f t="shared" si="7"/>
        <v>--</v>
      </c>
      <c r="W26" s="358" t="str">
        <f t="shared" si="8"/>
        <v>--</v>
      </c>
      <c r="X26" s="366" t="str">
        <f t="shared" si="9"/>
        <v>--</v>
      </c>
      <c r="Y26" s="367" t="str">
        <f t="shared" si="10"/>
        <v>--</v>
      </c>
      <c r="Z26" s="372" t="str">
        <f t="shared" si="11"/>
        <v>--</v>
      </c>
      <c r="AA26" s="378" t="str">
        <f t="shared" si="12"/>
        <v>--</v>
      </c>
      <c r="AB26" s="25">
        <f t="shared" si="13"/>
      </c>
      <c r="AC26" s="63">
        <f t="shared" si="14"/>
      </c>
      <c r="AD26" s="405"/>
    </row>
    <row r="27" spans="1:30" s="10" customFormat="1" ht="16.5" customHeight="1">
      <c r="A27" s="167"/>
      <c r="B27" s="173"/>
      <c r="C27" s="636"/>
      <c r="D27" s="636"/>
      <c r="E27" s="636"/>
      <c r="F27" s="501"/>
      <c r="G27" s="500"/>
      <c r="H27" s="637"/>
      <c r="I27" s="638"/>
      <c r="J27" s="268">
        <f t="shared" si="0"/>
        <v>0</v>
      </c>
      <c r="K27" s="640"/>
      <c r="L27" s="640"/>
      <c r="M27" s="26">
        <f t="shared" si="1"/>
      </c>
      <c r="N27" s="27">
        <f t="shared" si="2"/>
      </c>
      <c r="O27" s="641"/>
      <c r="P27" s="25">
        <f t="shared" si="15"/>
      </c>
      <c r="Q27" s="703">
        <f t="shared" si="16"/>
      </c>
      <c r="R27" s="25">
        <f t="shared" si="3"/>
      </c>
      <c r="S27" s="338">
        <f t="shared" si="4"/>
        <v>3</v>
      </c>
      <c r="T27" s="342" t="str">
        <f t="shared" si="5"/>
        <v>--</v>
      </c>
      <c r="U27" s="348" t="str">
        <f t="shared" si="6"/>
        <v>--</v>
      </c>
      <c r="V27" s="357" t="str">
        <f t="shared" si="7"/>
        <v>--</v>
      </c>
      <c r="W27" s="358" t="str">
        <f t="shared" si="8"/>
        <v>--</v>
      </c>
      <c r="X27" s="366" t="str">
        <f t="shared" si="9"/>
        <v>--</v>
      </c>
      <c r="Y27" s="367" t="str">
        <f t="shared" si="10"/>
        <v>--</v>
      </c>
      <c r="Z27" s="372" t="str">
        <f t="shared" si="11"/>
        <v>--</v>
      </c>
      <c r="AA27" s="378" t="str">
        <f t="shared" si="12"/>
        <v>--</v>
      </c>
      <c r="AB27" s="25">
        <f t="shared" si="13"/>
      </c>
      <c r="AC27" s="63">
        <f t="shared" si="14"/>
      </c>
      <c r="AD27" s="405"/>
    </row>
    <row r="28" spans="1:30" s="10" customFormat="1" ht="16.5" customHeight="1">
      <c r="A28" s="167"/>
      <c r="B28" s="173"/>
      <c r="C28" s="636"/>
      <c r="D28" s="636"/>
      <c r="E28" s="636"/>
      <c r="F28" s="501"/>
      <c r="G28" s="500"/>
      <c r="H28" s="637"/>
      <c r="I28" s="638"/>
      <c r="J28" s="268">
        <f t="shared" si="0"/>
        <v>0</v>
      </c>
      <c r="K28" s="640"/>
      <c r="L28" s="640"/>
      <c r="M28" s="26">
        <f t="shared" si="1"/>
      </c>
      <c r="N28" s="27">
        <f t="shared" si="2"/>
      </c>
      <c r="O28" s="641"/>
      <c r="P28" s="25">
        <f t="shared" si="15"/>
      </c>
      <c r="Q28" s="703">
        <f t="shared" si="16"/>
      </c>
      <c r="R28" s="25">
        <f t="shared" si="3"/>
      </c>
      <c r="S28" s="338">
        <f t="shared" si="4"/>
        <v>3</v>
      </c>
      <c r="T28" s="342" t="str">
        <f t="shared" si="5"/>
        <v>--</v>
      </c>
      <c r="U28" s="348" t="str">
        <f t="shared" si="6"/>
        <v>--</v>
      </c>
      <c r="V28" s="357" t="str">
        <f t="shared" si="7"/>
        <v>--</v>
      </c>
      <c r="W28" s="358" t="str">
        <f t="shared" si="8"/>
        <v>--</v>
      </c>
      <c r="X28" s="366" t="str">
        <f t="shared" si="9"/>
        <v>--</v>
      </c>
      <c r="Y28" s="367" t="str">
        <f t="shared" si="10"/>
        <v>--</v>
      </c>
      <c r="Z28" s="372" t="str">
        <f t="shared" si="11"/>
        <v>--</v>
      </c>
      <c r="AA28" s="378" t="str">
        <f t="shared" si="12"/>
        <v>--</v>
      </c>
      <c r="AB28" s="25">
        <f t="shared" si="13"/>
      </c>
      <c r="AC28" s="63">
        <f t="shared" si="14"/>
      </c>
      <c r="AD28" s="405"/>
    </row>
    <row r="29" spans="1:30" s="10" customFormat="1" ht="16.5" customHeight="1">
      <c r="A29" s="167"/>
      <c r="B29" s="173"/>
      <c r="C29" s="636"/>
      <c r="D29" s="636"/>
      <c r="E29" s="636"/>
      <c r="F29" s="501"/>
      <c r="G29" s="500"/>
      <c r="H29" s="637"/>
      <c r="I29" s="638"/>
      <c r="J29" s="268">
        <f t="shared" si="0"/>
        <v>0</v>
      </c>
      <c r="K29" s="640"/>
      <c r="L29" s="640"/>
      <c r="M29" s="26">
        <f t="shared" si="1"/>
      </c>
      <c r="N29" s="27">
        <f t="shared" si="2"/>
      </c>
      <c r="O29" s="641"/>
      <c r="P29" s="25">
        <f t="shared" si="15"/>
      </c>
      <c r="Q29" s="703">
        <f t="shared" si="16"/>
      </c>
      <c r="R29" s="25">
        <f t="shared" si="3"/>
      </c>
      <c r="S29" s="338">
        <f t="shared" si="4"/>
        <v>3</v>
      </c>
      <c r="T29" s="342" t="str">
        <f t="shared" si="5"/>
        <v>--</v>
      </c>
      <c r="U29" s="348" t="str">
        <f t="shared" si="6"/>
        <v>--</v>
      </c>
      <c r="V29" s="357" t="str">
        <f t="shared" si="7"/>
        <v>--</v>
      </c>
      <c r="W29" s="358" t="str">
        <f t="shared" si="8"/>
        <v>--</v>
      </c>
      <c r="X29" s="366" t="str">
        <f t="shared" si="9"/>
        <v>--</v>
      </c>
      <c r="Y29" s="367" t="str">
        <f t="shared" si="10"/>
        <v>--</v>
      </c>
      <c r="Z29" s="372" t="str">
        <f t="shared" si="11"/>
        <v>--</v>
      </c>
      <c r="AA29" s="378" t="str">
        <f t="shared" si="12"/>
        <v>--</v>
      </c>
      <c r="AB29" s="25">
        <f t="shared" si="13"/>
      </c>
      <c r="AC29" s="63">
        <f t="shared" si="14"/>
      </c>
      <c r="AD29" s="405"/>
    </row>
    <row r="30" spans="1:30" s="10" customFormat="1" ht="16.5" customHeight="1">
      <c r="A30" s="167"/>
      <c r="B30" s="173"/>
      <c r="C30" s="636"/>
      <c r="D30" s="636"/>
      <c r="E30" s="636"/>
      <c r="F30" s="501"/>
      <c r="G30" s="500"/>
      <c r="H30" s="637"/>
      <c r="I30" s="638"/>
      <c r="J30" s="268">
        <f t="shared" si="0"/>
        <v>0</v>
      </c>
      <c r="K30" s="640"/>
      <c r="L30" s="640"/>
      <c r="M30" s="26">
        <f t="shared" si="1"/>
      </c>
      <c r="N30" s="27">
        <f t="shared" si="2"/>
      </c>
      <c r="O30" s="641"/>
      <c r="P30" s="25">
        <f t="shared" si="15"/>
      </c>
      <c r="Q30" s="703">
        <f t="shared" si="16"/>
      </c>
      <c r="R30" s="25">
        <f t="shared" si="3"/>
      </c>
      <c r="S30" s="338">
        <f t="shared" si="4"/>
        <v>3</v>
      </c>
      <c r="T30" s="342" t="str">
        <f t="shared" si="5"/>
        <v>--</v>
      </c>
      <c r="U30" s="348" t="str">
        <f t="shared" si="6"/>
        <v>--</v>
      </c>
      <c r="V30" s="357" t="str">
        <f t="shared" si="7"/>
        <v>--</v>
      </c>
      <c r="W30" s="358" t="str">
        <f t="shared" si="8"/>
        <v>--</v>
      </c>
      <c r="X30" s="366" t="str">
        <f t="shared" si="9"/>
        <v>--</v>
      </c>
      <c r="Y30" s="367" t="str">
        <f t="shared" si="10"/>
        <v>--</v>
      </c>
      <c r="Z30" s="372" t="str">
        <f t="shared" si="11"/>
        <v>--</v>
      </c>
      <c r="AA30" s="378" t="str">
        <f t="shared" si="12"/>
        <v>--</v>
      </c>
      <c r="AB30" s="25">
        <f t="shared" si="13"/>
      </c>
      <c r="AC30" s="63">
        <f t="shared" si="14"/>
      </c>
      <c r="AD30" s="38"/>
    </row>
    <row r="31" spans="1:30" s="10" customFormat="1" ht="16.5" customHeight="1">
      <c r="A31" s="167"/>
      <c r="B31" s="173"/>
      <c r="C31" s="636"/>
      <c r="D31" s="636"/>
      <c r="E31" s="636"/>
      <c r="F31" s="501"/>
      <c r="G31" s="500"/>
      <c r="H31" s="637"/>
      <c r="I31" s="638"/>
      <c r="J31" s="268">
        <f t="shared" si="0"/>
        <v>0</v>
      </c>
      <c r="K31" s="640"/>
      <c r="L31" s="640"/>
      <c r="M31" s="26">
        <f t="shared" si="1"/>
      </c>
      <c r="N31" s="27">
        <f t="shared" si="2"/>
      </c>
      <c r="O31" s="641"/>
      <c r="P31" s="25">
        <f t="shared" si="15"/>
      </c>
      <c r="Q31" s="703">
        <f t="shared" si="16"/>
      </c>
      <c r="R31" s="25">
        <f t="shared" si="3"/>
      </c>
      <c r="S31" s="338">
        <f t="shared" si="4"/>
        <v>3</v>
      </c>
      <c r="T31" s="342" t="str">
        <f t="shared" si="5"/>
        <v>--</v>
      </c>
      <c r="U31" s="348" t="str">
        <f t="shared" si="6"/>
        <v>--</v>
      </c>
      <c r="V31" s="357" t="str">
        <f t="shared" si="7"/>
        <v>--</v>
      </c>
      <c r="W31" s="358" t="str">
        <f t="shared" si="8"/>
        <v>--</v>
      </c>
      <c r="X31" s="366" t="str">
        <f t="shared" si="9"/>
        <v>--</v>
      </c>
      <c r="Y31" s="367" t="str">
        <f t="shared" si="10"/>
        <v>--</v>
      </c>
      <c r="Z31" s="372" t="str">
        <f t="shared" si="11"/>
        <v>--</v>
      </c>
      <c r="AA31" s="378" t="str">
        <f t="shared" si="12"/>
        <v>--</v>
      </c>
      <c r="AB31" s="25">
        <f t="shared" si="13"/>
      </c>
      <c r="AC31" s="63">
        <f t="shared" si="14"/>
      </c>
      <c r="AD31" s="38"/>
    </row>
    <row r="32" spans="1:30" s="10" customFormat="1" ht="16.5" customHeight="1">
      <c r="A32" s="167"/>
      <c r="B32" s="173"/>
      <c r="C32" s="636"/>
      <c r="D32" s="636"/>
      <c r="E32" s="636"/>
      <c r="F32" s="501"/>
      <c r="G32" s="500"/>
      <c r="H32" s="637"/>
      <c r="I32" s="638"/>
      <c r="J32" s="268">
        <f t="shared" si="0"/>
        <v>0</v>
      </c>
      <c r="K32" s="640"/>
      <c r="L32" s="640"/>
      <c r="M32" s="26">
        <f t="shared" si="1"/>
      </c>
      <c r="N32" s="27">
        <f t="shared" si="2"/>
      </c>
      <c r="O32" s="641"/>
      <c r="P32" s="25">
        <f t="shared" si="15"/>
      </c>
      <c r="Q32" s="703">
        <f t="shared" si="16"/>
      </c>
      <c r="R32" s="25">
        <f t="shared" si="3"/>
      </c>
      <c r="S32" s="338">
        <f t="shared" si="4"/>
        <v>3</v>
      </c>
      <c r="T32" s="342" t="str">
        <f t="shared" si="5"/>
        <v>--</v>
      </c>
      <c r="U32" s="348" t="str">
        <f t="shared" si="6"/>
        <v>--</v>
      </c>
      <c r="V32" s="357" t="str">
        <f t="shared" si="7"/>
        <v>--</v>
      </c>
      <c r="W32" s="358" t="str">
        <f t="shared" si="8"/>
        <v>--</v>
      </c>
      <c r="X32" s="366" t="str">
        <f t="shared" si="9"/>
        <v>--</v>
      </c>
      <c r="Y32" s="367" t="str">
        <f t="shared" si="10"/>
        <v>--</v>
      </c>
      <c r="Z32" s="372" t="str">
        <f t="shared" si="11"/>
        <v>--</v>
      </c>
      <c r="AA32" s="378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7"/>
      <c r="B33" s="173"/>
      <c r="C33" s="636"/>
      <c r="D33" s="636"/>
      <c r="E33" s="636"/>
      <c r="F33" s="501"/>
      <c r="G33" s="500"/>
      <c r="H33" s="637"/>
      <c r="I33" s="638"/>
      <c r="J33" s="268">
        <f t="shared" si="0"/>
        <v>0</v>
      </c>
      <c r="K33" s="640"/>
      <c r="L33" s="640"/>
      <c r="M33" s="26">
        <f t="shared" si="1"/>
      </c>
      <c r="N33" s="27">
        <f t="shared" si="2"/>
      </c>
      <c r="O33" s="641"/>
      <c r="P33" s="25">
        <f t="shared" si="15"/>
      </c>
      <c r="Q33" s="703">
        <f t="shared" si="16"/>
      </c>
      <c r="R33" s="25">
        <f t="shared" si="3"/>
      </c>
      <c r="S33" s="338">
        <f t="shared" si="4"/>
        <v>3</v>
      </c>
      <c r="T33" s="342" t="str">
        <f t="shared" si="5"/>
        <v>--</v>
      </c>
      <c r="U33" s="348" t="str">
        <f t="shared" si="6"/>
        <v>--</v>
      </c>
      <c r="V33" s="357" t="str">
        <f t="shared" si="7"/>
        <v>--</v>
      </c>
      <c r="W33" s="358" t="str">
        <f t="shared" si="8"/>
        <v>--</v>
      </c>
      <c r="X33" s="366" t="str">
        <f t="shared" si="9"/>
        <v>--</v>
      </c>
      <c r="Y33" s="367" t="str">
        <f t="shared" si="10"/>
        <v>--</v>
      </c>
      <c r="Z33" s="372" t="str">
        <f t="shared" si="11"/>
        <v>--</v>
      </c>
      <c r="AA33" s="378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7"/>
      <c r="B34" s="173"/>
      <c r="C34" s="636"/>
      <c r="D34" s="636"/>
      <c r="E34" s="636"/>
      <c r="F34" s="501"/>
      <c r="G34" s="500"/>
      <c r="H34" s="637"/>
      <c r="I34" s="638"/>
      <c r="J34" s="268">
        <f t="shared" si="0"/>
        <v>0</v>
      </c>
      <c r="K34" s="640"/>
      <c r="L34" s="640"/>
      <c r="M34" s="26">
        <f t="shared" si="1"/>
      </c>
      <c r="N34" s="27">
        <f t="shared" si="2"/>
      </c>
      <c r="O34" s="641"/>
      <c r="P34" s="25">
        <f t="shared" si="15"/>
      </c>
      <c r="Q34" s="703">
        <f t="shared" si="16"/>
      </c>
      <c r="R34" s="25">
        <f t="shared" si="3"/>
      </c>
      <c r="S34" s="338">
        <f t="shared" si="4"/>
        <v>3</v>
      </c>
      <c r="T34" s="342" t="str">
        <f t="shared" si="5"/>
        <v>--</v>
      </c>
      <c r="U34" s="348" t="str">
        <f t="shared" si="6"/>
        <v>--</v>
      </c>
      <c r="V34" s="357" t="str">
        <f t="shared" si="7"/>
        <v>--</v>
      </c>
      <c r="W34" s="358" t="str">
        <f t="shared" si="8"/>
        <v>--</v>
      </c>
      <c r="X34" s="366" t="str">
        <f t="shared" si="9"/>
        <v>--</v>
      </c>
      <c r="Y34" s="367" t="str">
        <f t="shared" si="10"/>
        <v>--</v>
      </c>
      <c r="Z34" s="372" t="str">
        <f t="shared" si="11"/>
        <v>--</v>
      </c>
      <c r="AA34" s="378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7"/>
      <c r="B35" s="173"/>
      <c r="C35" s="636"/>
      <c r="D35" s="636"/>
      <c r="E35" s="636"/>
      <c r="F35" s="501"/>
      <c r="G35" s="500"/>
      <c r="H35" s="637"/>
      <c r="I35" s="638"/>
      <c r="J35" s="268">
        <f t="shared" si="0"/>
        <v>0</v>
      </c>
      <c r="K35" s="640"/>
      <c r="L35" s="640"/>
      <c r="M35" s="26">
        <f t="shared" si="1"/>
      </c>
      <c r="N35" s="27">
        <f t="shared" si="2"/>
      </c>
      <c r="O35" s="641"/>
      <c r="P35" s="25">
        <f t="shared" si="15"/>
      </c>
      <c r="Q35" s="703">
        <f t="shared" si="16"/>
      </c>
      <c r="R35" s="25">
        <f t="shared" si="3"/>
      </c>
      <c r="S35" s="338">
        <f t="shared" si="4"/>
        <v>3</v>
      </c>
      <c r="T35" s="342" t="str">
        <f t="shared" si="5"/>
        <v>--</v>
      </c>
      <c r="U35" s="348" t="str">
        <f t="shared" si="6"/>
        <v>--</v>
      </c>
      <c r="V35" s="357" t="str">
        <f t="shared" si="7"/>
        <v>--</v>
      </c>
      <c r="W35" s="358" t="str">
        <f t="shared" si="8"/>
        <v>--</v>
      </c>
      <c r="X35" s="366" t="str">
        <f t="shared" si="9"/>
        <v>--</v>
      </c>
      <c r="Y35" s="367" t="str">
        <f t="shared" si="10"/>
        <v>--</v>
      </c>
      <c r="Z35" s="372" t="str">
        <f t="shared" si="11"/>
        <v>--</v>
      </c>
      <c r="AA35" s="378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7"/>
      <c r="B36" s="173"/>
      <c r="C36" s="636"/>
      <c r="D36" s="636"/>
      <c r="E36" s="636"/>
      <c r="F36" s="501"/>
      <c r="G36" s="500"/>
      <c r="H36" s="637"/>
      <c r="I36" s="638"/>
      <c r="J36" s="268">
        <f t="shared" si="0"/>
        <v>0</v>
      </c>
      <c r="K36" s="640"/>
      <c r="L36" s="640"/>
      <c r="M36" s="26">
        <f t="shared" si="1"/>
      </c>
      <c r="N36" s="27">
        <f t="shared" si="2"/>
      </c>
      <c r="O36" s="641"/>
      <c r="P36" s="25">
        <f t="shared" si="15"/>
      </c>
      <c r="Q36" s="703">
        <f t="shared" si="16"/>
      </c>
      <c r="R36" s="25">
        <f t="shared" si="3"/>
      </c>
      <c r="S36" s="338">
        <f t="shared" si="4"/>
        <v>3</v>
      </c>
      <c r="T36" s="342" t="str">
        <f t="shared" si="5"/>
        <v>--</v>
      </c>
      <c r="U36" s="348" t="str">
        <f t="shared" si="6"/>
        <v>--</v>
      </c>
      <c r="V36" s="357" t="str">
        <f t="shared" si="7"/>
        <v>--</v>
      </c>
      <c r="W36" s="358" t="str">
        <f t="shared" si="8"/>
        <v>--</v>
      </c>
      <c r="X36" s="366" t="str">
        <f t="shared" si="9"/>
        <v>--</v>
      </c>
      <c r="Y36" s="367" t="str">
        <f t="shared" si="10"/>
        <v>--</v>
      </c>
      <c r="Z36" s="372" t="str">
        <f t="shared" si="11"/>
        <v>--</v>
      </c>
      <c r="AA36" s="378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7"/>
      <c r="B37" s="173"/>
      <c r="C37" s="636"/>
      <c r="D37" s="636"/>
      <c r="E37" s="636"/>
      <c r="F37" s="501"/>
      <c r="G37" s="500"/>
      <c r="H37" s="637"/>
      <c r="I37" s="638"/>
      <c r="J37" s="268">
        <f t="shared" si="0"/>
        <v>0</v>
      </c>
      <c r="K37" s="640"/>
      <c r="L37" s="640"/>
      <c r="M37" s="26">
        <f t="shared" si="1"/>
      </c>
      <c r="N37" s="27">
        <f t="shared" si="2"/>
      </c>
      <c r="O37" s="641"/>
      <c r="P37" s="25">
        <f t="shared" si="15"/>
      </c>
      <c r="Q37" s="703">
        <f t="shared" si="16"/>
      </c>
      <c r="R37" s="25">
        <f t="shared" si="3"/>
      </c>
      <c r="S37" s="338">
        <f t="shared" si="4"/>
        <v>3</v>
      </c>
      <c r="T37" s="342" t="str">
        <f t="shared" si="5"/>
        <v>--</v>
      </c>
      <c r="U37" s="348" t="str">
        <f t="shared" si="6"/>
        <v>--</v>
      </c>
      <c r="V37" s="357" t="str">
        <f t="shared" si="7"/>
        <v>--</v>
      </c>
      <c r="W37" s="358" t="str">
        <f t="shared" si="8"/>
        <v>--</v>
      </c>
      <c r="X37" s="366" t="str">
        <f t="shared" si="9"/>
        <v>--</v>
      </c>
      <c r="Y37" s="367" t="str">
        <f t="shared" si="10"/>
        <v>--</v>
      </c>
      <c r="Z37" s="372" t="str">
        <f t="shared" si="11"/>
        <v>--</v>
      </c>
      <c r="AA37" s="378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7"/>
      <c r="B38" s="173"/>
      <c r="C38" s="636"/>
      <c r="D38" s="636"/>
      <c r="E38" s="636"/>
      <c r="F38" s="501"/>
      <c r="G38" s="500"/>
      <c r="H38" s="637"/>
      <c r="I38" s="638"/>
      <c r="J38" s="268">
        <f t="shared" si="0"/>
        <v>0</v>
      </c>
      <c r="K38" s="640"/>
      <c r="L38" s="640"/>
      <c r="M38" s="26">
        <f t="shared" si="1"/>
      </c>
      <c r="N38" s="27">
        <f t="shared" si="2"/>
      </c>
      <c r="O38" s="641"/>
      <c r="P38" s="25">
        <f t="shared" si="15"/>
      </c>
      <c r="Q38" s="703">
        <f t="shared" si="16"/>
      </c>
      <c r="R38" s="25">
        <f t="shared" si="3"/>
      </c>
      <c r="S38" s="338">
        <f t="shared" si="4"/>
        <v>3</v>
      </c>
      <c r="T38" s="342" t="str">
        <f t="shared" si="5"/>
        <v>--</v>
      </c>
      <c r="U38" s="348" t="str">
        <f t="shared" si="6"/>
        <v>--</v>
      </c>
      <c r="V38" s="357" t="str">
        <f t="shared" si="7"/>
        <v>--</v>
      </c>
      <c r="W38" s="358" t="str">
        <f t="shared" si="8"/>
        <v>--</v>
      </c>
      <c r="X38" s="366" t="str">
        <f t="shared" si="9"/>
        <v>--</v>
      </c>
      <c r="Y38" s="367" t="str">
        <f t="shared" si="10"/>
        <v>--</v>
      </c>
      <c r="Z38" s="372" t="str">
        <f t="shared" si="11"/>
        <v>--</v>
      </c>
      <c r="AA38" s="378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7"/>
      <c r="B39" s="173"/>
      <c r="C39" s="636"/>
      <c r="D39" s="636"/>
      <c r="E39" s="636"/>
      <c r="F39" s="501"/>
      <c r="G39" s="500"/>
      <c r="H39" s="637"/>
      <c r="I39" s="638"/>
      <c r="J39" s="268">
        <f t="shared" si="0"/>
        <v>0</v>
      </c>
      <c r="K39" s="640"/>
      <c r="L39" s="640"/>
      <c r="M39" s="26">
        <f t="shared" si="1"/>
      </c>
      <c r="N39" s="27">
        <f t="shared" si="2"/>
      </c>
      <c r="O39" s="641"/>
      <c r="P39" s="25">
        <f t="shared" si="15"/>
      </c>
      <c r="Q39" s="703">
        <f t="shared" si="16"/>
      </c>
      <c r="R39" s="25">
        <f t="shared" si="3"/>
      </c>
      <c r="S39" s="338">
        <f t="shared" si="4"/>
        <v>3</v>
      </c>
      <c r="T39" s="342" t="str">
        <f t="shared" si="5"/>
        <v>--</v>
      </c>
      <c r="U39" s="348" t="str">
        <f t="shared" si="6"/>
        <v>--</v>
      </c>
      <c r="V39" s="357" t="str">
        <f t="shared" si="7"/>
        <v>--</v>
      </c>
      <c r="W39" s="358" t="str">
        <f t="shared" si="8"/>
        <v>--</v>
      </c>
      <c r="X39" s="366" t="str">
        <f t="shared" si="9"/>
        <v>--</v>
      </c>
      <c r="Y39" s="367" t="str">
        <f t="shared" si="10"/>
        <v>--</v>
      </c>
      <c r="Z39" s="372" t="str">
        <f t="shared" si="11"/>
        <v>--</v>
      </c>
      <c r="AA39" s="378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7"/>
      <c r="B40" s="173"/>
      <c r="C40" s="636"/>
      <c r="D40" s="636"/>
      <c r="E40" s="636"/>
      <c r="F40" s="501"/>
      <c r="G40" s="500"/>
      <c r="H40" s="637"/>
      <c r="I40" s="638"/>
      <c r="J40" s="268">
        <f t="shared" si="0"/>
        <v>0</v>
      </c>
      <c r="K40" s="640"/>
      <c r="L40" s="640"/>
      <c r="M40" s="26">
        <f t="shared" si="1"/>
      </c>
      <c r="N40" s="27">
        <f t="shared" si="2"/>
      </c>
      <c r="O40" s="641"/>
      <c r="P40" s="25">
        <f t="shared" si="15"/>
      </c>
      <c r="Q40" s="703">
        <f t="shared" si="16"/>
      </c>
      <c r="R40" s="25">
        <f t="shared" si="3"/>
      </c>
      <c r="S40" s="338">
        <f t="shared" si="4"/>
        <v>3</v>
      </c>
      <c r="T40" s="342" t="str">
        <f t="shared" si="5"/>
        <v>--</v>
      </c>
      <c r="U40" s="348" t="str">
        <f t="shared" si="6"/>
        <v>--</v>
      </c>
      <c r="V40" s="357" t="str">
        <f t="shared" si="7"/>
        <v>--</v>
      </c>
      <c r="W40" s="358" t="str">
        <f t="shared" si="8"/>
        <v>--</v>
      </c>
      <c r="X40" s="366" t="str">
        <f t="shared" si="9"/>
        <v>--</v>
      </c>
      <c r="Y40" s="367" t="str">
        <f t="shared" si="10"/>
        <v>--</v>
      </c>
      <c r="Z40" s="372" t="str">
        <f t="shared" si="11"/>
        <v>--</v>
      </c>
      <c r="AA40" s="378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7"/>
      <c r="B41" s="173"/>
      <c r="C41" s="636"/>
      <c r="D41" s="636"/>
      <c r="E41" s="636"/>
      <c r="F41" s="501"/>
      <c r="G41" s="500"/>
      <c r="H41" s="637"/>
      <c r="I41" s="638"/>
      <c r="J41" s="268">
        <f t="shared" si="0"/>
        <v>0</v>
      </c>
      <c r="K41" s="640"/>
      <c r="L41" s="640"/>
      <c r="M41" s="26">
        <f t="shared" si="1"/>
      </c>
      <c r="N41" s="27">
        <f t="shared" si="2"/>
      </c>
      <c r="O41" s="641"/>
      <c r="P41" s="25">
        <f t="shared" si="15"/>
      </c>
      <c r="Q41" s="703">
        <f t="shared" si="16"/>
      </c>
      <c r="R41" s="25">
        <f t="shared" si="3"/>
      </c>
      <c r="S41" s="338">
        <f t="shared" si="4"/>
        <v>3</v>
      </c>
      <c r="T41" s="342" t="str">
        <f t="shared" si="5"/>
        <v>--</v>
      </c>
      <c r="U41" s="348" t="str">
        <f t="shared" si="6"/>
        <v>--</v>
      </c>
      <c r="V41" s="357" t="str">
        <f t="shared" si="7"/>
        <v>--</v>
      </c>
      <c r="W41" s="358" t="str">
        <f t="shared" si="8"/>
        <v>--</v>
      </c>
      <c r="X41" s="366" t="str">
        <f t="shared" si="9"/>
        <v>--</v>
      </c>
      <c r="Y41" s="367" t="str">
        <f t="shared" si="10"/>
        <v>--</v>
      </c>
      <c r="Z41" s="372" t="str">
        <f t="shared" si="11"/>
        <v>--</v>
      </c>
      <c r="AA41" s="378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7"/>
      <c r="B42" s="173"/>
      <c r="C42" s="636"/>
      <c r="D42" s="636"/>
      <c r="E42" s="636"/>
      <c r="F42" s="501"/>
      <c r="G42" s="500"/>
      <c r="H42" s="637"/>
      <c r="I42" s="638"/>
      <c r="J42" s="268">
        <f t="shared" si="0"/>
        <v>0</v>
      </c>
      <c r="K42" s="640"/>
      <c r="L42" s="640"/>
      <c r="M42" s="26">
        <f t="shared" si="1"/>
      </c>
      <c r="N42" s="27">
        <f t="shared" si="2"/>
      </c>
      <c r="O42" s="641"/>
      <c r="P42" s="25">
        <f t="shared" si="15"/>
      </c>
      <c r="Q42" s="703">
        <f t="shared" si="16"/>
      </c>
      <c r="R42" s="25">
        <f t="shared" si="3"/>
      </c>
      <c r="S42" s="338">
        <f t="shared" si="4"/>
        <v>3</v>
      </c>
      <c r="T42" s="342" t="str">
        <f t="shared" si="5"/>
        <v>--</v>
      </c>
      <c r="U42" s="348" t="str">
        <f t="shared" si="6"/>
        <v>--</v>
      </c>
      <c r="V42" s="357" t="str">
        <f t="shared" si="7"/>
        <v>--</v>
      </c>
      <c r="W42" s="358" t="str">
        <f t="shared" si="8"/>
        <v>--</v>
      </c>
      <c r="X42" s="366" t="str">
        <f t="shared" si="9"/>
        <v>--</v>
      </c>
      <c r="Y42" s="367" t="str">
        <f t="shared" si="10"/>
        <v>--</v>
      </c>
      <c r="Z42" s="372" t="str">
        <f t="shared" si="11"/>
        <v>--</v>
      </c>
      <c r="AA42" s="378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7"/>
      <c r="B43" s="173"/>
      <c r="C43" s="636"/>
      <c r="D43" s="636"/>
      <c r="E43" s="636"/>
      <c r="F43" s="501"/>
      <c r="G43" s="500"/>
      <c r="H43" s="637"/>
      <c r="I43" s="638"/>
      <c r="J43" s="268">
        <f t="shared" si="0"/>
        <v>0</v>
      </c>
      <c r="K43" s="640"/>
      <c r="L43" s="640"/>
      <c r="M43" s="26">
        <f t="shared" si="1"/>
      </c>
      <c r="N43" s="27">
        <f t="shared" si="2"/>
      </c>
      <c r="O43" s="641"/>
      <c r="P43" s="25">
        <f t="shared" si="15"/>
      </c>
      <c r="Q43" s="703">
        <f t="shared" si="16"/>
      </c>
      <c r="R43" s="25">
        <f t="shared" si="3"/>
      </c>
      <c r="S43" s="338">
        <f t="shared" si="4"/>
        <v>3</v>
      </c>
      <c r="T43" s="342" t="str">
        <f t="shared" si="5"/>
        <v>--</v>
      </c>
      <c r="U43" s="348" t="str">
        <f t="shared" si="6"/>
        <v>--</v>
      </c>
      <c r="V43" s="357" t="str">
        <f t="shared" si="7"/>
        <v>--</v>
      </c>
      <c r="W43" s="358" t="str">
        <f t="shared" si="8"/>
        <v>--</v>
      </c>
      <c r="X43" s="366" t="str">
        <f t="shared" si="9"/>
        <v>--</v>
      </c>
      <c r="Y43" s="367" t="str">
        <f t="shared" si="10"/>
        <v>--</v>
      </c>
      <c r="Z43" s="372" t="str">
        <f t="shared" si="11"/>
        <v>--</v>
      </c>
      <c r="AA43" s="378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7"/>
      <c r="B44" s="173"/>
      <c r="C44" s="639"/>
      <c r="D44" s="639"/>
      <c r="E44" s="639"/>
      <c r="F44" s="639"/>
      <c r="G44" s="639"/>
      <c r="H44" s="639"/>
      <c r="I44" s="639"/>
      <c r="J44" s="272"/>
      <c r="K44" s="639"/>
      <c r="L44" s="639"/>
      <c r="M44" s="29"/>
      <c r="N44" s="29"/>
      <c r="O44" s="639"/>
      <c r="P44" s="639"/>
      <c r="Q44" s="639"/>
      <c r="R44" s="639"/>
      <c r="S44" s="339"/>
      <c r="T44" s="343"/>
      <c r="U44" s="349"/>
      <c r="V44" s="381"/>
      <c r="W44" s="382"/>
      <c r="X44" s="383"/>
      <c r="Y44" s="384"/>
      <c r="Z44" s="373"/>
      <c r="AA44" s="379"/>
      <c r="AB44" s="29"/>
      <c r="AC44" s="215"/>
      <c r="AD44" s="38"/>
    </row>
    <row r="45" spans="1:30" s="10" customFormat="1" ht="16.5" customHeight="1" thickBot="1" thickTop="1">
      <c r="A45" s="167"/>
      <c r="B45" s="173"/>
      <c r="C45" s="240" t="s">
        <v>64</v>
      </c>
      <c r="D45" s="723" t="s">
        <v>180</v>
      </c>
      <c r="E45" s="686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4">
        <f aca="true" t="shared" si="17" ref="T45:AA45">SUM(T22:T44)</f>
        <v>0</v>
      </c>
      <c r="U45" s="350">
        <f t="shared" si="17"/>
        <v>3.8697750000000006</v>
      </c>
      <c r="V45" s="359">
        <f t="shared" si="17"/>
        <v>46.8</v>
      </c>
      <c r="W45" s="359">
        <f t="shared" si="17"/>
        <v>366.44399999999996</v>
      </c>
      <c r="X45" s="368">
        <f t="shared" si="17"/>
        <v>0</v>
      </c>
      <c r="Y45" s="368">
        <f t="shared" si="17"/>
        <v>0</v>
      </c>
      <c r="Z45" s="374">
        <f t="shared" si="17"/>
        <v>0</v>
      </c>
      <c r="AA45" s="380">
        <f t="shared" si="17"/>
        <v>0</v>
      </c>
      <c r="AB45" s="31"/>
      <c r="AC45" s="256">
        <f>ROUND(SUM(AC22:AC44),2)</f>
        <v>417.11</v>
      </c>
      <c r="AD45" s="38"/>
    </row>
    <row r="46" spans="1:30" s="258" customFormat="1" ht="9.75" thickTop="1">
      <c r="A46" s="259"/>
      <c r="B46" s="260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2"/>
      <c r="V46" s="262"/>
      <c r="W46" s="262"/>
      <c r="X46" s="262"/>
      <c r="Y46" s="262"/>
      <c r="Z46" s="262"/>
      <c r="AA46" s="262"/>
      <c r="AB46" s="261"/>
      <c r="AC46" s="263"/>
      <c r="AD46" s="264"/>
    </row>
    <row r="47" spans="1:30" s="10" customFormat="1" ht="16.5" customHeight="1" thickBot="1">
      <c r="A47" s="167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46" right="0.38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497"/>
    </row>
    <row r="2" spans="2:30" s="109" customFormat="1" ht="26.25">
      <c r="B2" s="110" t="str">
        <f>+'TOT-0114'!B2</f>
        <v>ANEXO I al Memorándum  D.T.E.E.  N°        34   / 2014.-</v>
      </c>
      <c r="C2" s="111"/>
      <c r="D2" s="111"/>
      <c r="E2" s="169"/>
      <c r="F2" s="169"/>
      <c r="G2" s="11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5:30" s="10" customFormat="1" ht="12.75"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0" s="112" customFormat="1" ht="11.25">
      <c r="A4" s="689" t="s">
        <v>17</v>
      </c>
      <c r="C4" s="688"/>
      <c r="D4" s="688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s="112" customFormat="1" ht="11.25">
      <c r="A5" s="689" t="s">
        <v>147</v>
      </c>
      <c r="C5" s="688"/>
      <c r="D5" s="688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0" customFormat="1" ht="13.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s="10" customFormat="1" ht="13.5" thickTop="1">
      <c r="A7" s="167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114" customFormat="1" ht="20.25">
      <c r="A8" s="187"/>
      <c r="B8" s="188"/>
      <c r="C8" s="175"/>
      <c r="D8" s="175"/>
      <c r="E8" s="175"/>
      <c r="F8" s="21" t="s">
        <v>40</v>
      </c>
      <c r="H8" s="175"/>
      <c r="I8" s="187"/>
      <c r="J8" s="187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9"/>
    </row>
    <row r="9" spans="1:30" s="114" customFormat="1" ht="7.5" customHeight="1">
      <c r="A9" s="187"/>
      <c r="B9" s="188"/>
      <c r="C9" s="175"/>
      <c r="D9" s="175"/>
      <c r="E9" s="175"/>
      <c r="F9" s="21"/>
      <c r="H9" s="175"/>
      <c r="I9" s="187"/>
      <c r="J9" s="187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89"/>
    </row>
    <row r="10" spans="1:30" s="10" customFormat="1" ht="7.5" customHeight="1">
      <c r="A10" s="167"/>
      <c r="B10" s="173"/>
      <c r="C10" s="30"/>
      <c r="D10" s="30"/>
      <c r="E10" s="30"/>
      <c r="F10" s="30"/>
      <c r="G10" s="30"/>
      <c r="H10" s="30"/>
      <c r="I10" s="16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7"/>
      <c r="B11" s="188"/>
      <c r="C11" s="175"/>
      <c r="D11" s="175"/>
      <c r="E11" s="175"/>
      <c r="F11" s="216" t="s">
        <v>168</v>
      </c>
      <c r="G11" s="175"/>
      <c r="H11" s="175"/>
      <c r="I11" s="187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89"/>
    </row>
    <row r="12" spans="1:30" s="114" customFormat="1" ht="8.25" customHeight="1">
      <c r="A12" s="187"/>
      <c r="B12" s="188"/>
      <c r="C12" s="175"/>
      <c r="D12" s="175"/>
      <c r="E12" s="175"/>
      <c r="F12" s="216"/>
      <c r="G12" s="175"/>
      <c r="H12" s="175"/>
      <c r="I12" s="187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89"/>
    </row>
    <row r="13" spans="1:30" s="10" customFormat="1" ht="8.25" customHeight="1">
      <c r="A13" s="167"/>
      <c r="B13" s="173"/>
      <c r="C13" s="30"/>
      <c r="D13" s="30"/>
      <c r="E13" s="30"/>
      <c r="F13" s="123"/>
      <c r="G13" s="177"/>
      <c r="H13" s="177"/>
      <c r="I13" s="178"/>
      <c r="J13" s="17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3"/>
      <c r="B14" s="87" t="str">
        <f>+'TOT-0114'!B14</f>
        <v>Desde el 01 al 31 de enero de 2014</v>
      </c>
      <c r="C14" s="194"/>
      <c r="D14" s="194"/>
      <c r="E14" s="194"/>
      <c r="F14" s="194"/>
      <c r="G14" s="194"/>
      <c r="H14" s="194"/>
      <c r="I14" s="195"/>
      <c r="J14" s="194"/>
      <c r="K14" s="118"/>
      <c r="L14" s="11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6"/>
    </row>
    <row r="15" spans="1:30" s="95" customFormat="1" ht="8.25" customHeight="1">
      <c r="A15" s="91"/>
      <c r="B15" s="92"/>
      <c r="C15" s="91"/>
      <c r="D15" s="91"/>
      <c r="E15" s="91"/>
      <c r="F15" s="678"/>
      <c r="G15" s="679"/>
      <c r="H15" s="680"/>
      <c r="I15" s="91"/>
      <c r="K15" s="97"/>
      <c r="L15" s="98"/>
      <c r="M15" s="236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7"/>
      <c r="B16" s="173"/>
      <c r="C16" s="30"/>
      <c r="D16" s="30"/>
      <c r="E16" s="30"/>
      <c r="F16" s="30"/>
      <c r="G16" s="30"/>
      <c r="H16" s="30"/>
      <c r="I16" s="74"/>
      <c r="J16" s="30"/>
      <c r="K16" s="184"/>
      <c r="L16" s="18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7"/>
      <c r="B17" s="173"/>
      <c r="C17" s="30"/>
      <c r="D17" s="30"/>
      <c r="E17" s="30"/>
      <c r="F17" s="197" t="s">
        <v>68</v>
      </c>
      <c r="G17" s="198"/>
      <c r="H17" s="199"/>
      <c r="I17" s="569">
        <v>0.975</v>
      </c>
      <c r="J17" s="16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7"/>
      <c r="B18" s="173"/>
      <c r="C18" s="30"/>
      <c r="D18" s="30"/>
      <c r="E18" s="30"/>
      <c r="F18" s="200" t="s">
        <v>69</v>
      </c>
      <c r="G18" s="201"/>
      <c r="H18" s="201"/>
      <c r="I18" s="202">
        <f>30*'TOT-0114'!B13</f>
        <v>30</v>
      </c>
      <c r="J18" s="30"/>
      <c r="K18" s="236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79"/>
      <c r="X18" s="179"/>
      <c r="Y18" s="179"/>
      <c r="Z18" s="179"/>
      <c r="AA18" s="179"/>
      <c r="AB18" s="179"/>
      <c r="AC18" s="179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8"/>
      <c r="G19" s="679"/>
      <c r="H19" s="680"/>
      <c r="I19" s="91"/>
      <c r="K19" s="97"/>
      <c r="L19" s="98"/>
      <c r="M19" s="23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12" customFormat="1" ht="15" customHeight="1" thickBot="1">
      <c r="A20" s="718"/>
      <c r="B20" s="719"/>
      <c r="C20" s="720">
        <v>3</v>
      </c>
      <c r="D20" s="720">
        <v>4</v>
      </c>
      <c r="E20" s="720">
        <v>5</v>
      </c>
      <c r="F20" s="720">
        <v>6</v>
      </c>
      <c r="G20" s="720">
        <v>7</v>
      </c>
      <c r="H20" s="720">
        <v>8</v>
      </c>
      <c r="I20" s="720">
        <v>9</v>
      </c>
      <c r="J20" s="720">
        <v>10</v>
      </c>
      <c r="K20" s="720">
        <v>11</v>
      </c>
      <c r="L20" s="720">
        <v>12</v>
      </c>
      <c r="M20" s="720">
        <v>13</v>
      </c>
      <c r="N20" s="720">
        <v>14</v>
      </c>
      <c r="O20" s="720">
        <v>15</v>
      </c>
      <c r="P20" s="720">
        <v>16</v>
      </c>
      <c r="Q20" s="720">
        <v>17</v>
      </c>
      <c r="R20" s="720">
        <v>18</v>
      </c>
      <c r="S20" s="720">
        <v>19</v>
      </c>
      <c r="T20" s="720">
        <v>20</v>
      </c>
      <c r="U20" s="720">
        <v>21</v>
      </c>
      <c r="V20" s="720">
        <v>22</v>
      </c>
      <c r="W20" s="720">
        <v>23</v>
      </c>
      <c r="X20" s="720">
        <v>24</v>
      </c>
      <c r="Y20" s="720">
        <v>25</v>
      </c>
      <c r="Z20" s="720">
        <v>26</v>
      </c>
      <c r="AA20" s="720">
        <v>27</v>
      </c>
      <c r="AB20" s="720">
        <v>28</v>
      </c>
      <c r="AC20" s="720">
        <v>29</v>
      </c>
      <c r="AD20" s="721"/>
    </row>
    <row r="21" spans="1:30" s="108" customFormat="1" ht="33.75" customHeight="1" thickBot="1" thickTop="1">
      <c r="A21" s="203"/>
      <c r="B21" s="204"/>
      <c r="C21" s="206" t="s">
        <v>46</v>
      </c>
      <c r="D21" s="101" t="s">
        <v>146</v>
      </c>
      <c r="E21" s="101" t="s">
        <v>145</v>
      </c>
      <c r="F21" s="211" t="s">
        <v>70</v>
      </c>
      <c r="G21" s="207" t="s">
        <v>15</v>
      </c>
      <c r="H21" s="208" t="s">
        <v>71</v>
      </c>
      <c r="I21" s="209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321" t="s">
        <v>56</v>
      </c>
      <c r="U21" s="345" t="s">
        <v>57</v>
      </c>
      <c r="V21" s="351" t="s">
        <v>80</v>
      </c>
      <c r="W21" s="352"/>
      <c r="X21" s="360" t="s">
        <v>80</v>
      </c>
      <c r="Y21" s="361"/>
      <c r="Z21" s="369" t="s">
        <v>60</v>
      </c>
      <c r="AA21" s="375" t="s">
        <v>61</v>
      </c>
      <c r="AB21" s="209" t="s">
        <v>62</v>
      </c>
      <c r="AC21" s="209" t="s">
        <v>63</v>
      </c>
      <c r="AD21" s="205"/>
    </row>
    <row r="22" spans="1:30" s="10" customFormat="1" ht="16.5" customHeight="1" thickTop="1">
      <c r="A22" s="167"/>
      <c r="B22" s="173"/>
      <c r="C22" s="18"/>
      <c r="D22" s="18"/>
      <c r="E22" s="18"/>
      <c r="F22" s="23"/>
      <c r="G22" s="23"/>
      <c r="H22" s="23"/>
      <c r="I22" s="23"/>
      <c r="J22" s="270"/>
      <c r="K22" s="24"/>
      <c r="L22" s="23"/>
      <c r="M22" s="24"/>
      <c r="N22" s="24"/>
      <c r="O22" s="23"/>
      <c r="P22" s="23"/>
      <c r="Q22" s="23"/>
      <c r="R22" s="23"/>
      <c r="S22" s="336"/>
      <c r="T22" s="340"/>
      <c r="U22" s="346"/>
      <c r="V22" s="353"/>
      <c r="W22" s="354"/>
      <c r="X22" s="362"/>
      <c r="Y22" s="363"/>
      <c r="Z22" s="370"/>
      <c r="AA22" s="376"/>
      <c r="AB22" s="23"/>
      <c r="AC22" s="62"/>
      <c r="AD22" s="38"/>
    </row>
    <row r="23" spans="1:30" s="10" customFormat="1" ht="16.5" customHeight="1">
      <c r="A23" s="167"/>
      <c r="B23" s="173"/>
      <c r="C23" s="18"/>
      <c r="D23" s="18"/>
      <c r="E23" s="18"/>
      <c r="F23" s="19"/>
      <c r="G23" s="19"/>
      <c r="H23" s="19"/>
      <c r="I23" s="19"/>
      <c r="J23" s="271"/>
      <c r="K23" s="20"/>
      <c r="L23" s="19"/>
      <c r="M23" s="20"/>
      <c r="N23" s="20"/>
      <c r="O23" s="19"/>
      <c r="P23" s="19"/>
      <c r="Q23" s="19"/>
      <c r="R23" s="19"/>
      <c r="S23" s="337"/>
      <c r="T23" s="341"/>
      <c r="U23" s="347"/>
      <c r="V23" s="355"/>
      <c r="W23" s="356"/>
      <c r="X23" s="364"/>
      <c r="Y23" s="365"/>
      <c r="Z23" s="371"/>
      <c r="AA23" s="377"/>
      <c r="AB23" s="19"/>
      <c r="AC23" s="214"/>
      <c r="AD23" s="38"/>
    </row>
    <row r="24" spans="1:30" s="10" customFormat="1" ht="16.5" customHeight="1">
      <c r="A24" s="167"/>
      <c r="B24" s="173"/>
      <c r="C24" s="636">
        <v>10</v>
      </c>
      <c r="D24" s="636">
        <v>270380</v>
      </c>
      <c r="E24" s="636">
        <v>4587</v>
      </c>
      <c r="F24" s="501" t="s">
        <v>169</v>
      </c>
      <c r="G24" s="500" t="s">
        <v>9</v>
      </c>
      <c r="H24" s="637">
        <v>15</v>
      </c>
      <c r="I24" s="683" t="s">
        <v>170</v>
      </c>
      <c r="J24" s="268">
        <f aca="true" t="shared" si="0" ref="J24:J43">H24*$I$17</f>
        <v>14.625</v>
      </c>
      <c r="K24" s="640">
        <v>41651.27222222222</v>
      </c>
      <c r="L24" s="640">
        <v>41651.31736111111</v>
      </c>
      <c r="M24" s="26">
        <f aca="true" t="shared" si="1" ref="M24:M43">IF(F24="","",(L24-K24)*24)</f>
        <v>1.0833333333721384</v>
      </c>
      <c r="N24" s="27">
        <f aca="true" t="shared" si="2" ref="N24:N43">IF(F24="","",ROUND((L24-K24)*24*60,0))</f>
        <v>65</v>
      </c>
      <c r="O24" s="641" t="s">
        <v>152</v>
      </c>
      <c r="P24" s="25" t="str">
        <f>IF(F24="","",IF(OR(O24="P",O24="RP"),"--","NO"))</f>
        <v>--</v>
      </c>
      <c r="Q24" s="703" t="str">
        <f aca="true" t="shared" si="3" ref="Q24:Q43">IF(F24="","","--")</f>
        <v>--</v>
      </c>
      <c r="R24" s="25" t="s">
        <v>153</v>
      </c>
      <c r="S24" s="338">
        <f aca="true" t="shared" si="4" ref="S24:S43">$I$18*IF(OR(O24="P",O24="RP"),0.1,1)*IF(R24="SI",1,0.1)</f>
        <v>3</v>
      </c>
      <c r="T24" s="342">
        <f aca="true" t="shared" si="5" ref="T24:T43">IF(O24="P",J24*S24*ROUND(N24/60,2),"--")</f>
        <v>47.385000000000005</v>
      </c>
      <c r="U24" s="348" t="str">
        <f aca="true" t="shared" si="6" ref="U24:U43">IF(O24="RP",J24*S24*ROUND(N24/60,2)*Q24/100,"--")</f>
        <v>--</v>
      </c>
      <c r="V24" s="357" t="str">
        <f aca="true" t="shared" si="7" ref="V24:V43">IF(AND(O24="F",P24="NO"),J24*S24,"--")</f>
        <v>--</v>
      </c>
      <c r="W24" s="358" t="str">
        <f aca="true" t="shared" si="8" ref="W24:W43">IF(O24="F",J24*S24*ROUND(N24/60,2),"--")</f>
        <v>--</v>
      </c>
      <c r="X24" s="366" t="str">
        <f aca="true" t="shared" si="9" ref="X24:X43">IF(AND(O24="R",P24="NO"),J24*S24*Q24/100,"--")</f>
        <v>--</v>
      </c>
      <c r="Y24" s="367" t="str">
        <f aca="true" t="shared" si="10" ref="Y24:Y43">IF(O24="R",J24*S24*ROUND(N24/60,2)*Q24/100,"--")</f>
        <v>--</v>
      </c>
      <c r="Z24" s="372" t="str">
        <f aca="true" t="shared" si="11" ref="Z24:Z43">IF(O24="RF",J24*S24*ROUND(N24/60,2),"--")</f>
        <v>--</v>
      </c>
      <c r="AA24" s="378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47.385000000000005</v>
      </c>
      <c r="AD24" s="405"/>
    </row>
    <row r="25" spans="1:30" s="10" customFormat="1" ht="16.5" customHeight="1">
      <c r="A25" s="167"/>
      <c r="B25" s="173"/>
      <c r="C25" s="636"/>
      <c r="D25" s="636"/>
      <c r="E25" s="636"/>
      <c r="F25" s="501"/>
      <c r="G25" s="500"/>
      <c r="H25" s="637"/>
      <c r="I25" s="638"/>
      <c r="J25" s="268">
        <f t="shared" si="0"/>
        <v>0</v>
      </c>
      <c r="K25" s="640"/>
      <c r="L25" s="640"/>
      <c r="M25" s="26">
        <f t="shared" si="1"/>
      </c>
      <c r="N25" s="27">
        <f t="shared" si="2"/>
      </c>
      <c r="O25" s="641"/>
      <c r="P25" s="25">
        <f aca="true" t="shared" si="15" ref="P25:P43">IF(F25="","",IF(OR(O25="P",O25="RP"),"--","NO"))</f>
      </c>
      <c r="Q25" s="703">
        <f t="shared" si="3"/>
      </c>
      <c r="R25" s="25">
        <f aca="true" t="shared" si="16" ref="R25:R43">IF(F25="","","NO")</f>
      </c>
      <c r="S25" s="338">
        <f t="shared" si="4"/>
        <v>3</v>
      </c>
      <c r="T25" s="342" t="str">
        <f t="shared" si="5"/>
        <v>--</v>
      </c>
      <c r="U25" s="348" t="str">
        <f t="shared" si="6"/>
        <v>--</v>
      </c>
      <c r="V25" s="357" t="str">
        <f t="shared" si="7"/>
        <v>--</v>
      </c>
      <c r="W25" s="358" t="str">
        <f t="shared" si="8"/>
        <v>--</v>
      </c>
      <c r="X25" s="366" t="str">
        <f t="shared" si="9"/>
        <v>--</v>
      </c>
      <c r="Y25" s="367" t="str">
        <f t="shared" si="10"/>
        <v>--</v>
      </c>
      <c r="Z25" s="372" t="str">
        <f t="shared" si="11"/>
        <v>--</v>
      </c>
      <c r="AA25" s="378" t="str">
        <f t="shared" si="12"/>
        <v>--</v>
      </c>
      <c r="AB25" s="25">
        <f t="shared" si="13"/>
      </c>
      <c r="AC25" s="63">
        <f t="shared" si="14"/>
      </c>
      <c r="AD25" s="405"/>
    </row>
    <row r="26" spans="1:30" s="10" customFormat="1" ht="16.5" customHeight="1">
      <c r="A26" s="167"/>
      <c r="B26" s="173"/>
      <c r="C26" s="636"/>
      <c r="D26" s="636"/>
      <c r="E26" s="636"/>
      <c r="F26" s="501"/>
      <c r="G26" s="500"/>
      <c r="H26" s="637"/>
      <c r="I26" s="638"/>
      <c r="J26" s="268">
        <f t="shared" si="0"/>
        <v>0</v>
      </c>
      <c r="K26" s="640"/>
      <c r="L26" s="640"/>
      <c r="M26" s="26">
        <f t="shared" si="1"/>
      </c>
      <c r="N26" s="27">
        <f t="shared" si="2"/>
      </c>
      <c r="O26" s="641"/>
      <c r="P26" s="25">
        <f t="shared" si="15"/>
      </c>
      <c r="Q26" s="703">
        <f t="shared" si="3"/>
      </c>
      <c r="R26" s="25">
        <f t="shared" si="16"/>
      </c>
      <c r="S26" s="338">
        <f t="shared" si="4"/>
        <v>3</v>
      </c>
      <c r="T26" s="342" t="str">
        <f t="shared" si="5"/>
        <v>--</v>
      </c>
      <c r="U26" s="348" t="str">
        <f t="shared" si="6"/>
        <v>--</v>
      </c>
      <c r="V26" s="357" t="str">
        <f t="shared" si="7"/>
        <v>--</v>
      </c>
      <c r="W26" s="358" t="str">
        <f t="shared" si="8"/>
        <v>--</v>
      </c>
      <c r="X26" s="366" t="str">
        <f t="shared" si="9"/>
        <v>--</v>
      </c>
      <c r="Y26" s="367" t="str">
        <f t="shared" si="10"/>
        <v>--</v>
      </c>
      <c r="Z26" s="372" t="str">
        <f t="shared" si="11"/>
        <v>--</v>
      </c>
      <c r="AA26" s="378" t="str">
        <f t="shared" si="12"/>
        <v>--</v>
      </c>
      <c r="AB26" s="25">
        <f t="shared" si="13"/>
      </c>
      <c r="AC26" s="63">
        <f t="shared" si="14"/>
      </c>
      <c r="AD26" s="405"/>
    </row>
    <row r="27" spans="1:30" s="10" customFormat="1" ht="16.5" customHeight="1">
      <c r="A27" s="167"/>
      <c r="B27" s="173"/>
      <c r="C27" s="636"/>
      <c r="D27" s="636"/>
      <c r="E27" s="636"/>
      <c r="F27" s="501"/>
      <c r="G27" s="500"/>
      <c r="H27" s="637"/>
      <c r="I27" s="638"/>
      <c r="J27" s="268">
        <f t="shared" si="0"/>
        <v>0</v>
      </c>
      <c r="K27" s="640"/>
      <c r="L27" s="640"/>
      <c r="M27" s="26">
        <f t="shared" si="1"/>
      </c>
      <c r="N27" s="27">
        <f t="shared" si="2"/>
      </c>
      <c r="O27" s="641"/>
      <c r="P27" s="25">
        <f t="shared" si="15"/>
      </c>
      <c r="Q27" s="703">
        <f t="shared" si="3"/>
      </c>
      <c r="R27" s="25">
        <f t="shared" si="16"/>
      </c>
      <c r="S27" s="338">
        <f t="shared" si="4"/>
        <v>3</v>
      </c>
      <c r="T27" s="342" t="str">
        <f t="shared" si="5"/>
        <v>--</v>
      </c>
      <c r="U27" s="348" t="str">
        <f t="shared" si="6"/>
        <v>--</v>
      </c>
      <c r="V27" s="357" t="str">
        <f t="shared" si="7"/>
        <v>--</v>
      </c>
      <c r="W27" s="358" t="str">
        <f t="shared" si="8"/>
        <v>--</v>
      </c>
      <c r="X27" s="366" t="str">
        <f t="shared" si="9"/>
        <v>--</v>
      </c>
      <c r="Y27" s="367" t="str">
        <f t="shared" si="10"/>
        <v>--</v>
      </c>
      <c r="Z27" s="372" t="str">
        <f t="shared" si="11"/>
        <v>--</v>
      </c>
      <c r="AA27" s="378" t="str">
        <f t="shared" si="12"/>
        <v>--</v>
      </c>
      <c r="AB27" s="25">
        <f t="shared" si="13"/>
      </c>
      <c r="AC27" s="63">
        <f t="shared" si="14"/>
      </c>
      <c r="AD27" s="405"/>
    </row>
    <row r="28" spans="1:30" s="10" customFormat="1" ht="16.5" customHeight="1">
      <c r="A28" s="167"/>
      <c r="B28" s="173"/>
      <c r="C28" s="636"/>
      <c r="D28" s="636"/>
      <c r="E28" s="636"/>
      <c r="F28" s="501"/>
      <c r="G28" s="500"/>
      <c r="H28" s="637"/>
      <c r="I28" s="638"/>
      <c r="J28" s="268">
        <f t="shared" si="0"/>
        <v>0</v>
      </c>
      <c r="K28" s="640"/>
      <c r="L28" s="640"/>
      <c r="M28" s="26">
        <f t="shared" si="1"/>
      </c>
      <c r="N28" s="27">
        <f t="shared" si="2"/>
      </c>
      <c r="O28" s="641"/>
      <c r="P28" s="25">
        <f t="shared" si="15"/>
      </c>
      <c r="Q28" s="703">
        <f t="shared" si="3"/>
      </c>
      <c r="R28" s="25">
        <f t="shared" si="16"/>
      </c>
      <c r="S28" s="338">
        <f t="shared" si="4"/>
        <v>3</v>
      </c>
      <c r="T28" s="342" t="str">
        <f t="shared" si="5"/>
        <v>--</v>
      </c>
      <c r="U28" s="348" t="str">
        <f t="shared" si="6"/>
        <v>--</v>
      </c>
      <c r="V28" s="357" t="str">
        <f t="shared" si="7"/>
        <v>--</v>
      </c>
      <c r="W28" s="358" t="str">
        <f t="shared" si="8"/>
        <v>--</v>
      </c>
      <c r="X28" s="366" t="str">
        <f t="shared" si="9"/>
        <v>--</v>
      </c>
      <c r="Y28" s="367" t="str">
        <f t="shared" si="10"/>
        <v>--</v>
      </c>
      <c r="Z28" s="372" t="str">
        <f t="shared" si="11"/>
        <v>--</v>
      </c>
      <c r="AA28" s="378" t="str">
        <f t="shared" si="12"/>
        <v>--</v>
      </c>
      <c r="AB28" s="25">
        <f t="shared" si="13"/>
      </c>
      <c r="AC28" s="63">
        <f t="shared" si="14"/>
      </c>
      <c r="AD28" s="405"/>
    </row>
    <row r="29" spans="1:30" s="10" customFormat="1" ht="16.5" customHeight="1">
      <c r="A29" s="167"/>
      <c r="B29" s="173"/>
      <c r="C29" s="636"/>
      <c r="D29" s="636"/>
      <c r="E29" s="636"/>
      <c r="F29" s="501"/>
      <c r="G29" s="500"/>
      <c r="H29" s="637"/>
      <c r="I29" s="638"/>
      <c r="J29" s="268">
        <f t="shared" si="0"/>
        <v>0</v>
      </c>
      <c r="K29" s="640"/>
      <c r="L29" s="640"/>
      <c r="M29" s="26">
        <f t="shared" si="1"/>
      </c>
      <c r="N29" s="27">
        <f t="shared" si="2"/>
      </c>
      <c r="O29" s="641"/>
      <c r="P29" s="25">
        <f t="shared" si="15"/>
      </c>
      <c r="Q29" s="703">
        <f t="shared" si="3"/>
      </c>
      <c r="R29" s="25">
        <f t="shared" si="16"/>
      </c>
      <c r="S29" s="338">
        <f t="shared" si="4"/>
        <v>3</v>
      </c>
      <c r="T29" s="342" t="str">
        <f t="shared" si="5"/>
        <v>--</v>
      </c>
      <c r="U29" s="348" t="str">
        <f t="shared" si="6"/>
        <v>--</v>
      </c>
      <c r="V29" s="357" t="str">
        <f t="shared" si="7"/>
        <v>--</v>
      </c>
      <c r="W29" s="358" t="str">
        <f t="shared" si="8"/>
        <v>--</v>
      </c>
      <c r="X29" s="366" t="str">
        <f t="shared" si="9"/>
        <v>--</v>
      </c>
      <c r="Y29" s="367" t="str">
        <f t="shared" si="10"/>
        <v>--</v>
      </c>
      <c r="Z29" s="372" t="str">
        <f t="shared" si="11"/>
        <v>--</v>
      </c>
      <c r="AA29" s="378" t="str">
        <f t="shared" si="12"/>
        <v>--</v>
      </c>
      <c r="AB29" s="25">
        <f t="shared" si="13"/>
      </c>
      <c r="AC29" s="63">
        <f t="shared" si="14"/>
      </c>
      <c r="AD29" s="405"/>
    </row>
    <row r="30" spans="1:30" s="10" customFormat="1" ht="16.5" customHeight="1">
      <c r="A30" s="167"/>
      <c r="B30" s="173"/>
      <c r="C30" s="636"/>
      <c r="D30" s="636"/>
      <c r="E30" s="636"/>
      <c r="F30" s="501"/>
      <c r="G30" s="500"/>
      <c r="H30" s="637"/>
      <c r="I30" s="638"/>
      <c r="J30" s="268">
        <f t="shared" si="0"/>
        <v>0</v>
      </c>
      <c r="K30" s="640"/>
      <c r="L30" s="640"/>
      <c r="M30" s="26">
        <f t="shared" si="1"/>
      </c>
      <c r="N30" s="27">
        <f t="shared" si="2"/>
      </c>
      <c r="O30" s="641"/>
      <c r="P30" s="25">
        <f t="shared" si="15"/>
      </c>
      <c r="Q30" s="703">
        <f t="shared" si="3"/>
      </c>
      <c r="R30" s="25">
        <f t="shared" si="16"/>
      </c>
      <c r="S30" s="338">
        <f t="shared" si="4"/>
        <v>3</v>
      </c>
      <c r="T30" s="342" t="str">
        <f t="shared" si="5"/>
        <v>--</v>
      </c>
      <c r="U30" s="348" t="str">
        <f t="shared" si="6"/>
        <v>--</v>
      </c>
      <c r="V30" s="357" t="str">
        <f t="shared" si="7"/>
        <v>--</v>
      </c>
      <c r="W30" s="358" t="str">
        <f t="shared" si="8"/>
        <v>--</v>
      </c>
      <c r="X30" s="366" t="str">
        <f t="shared" si="9"/>
        <v>--</v>
      </c>
      <c r="Y30" s="367" t="str">
        <f t="shared" si="10"/>
        <v>--</v>
      </c>
      <c r="Z30" s="372" t="str">
        <f t="shared" si="11"/>
        <v>--</v>
      </c>
      <c r="AA30" s="378" t="str">
        <f t="shared" si="12"/>
        <v>--</v>
      </c>
      <c r="AB30" s="25">
        <f t="shared" si="13"/>
      </c>
      <c r="AC30" s="63">
        <f t="shared" si="14"/>
      </c>
      <c r="AD30" s="38"/>
    </row>
    <row r="31" spans="1:30" s="10" customFormat="1" ht="16.5" customHeight="1">
      <c r="A31" s="167"/>
      <c r="B31" s="173"/>
      <c r="C31" s="636"/>
      <c r="D31" s="636"/>
      <c r="E31" s="636"/>
      <c r="F31" s="501"/>
      <c r="G31" s="500"/>
      <c r="H31" s="637"/>
      <c r="I31" s="638"/>
      <c r="J31" s="268">
        <f t="shared" si="0"/>
        <v>0</v>
      </c>
      <c r="K31" s="640"/>
      <c r="L31" s="640"/>
      <c r="M31" s="26">
        <f t="shared" si="1"/>
      </c>
      <c r="N31" s="27">
        <f t="shared" si="2"/>
      </c>
      <c r="O31" s="641"/>
      <c r="P31" s="25">
        <f t="shared" si="15"/>
      </c>
      <c r="Q31" s="703">
        <f t="shared" si="3"/>
      </c>
      <c r="R31" s="25">
        <f t="shared" si="16"/>
      </c>
      <c r="S31" s="338">
        <f t="shared" si="4"/>
        <v>3</v>
      </c>
      <c r="T31" s="342" t="str">
        <f t="shared" si="5"/>
        <v>--</v>
      </c>
      <c r="U31" s="348" t="str">
        <f t="shared" si="6"/>
        <v>--</v>
      </c>
      <c r="V31" s="357" t="str">
        <f t="shared" si="7"/>
        <v>--</v>
      </c>
      <c r="W31" s="358" t="str">
        <f t="shared" si="8"/>
        <v>--</v>
      </c>
      <c r="X31" s="366" t="str">
        <f t="shared" si="9"/>
        <v>--</v>
      </c>
      <c r="Y31" s="367" t="str">
        <f t="shared" si="10"/>
        <v>--</v>
      </c>
      <c r="Z31" s="372" t="str">
        <f t="shared" si="11"/>
        <v>--</v>
      </c>
      <c r="AA31" s="378" t="str">
        <f t="shared" si="12"/>
        <v>--</v>
      </c>
      <c r="AB31" s="25">
        <f t="shared" si="13"/>
      </c>
      <c r="AC31" s="63">
        <f t="shared" si="14"/>
      </c>
      <c r="AD31" s="38"/>
    </row>
    <row r="32" spans="1:30" s="10" customFormat="1" ht="16.5" customHeight="1">
      <c r="A32" s="167"/>
      <c r="B32" s="173"/>
      <c r="C32" s="636"/>
      <c r="D32" s="636"/>
      <c r="E32" s="636"/>
      <c r="F32" s="501"/>
      <c r="G32" s="500"/>
      <c r="H32" s="637"/>
      <c r="I32" s="638"/>
      <c r="J32" s="268">
        <f t="shared" si="0"/>
        <v>0</v>
      </c>
      <c r="K32" s="640"/>
      <c r="L32" s="640"/>
      <c r="M32" s="26">
        <f t="shared" si="1"/>
      </c>
      <c r="N32" s="27">
        <f t="shared" si="2"/>
      </c>
      <c r="O32" s="641"/>
      <c r="P32" s="25">
        <f t="shared" si="15"/>
      </c>
      <c r="Q32" s="703">
        <f t="shared" si="3"/>
      </c>
      <c r="R32" s="25">
        <f t="shared" si="16"/>
      </c>
      <c r="S32" s="338">
        <f t="shared" si="4"/>
        <v>3</v>
      </c>
      <c r="T32" s="342" t="str">
        <f t="shared" si="5"/>
        <v>--</v>
      </c>
      <c r="U32" s="348" t="str">
        <f t="shared" si="6"/>
        <v>--</v>
      </c>
      <c r="V32" s="357" t="str">
        <f t="shared" si="7"/>
        <v>--</v>
      </c>
      <c r="W32" s="358" t="str">
        <f t="shared" si="8"/>
        <v>--</v>
      </c>
      <c r="X32" s="366" t="str">
        <f t="shared" si="9"/>
        <v>--</v>
      </c>
      <c r="Y32" s="367" t="str">
        <f t="shared" si="10"/>
        <v>--</v>
      </c>
      <c r="Z32" s="372" t="str">
        <f t="shared" si="11"/>
        <v>--</v>
      </c>
      <c r="AA32" s="378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7"/>
      <c r="B33" s="173"/>
      <c r="C33" s="636"/>
      <c r="D33" s="636"/>
      <c r="E33" s="636"/>
      <c r="F33" s="501"/>
      <c r="G33" s="500"/>
      <c r="H33" s="637"/>
      <c r="I33" s="638"/>
      <c r="J33" s="268">
        <f t="shared" si="0"/>
        <v>0</v>
      </c>
      <c r="K33" s="640"/>
      <c r="L33" s="640"/>
      <c r="M33" s="26">
        <f t="shared" si="1"/>
      </c>
      <c r="N33" s="27">
        <f t="shared" si="2"/>
      </c>
      <c r="O33" s="641"/>
      <c r="P33" s="25">
        <f t="shared" si="15"/>
      </c>
      <c r="Q33" s="703">
        <f t="shared" si="3"/>
      </c>
      <c r="R33" s="25">
        <f t="shared" si="16"/>
      </c>
      <c r="S33" s="338">
        <f t="shared" si="4"/>
        <v>3</v>
      </c>
      <c r="T33" s="342" t="str">
        <f t="shared" si="5"/>
        <v>--</v>
      </c>
      <c r="U33" s="348" t="str">
        <f t="shared" si="6"/>
        <v>--</v>
      </c>
      <c r="V33" s="357" t="str">
        <f t="shared" si="7"/>
        <v>--</v>
      </c>
      <c r="W33" s="358" t="str">
        <f t="shared" si="8"/>
        <v>--</v>
      </c>
      <c r="X33" s="366" t="str">
        <f t="shared" si="9"/>
        <v>--</v>
      </c>
      <c r="Y33" s="367" t="str">
        <f t="shared" si="10"/>
        <v>--</v>
      </c>
      <c r="Z33" s="372" t="str">
        <f t="shared" si="11"/>
        <v>--</v>
      </c>
      <c r="AA33" s="378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7"/>
      <c r="B34" s="173"/>
      <c r="C34" s="636"/>
      <c r="D34" s="636"/>
      <c r="E34" s="636"/>
      <c r="F34" s="501"/>
      <c r="G34" s="500"/>
      <c r="H34" s="637"/>
      <c r="I34" s="638"/>
      <c r="J34" s="268">
        <f t="shared" si="0"/>
        <v>0</v>
      </c>
      <c r="K34" s="640"/>
      <c r="L34" s="640"/>
      <c r="M34" s="26">
        <f t="shared" si="1"/>
      </c>
      <c r="N34" s="27">
        <f t="shared" si="2"/>
      </c>
      <c r="O34" s="641"/>
      <c r="P34" s="25">
        <f t="shared" si="15"/>
      </c>
      <c r="Q34" s="703">
        <f t="shared" si="3"/>
      </c>
      <c r="R34" s="25">
        <f t="shared" si="16"/>
      </c>
      <c r="S34" s="338">
        <f t="shared" si="4"/>
        <v>3</v>
      </c>
      <c r="T34" s="342" t="str">
        <f t="shared" si="5"/>
        <v>--</v>
      </c>
      <c r="U34" s="348" t="str">
        <f t="shared" si="6"/>
        <v>--</v>
      </c>
      <c r="V34" s="357" t="str">
        <f t="shared" si="7"/>
        <v>--</v>
      </c>
      <c r="W34" s="358" t="str">
        <f t="shared" si="8"/>
        <v>--</v>
      </c>
      <c r="X34" s="366" t="str">
        <f t="shared" si="9"/>
        <v>--</v>
      </c>
      <c r="Y34" s="367" t="str">
        <f t="shared" si="10"/>
        <v>--</v>
      </c>
      <c r="Z34" s="372" t="str">
        <f t="shared" si="11"/>
        <v>--</v>
      </c>
      <c r="AA34" s="378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7"/>
      <c r="B35" s="173"/>
      <c r="C35" s="636"/>
      <c r="D35" s="636"/>
      <c r="E35" s="636"/>
      <c r="F35" s="501"/>
      <c r="G35" s="500"/>
      <c r="H35" s="637"/>
      <c r="I35" s="638"/>
      <c r="J35" s="268">
        <f t="shared" si="0"/>
        <v>0</v>
      </c>
      <c r="K35" s="640"/>
      <c r="L35" s="640"/>
      <c r="M35" s="26">
        <f t="shared" si="1"/>
      </c>
      <c r="N35" s="27">
        <f t="shared" si="2"/>
      </c>
      <c r="O35" s="641"/>
      <c r="P35" s="25">
        <f t="shared" si="15"/>
      </c>
      <c r="Q35" s="703">
        <f t="shared" si="3"/>
      </c>
      <c r="R35" s="25">
        <f t="shared" si="16"/>
      </c>
      <c r="S35" s="338">
        <f t="shared" si="4"/>
        <v>3</v>
      </c>
      <c r="T35" s="342" t="str">
        <f t="shared" si="5"/>
        <v>--</v>
      </c>
      <c r="U35" s="348" t="str">
        <f t="shared" si="6"/>
        <v>--</v>
      </c>
      <c r="V35" s="357" t="str">
        <f t="shared" si="7"/>
        <v>--</v>
      </c>
      <c r="W35" s="358" t="str">
        <f t="shared" si="8"/>
        <v>--</v>
      </c>
      <c r="X35" s="366" t="str">
        <f t="shared" si="9"/>
        <v>--</v>
      </c>
      <c r="Y35" s="367" t="str">
        <f t="shared" si="10"/>
        <v>--</v>
      </c>
      <c r="Z35" s="372" t="str">
        <f t="shared" si="11"/>
        <v>--</v>
      </c>
      <c r="AA35" s="378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7"/>
      <c r="B36" s="173"/>
      <c r="C36" s="636"/>
      <c r="D36" s="636"/>
      <c r="E36" s="636"/>
      <c r="F36" s="501"/>
      <c r="G36" s="500"/>
      <c r="H36" s="637"/>
      <c r="I36" s="638"/>
      <c r="J36" s="268">
        <f t="shared" si="0"/>
        <v>0</v>
      </c>
      <c r="K36" s="640"/>
      <c r="L36" s="640"/>
      <c r="M36" s="26">
        <f t="shared" si="1"/>
      </c>
      <c r="N36" s="27">
        <f t="shared" si="2"/>
      </c>
      <c r="O36" s="641"/>
      <c r="P36" s="25">
        <f t="shared" si="15"/>
      </c>
      <c r="Q36" s="703">
        <f t="shared" si="3"/>
      </c>
      <c r="R36" s="25">
        <f t="shared" si="16"/>
      </c>
      <c r="S36" s="338">
        <f t="shared" si="4"/>
        <v>3</v>
      </c>
      <c r="T36" s="342" t="str">
        <f t="shared" si="5"/>
        <v>--</v>
      </c>
      <c r="U36" s="348" t="str">
        <f t="shared" si="6"/>
        <v>--</v>
      </c>
      <c r="V36" s="357" t="str">
        <f t="shared" si="7"/>
        <v>--</v>
      </c>
      <c r="W36" s="358" t="str">
        <f t="shared" si="8"/>
        <v>--</v>
      </c>
      <c r="X36" s="366" t="str">
        <f t="shared" si="9"/>
        <v>--</v>
      </c>
      <c r="Y36" s="367" t="str">
        <f t="shared" si="10"/>
        <v>--</v>
      </c>
      <c r="Z36" s="372" t="str">
        <f t="shared" si="11"/>
        <v>--</v>
      </c>
      <c r="AA36" s="378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7"/>
      <c r="B37" s="173"/>
      <c r="C37" s="636"/>
      <c r="D37" s="636"/>
      <c r="E37" s="636"/>
      <c r="F37" s="501"/>
      <c r="G37" s="500"/>
      <c r="H37" s="637"/>
      <c r="I37" s="638"/>
      <c r="J37" s="268">
        <f t="shared" si="0"/>
        <v>0</v>
      </c>
      <c r="K37" s="640"/>
      <c r="L37" s="640"/>
      <c r="M37" s="26">
        <f t="shared" si="1"/>
      </c>
      <c r="N37" s="27">
        <f t="shared" si="2"/>
      </c>
      <c r="O37" s="641"/>
      <c r="P37" s="25">
        <f t="shared" si="15"/>
      </c>
      <c r="Q37" s="703">
        <f t="shared" si="3"/>
      </c>
      <c r="R37" s="25">
        <f t="shared" si="16"/>
      </c>
      <c r="S37" s="338">
        <f t="shared" si="4"/>
        <v>3</v>
      </c>
      <c r="T37" s="342" t="str">
        <f t="shared" si="5"/>
        <v>--</v>
      </c>
      <c r="U37" s="348" t="str">
        <f t="shared" si="6"/>
        <v>--</v>
      </c>
      <c r="V37" s="357" t="str">
        <f t="shared" si="7"/>
        <v>--</v>
      </c>
      <c r="W37" s="358" t="str">
        <f t="shared" si="8"/>
        <v>--</v>
      </c>
      <c r="X37" s="366" t="str">
        <f t="shared" si="9"/>
        <v>--</v>
      </c>
      <c r="Y37" s="367" t="str">
        <f t="shared" si="10"/>
        <v>--</v>
      </c>
      <c r="Z37" s="372" t="str">
        <f t="shared" si="11"/>
        <v>--</v>
      </c>
      <c r="AA37" s="378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7"/>
      <c r="B38" s="173"/>
      <c r="C38" s="636"/>
      <c r="D38" s="636"/>
      <c r="E38" s="636"/>
      <c r="F38" s="501"/>
      <c r="G38" s="500"/>
      <c r="H38" s="637"/>
      <c r="I38" s="638"/>
      <c r="J38" s="268">
        <f t="shared" si="0"/>
        <v>0</v>
      </c>
      <c r="K38" s="640"/>
      <c r="L38" s="640"/>
      <c r="M38" s="26">
        <f t="shared" si="1"/>
      </c>
      <c r="N38" s="27">
        <f t="shared" si="2"/>
      </c>
      <c r="O38" s="641"/>
      <c r="P38" s="25">
        <f t="shared" si="15"/>
      </c>
      <c r="Q38" s="703">
        <f t="shared" si="3"/>
      </c>
      <c r="R38" s="25">
        <f t="shared" si="16"/>
      </c>
      <c r="S38" s="338">
        <f t="shared" si="4"/>
        <v>3</v>
      </c>
      <c r="T38" s="342" t="str">
        <f t="shared" si="5"/>
        <v>--</v>
      </c>
      <c r="U38" s="348" t="str">
        <f t="shared" si="6"/>
        <v>--</v>
      </c>
      <c r="V38" s="357" t="str">
        <f t="shared" si="7"/>
        <v>--</v>
      </c>
      <c r="W38" s="358" t="str">
        <f t="shared" si="8"/>
        <v>--</v>
      </c>
      <c r="X38" s="366" t="str">
        <f t="shared" si="9"/>
        <v>--</v>
      </c>
      <c r="Y38" s="367" t="str">
        <f t="shared" si="10"/>
        <v>--</v>
      </c>
      <c r="Z38" s="372" t="str">
        <f t="shared" si="11"/>
        <v>--</v>
      </c>
      <c r="AA38" s="378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7"/>
      <c r="B39" s="173"/>
      <c r="C39" s="636"/>
      <c r="D39" s="636"/>
      <c r="E39" s="636"/>
      <c r="F39" s="501"/>
      <c r="G39" s="500"/>
      <c r="H39" s="637"/>
      <c r="I39" s="638"/>
      <c r="J39" s="268">
        <f t="shared" si="0"/>
        <v>0</v>
      </c>
      <c r="K39" s="640"/>
      <c r="L39" s="640"/>
      <c r="M39" s="26">
        <f t="shared" si="1"/>
      </c>
      <c r="N39" s="27">
        <f t="shared" si="2"/>
      </c>
      <c r="O39" s="641"/>
      <c r="P39" s="25">
        <f t="shared" si="15"/>
      </c>
      <c r="Q39" s="703">
        <f t="shared" si="3"/>
      </c>
      <c r="R39" s="25">
        <f t="shared" si="16"/>
      </c>
      <c r="S39" s="338">
        <f t="shared" si="4"/>
        <v>3</v>
      </c>
      <c r="T39" s="342" t="str">
        <f t="shared" si="5"/>
        <v>--</v>
      </c>
      <c r="U39" s="348" t="str">
        <f t="shared" si="6"/>
        <v>--</v>
      </c>
      <c r="V39" s="357" t="str">
        <f t="shared" si="7"/>
        <v>--</v>
      </c>
      <c r="W39" s="358" t="str">
        <f t="shared" si="8"/>
        <v>--</v>
      </c>
      <c r="X39" s="366" t="str">
        <f t="shared" si="9"/>
        <v>--</v>
      </c>
      <c r="Y39" s="367" t="str">
        <f t="shared" si="10"/>
        <v>--</v>
      </c>
      <c r="Z39" s="372" t="str">
        <f t="shared" si="11"/>
        <v>--</v>
      </c>
      <c r="AA39" s="378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7"/>
      <c r="B40" s="173"/>
      <c r="C40" s="636"/>
      <c r="D40" s="636"/>
      <c r="E40" s="636"/>
      <c r="F40" s="501"/>
      <c r="G40" s="500"/>
      <c r="H40" s="637"/>
      <c r="I40" s="638"/>
      <c r="J40" s="268">
        <f t="shared" si="0"/>
        <v>0</v>
      </c>
      <c r="K40" s="640"/>
      <c r="L40" s="640"/>
      <c r="M40" s="26">
        <f t="shared" si="1"/>
      </c>
      <c r="N40" s="27">
        <f t="shared" si="2"/>
      </c>
      <c r="O40" s="641"/>
      <c r="P40" s="25">
        <f t="shared" si="15"/>
      </c>
      <c r="Q40" s="703">
        <f t="shared" si="3"/>
      </c>
      <c r="R40" s="25">
        <f t="shared" si="16"/>
      </c>
      <c r="S40" s="338">
        <f t="shared" si="4"/>
        <v>3</v>
      </c>
      <c r="T40" s="342" t="str">
        <f t="shared" si="5"/>
        <v>--</v>
      </c>
      <c r="U40" s="348" t="str">
        <f t="shared" si="6"/>
        <v>--</v>
      </c>
      <c r="V40" s="357" t="str">
        <f t="shared" si="7"/>
        <v>--</v>
      </c>
      <c r="W40" s="358" t="str">
        <f t="shared" si="8"/>
        <v>--</v>
      </c>
      <c r="X40" s="366" t="str">
        <f t="shared" si="9"/>
        <v>--</v>
      </c>
      <c r="Y40" s="367" t="str">
        <f t="shared" si="10"/>
        <v>--</v>
      </c>
      <c r="Z40" s="372" t="str">
        <f t="shared" si="11"/>
        <v>--</v>
      </c>
      <c r="AA40" s="378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7"/>
      <c r="B41" s="173"/>
      <c r="C41" s="636"/>
      <c r="D41" s="636"/>
      <c r="E41" s="636"/>
      <c r="F41" s="501"/>
      <c r="G41" s="500"/>
      <c r="H41" s="637"/>
      <c r="I41" s="638"/>
      <c r="J41" s="268">
        <f t="shared" si="0"/>
        <v>0</v>
      </c>
      <c r="K41" s="640"/>
      <c r="L41" s="640"/>
      <c r="M41" s="26">
        <f t="shared" si="1"/>
      </c>
      <c r="N41" s="27">
        <f t="shared" si="2"/>
      </c>
      <c r="O41" s="641"/>
      <c r="P41" s="25">
        <f t="shared" si="15"/>
      </c>
      <c r="Q41" s="703">
        <f t="shared" si="3"/>
      </c>
      <c r="R41" s="25">
        <f t="shared" si="16"/>
      </c>
      <c r="S41" s="338">
        <f t="shared" si="4"/>
        <v>3</v>
      </c>
      <c r="T41" s="342" t="str">
        <f t="shared" si="5"/>
        <v>--</v>
      </c>
      <c r="U41" s="348" t="str">
        <f t="shared" si="6"/>
        <v>--</v>
      </c>
      <c r="V41" s="357" t="str">
        <f t="shared" si="7"/>
        <v>--</v>
      </c>
      <c r="W41" s="358" t="str">
        <f t="shared" si="8"/>
        <v>--</v>
      </c>
      <c r="X41" s="366" t="str">
        <f t="shared" si="9"/>
        <v>--</v>
      </c>
      <c r="Y41" s="367" t="str">
        <f t="shared" si="10"/>
        <v>--</v>
      </c>
      <c r="Z41" s="372" t="str">
        <f t="shared" si="11"/>
        <v>--</v>
      </c>
      <c r="AA41" s="378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7"/>
      <c r="B42" s="173"/>
      <c r="C42" s="636"/>
      <c r="D42" s="636"/>
      <c r="E42" s="636"/>
      <c r="F42" s="501"/>
      <c r="G42" s="500"/>
      <c r="H42" s="637"/>
      <c r="I42" s="638"/>
      <c r="J42" s="268">
        <f t="shared" si="0"/>
        <v>0</v>
      </c>
      <c r="K42" s="640"/>
      <c r="L42" s="640"/>
      <c r="M42" s="26">
        <f t="shared" si="1"/>
      </c>
      <c r="N42" s="27">
        <f t="shared" si="2"/>
      </c>
      <c r="O42" s="641"/>
      <c r="P42" s="25">
        <f t="shared" si="15"/>
      </c>
      <c r="Q42" s="703">
        <f t="shared" si="3"/>
      </c>
      <c r="R42" s="25">
        <f t="shared" si="16"/>
      </c>
      <c r="S42" s="338">
        <f t="shared" si="4"/>
        <v>3</v>
      </c>
      <c r="T42" s="342" t="str">
        <f t="shared" si="5"/>
        <v>--</v>
      </c>
      <c r="U42" s="348" t="str">
        <f t="shared" si="6"/>
        <v>--</v>
      </c>
      <c r="V42" s="357" t="str">
        <f t="shared" si="7"/>
        <v>--</v>
      </c>
      <c r="W42" s="358" t="str">
        <f t="shared" si="8"/>
        <v>--</v>
      </c>
      <c r="X42" s="366" t="str">
        <f t="shared" si="9"/>
        <v>--</v>
      </c>
      <c r="Y42" s="367" t="str">
        <f t="shared" si="10"/>
        <v>--</v>
      </c>
      <c r="Z42" s="372" t="str">
        <f t="shared" si="11"/>
        <v>--</v>
      </c>
      <c r="AA42" s="378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7"/>
      <c r="B43" s="173"/>
      <c r="C43" s="636"/>
      <c r="D43" s="636"/>
      <c r="E43" s="636"/>
      <c r="F43" s="501"/>
      <c r="G43" s="500"/>
      <c r="H43" s="637"/>
      <c r="I43" s="638"/>
      <c r="J43" s="268">
        <f t="shared" si="0"/>
        <v>0</v>
      </c>
      <c r="K43" s="640"/>
      <c r="L43" s="640"/>
      <c r="M43" s="26">
        <f t="shared" si="1"/>
      </c>
      <c r="N43" s="27">
        <f t="shared" si="2"/>
      </c>
      <c r="O43" s="641"/>
      <c r="P43" s="25">
        <f t="shared" si="15"/>
      </c>
      <c r="Q43" s="703">
        <f t="shared" si="3"/>
      </c>
      <c r="R43" s="25">
        <f t="shared" si="16"/>
      </c>
      <c r="S43" s="338">
        <f t="shared" si="4"/>
        <v>3</v>
      </c>
      <c r="T43" s="342" t="str">
        <f t="shared" si="5"/>
        <v>--</v>
      </c>
      <c r="U43" s="348" t="str">
        <f t="shared" si="6"/>
        <v>--</v>
      </c>
      <c r="V43" s="357" t="str">
        <f t="shared" si="7"/>
        <v>--</v>
      </c>
      <c r="W43" s="358" t="str">
        <f t="shared" si="8"/>
        <v>--</v>
      </c>
      <c r="X43" s="366" t="str">
        <f t="shared" si="9"/>
        <v>--</v>
      </c>
      <c r="Y43" s="367" t="str">
        <f t="shared" si="10"/>
        <v>--</v>
      </c>
      <c r="Z43" s="372" t="str">
        <f t="shared" si="11"/>
        <v>--</v>
      </c>
      <c r="AA43" s="378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7"/>
      <c r="B44" s="173"/>
      <c r="C44" s="639"/>
      <c r="D44" s="639"/>
      <c r="E44" s="639"/>
      <c r="F44" s="639"/>
      <c r="G44" s="639"/>
      <c r="H44" s="639"/>
      <c r="I44" s="639"/>
      <c r="J44" s="272"/>
      <c r="K44" s="639"/>
      <c r="L44" s="639"/>
      <c r="M44" s="29"/>
      <c r="N44" s="29"/>
      <c r="O44" s="639"/>
      <c r="P44" s="639"/>
      <c r="Q44" s="639"/>
      <c r="R44" s="639"/>
      <c r="S44" s="339"/>
      <c r="T44" s="343"/>
      <c r="U44" s="349"/>
      <c r="V44" s="381"/>
      <c r="W44" s="382"/>
      <c r="X44" s="383"/>
      <c r="Y44" s="384"/>
      <c r="Z44" s="373"/>
      <c r="AA44" s="379"/>
      <c r="AB44" s="29"/>
      <c r="AC44" s="215"/>
      <c r="AD44" s="38"/>
    </row>
    <row r="45" spans="1:30" s="10" customFormat="1" ht="16.5" customHeight="1" thickBot="1" thickTop="1">
      <c r="A45" s="167"/>
      <c r="B45" s="173"/>
      <c r="C45" s="240" t="s">
        <v>64</v>
      </c>
      <c r="D45" s="723" t="s">
        <v>179</v>
      </c>
      <c r="E45" s="686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4">
        <f aca="true" t="shared" si="17" ref="T45:AA45">SUM(T22:T44)</f>
        <v>47.385000000000005</v>
      </c>
      <c r="U45" s="350">
        <f t="shared" si="17"/>
        <v>0</v>
      </c>
      <c r="V45" s="359">
        <f t="shared" si="17"/>
        <v>0</v>
      </c>
      <c r="W45" s="359">
        <f t="shared" si="17"/>
        <v>0</v>
      </c>
      <c r="X45" s="368">
        <f t="shared" si="17"/>
        <v>0</v>
      </c>
      <c r="Y45" s="368">
        <f t="shared" si="17"/>
        <v>0</v>
      </c>
      <c r="Z45" s="374">
        <f t="shared" si="17"/>
        <v>0</v>
      </c>
      <c r="AA45" s="380">
        <f t="shared" si="17"/>
        <v>0</v>
      </c>
      <c r="AB45" s="31"/>
      <c r="AC45" s="256">
        <f>ROUND(SUM(AC22:AC44),2)</f>
        <v>47.39</v>
      </c>
      <c r="AD45" s="38"/>
    </row>
    <row r="46" spans="1:30" s="258" customFormat="1" ht="9.75" thickTop="1">
      <c r="A46" s="259"/>
      <c r="B46" s="260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2"/>
      <c r="V46" s="262"/>
      <c r="W46" s="262"/>
      <c r="X46" s="262"/>
      <c r="Y46" s="262"/>
      <c r="Z46" s="262"/>
      <c r="AA46" s="262"/>
      <c r="AB46" s="261"/>
      <c r="AC46" s="263"/>
      <c r="AD46" s="264"/>
    </row>
    <row r="47" spans="1:30" s="10" customFormat="1" ht="16.5" customHeight="1" thickBot="1">
      <c r="A47" s="167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45" right="0.47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16" sqref="G16:G1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42.4218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+'TOT-0114'!B2</f>
        <v>ANEXO I al Memorándum  D.T.E.E.  N°        34   / 2014.-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9" t="s">
        <v>17</v>
      </c>
      <c r="C4" s="688"/>
      <c r="D4" s="688"/>
    </row>
    <row r="5" spans="1:4" s="112" customFormat="1" ht="11.25">
      <c r="A5" s="689" t="s">
        <v>147</v>
      </c>
      <c r="C5" s="688"/>
      <c r="D5" s="688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82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83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14" customFormat="1" ht="20.25">
      <c r="B12" s="113"/>
      <c r="C12" s="45"/>
      <c r="D12" s="45"/>
      <c r="E12" s="45"/>
      <c r="F12" s="21" t="s">
        <v>83</v>
      </c>
      <c r="G12" s="21"/>
      <c r="H12" s="45"/>
      <c r="I12" s="21"/>
      <c r="J12" s="21"/>
      <c r="K12" s="21"/>
      <c r="L12" s="21"/>
      <c r="M12" s="21"/>
      <c r="P12" s="45"/>
      <c r="Q12" s="45"/>
      <c r="R12" s="45"/>
      <c r="S12" s="45"/>
      <c r="T12" s="45"/>
      <c r="U12" s="45"/>
      <c r="V12" s="45"/>
      <c r="W12" s="115"/>
    </row>
    <row r="13" spans="2:23" s="10" customFormat="1" ht="12.75">
      <c r="B13" s="44"/>
      <c r="C13" s="8"/>
      <c r="D13" s="8"/>
      <c r="E13" s="8"/>
      <c r="F13" s="125"/>
      <c r="G13" s="123"/>
      <c r="H13" s="8"/>
      <c r="I13" s="123"/>
      <c r="J13" s="123"/>
      <c r="K13" s="123"/>
      <c r="L13" s="123"/>
      <c r="M13" s="123"/>
      <c r="P13" s="8"/>
      <c r="Q13" s="8"/>
      <c r="R13" s="8"/>
      <c r="S13" s="8"/>
      <c r="T13" s="8"/>
      <c r="U13" s="8"/>
      <c r="V13" s="8"/>
      <c r="W13" s="11"/>
    </row>
    <row r="14" spans="2:23" s="121" customFormat="1" ht="19.5">
      <c r="B14" s="87" t="str">
        <f>+'TOT-0114'!B14</f>
        <v>Desde el 01 al 31 de enero de 2014</v>
      </c>
      <c r="C14" s="117"/>
      <c r="D14" s="117"/>
      <c r="E14" s="117"/>
      <c r="F14" s="117"/>
      <c r="G14" s="117"/>
      <c r="H14" s="86"/>
      <c r="I14" s="117"/>
      <c r="J14" s="11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0"/>
    </row>
    <row r="15" spans="2:23" s="10" customFormat="1" ht="16.5" customHeight="1" thickBot="1">
      <c r="B15" s="44"/>
      <c r="C15" s="8"/>
      <c r="D15" s="8"/>
      <c r="E15" s="8"/>
      <c r="I15" s="122"/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84</v>
      </c>
      <c r="G16" s="221">
        <v>26.747</v>
      </c>
      <c r="H16" s="93">
        <v>60</v>
      </c>
      <c r="I16" s="122"/>
      <c r="J16" s="236" t="str">
        <f>IF(H16=60," ",IF(H16=120,"Coeficiente duplicado por tasa de falla &gt;4 Sal. x año/100 km.","REVISAR COEFICIENTE"))</f>
        <v> </v>
      </c>
      <c r="K16" s="8"/>
      <c r="L16" s="8"/>
      <c r="M16" s="8"/>
      <c r="N16" s="122"/>
      <c r="O16" s="122"/>
      <c r="P16" s="122"/>
      <c r="Q16" s="8"/>
      <c r="R16" s="8"/>
      <c r="S16" s="8"/>
      <c r="T16" s="8"/>
      <c r="U16" s="8"/>
      <c r="V16" s="8"/>
      <c r="W16" s="11"/>
    </row>
    <row r="17" spans="2:23" s="10" customFormat="1" ht="16.5" customHeight="1" thickBot="1" thickTop="1">
      <c r="B17" s="44"/>
      <c r="C17" s="8"/>
      <c r="D17" s="8"/>
      <c r="E17" s="8"/>
      <c r="F17" s="220" t="s">
        <v>85</v>
      </c>
      <c r="G17" s="221">
        <v>12.9</v>
      </c>
      <c r="H17" s="93">
        <v>50</v>
      </c>
      <c r="J17" s="236" t="str">
        <f>IF(H17=50," ",IF(H17=100,"Coeficiente duplicado por tasa de falla &gt;4 Sal. x año/100 km.","REVISAR COEFICIENTE"))</f>
        <v> </v>
      </c>
      <c r="Q17" s="274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2" t="s">
        <v>86</v>
      </c>
      <c r="G18" s="223">
        <v>9.681000000000001</v>
      </c>
      <c r="H18" s="224">
        <v>25</v>
      </c>
      <c r="J18" s="236" t="str">
        <f>IF(H18=25," ",IF(H18=50,"Coeficiente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16.5" customHeight="1" thickBot="1" thickTop="1">
      <c r="B19" s="44"/>
      <c r="C19" s="8"/>
      <c r="D19" s="8"/>
      <c r="E19" s="8"/>
      <c r="F19" s="225" t="s">
        <v>87</v>
      </c>
      <c r="G19" s="223">
        <v>9.681000000000001</v>
      </c>
      <c r="H19" s="226">
        <v>20</v>
      </c>
      <c r="J19" s="236" t="str">
        <f>IF(H19=20," ",IF(H19=40,"Coeficiente duplicado por tasa de falla &gt;4 Sal. x año/100 km.","REVISAR COEFICIENTE"))</f>
        <v> </v>
      </c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12" customFormat="1" ht="16.5" customHeight="1" thickBot="1" thickTop="1">
      <c r="B20" s="709"/>
      <c r="C20" s="710">
        <v>3</v>
      </c>
      <c r="D20" s="710">
        <v>4</v>
      </c>
      <c r="E20" s="710">
        <v>5</v>
      </c>
      <c r="F20" s="710">
        <v>6</v>
      </c>
      <c r="G20" s="710">
        <v>7</v>
      </c>
      <c r="H20" s="710">
        <v>8</v>
      </c>
      <c r="I20" s="710">
        <v>9</v>
      </c>
      <c r="J20" s="710">
        <v>10</v>
      </c>
      <c r="K20" s="710">
        <v>11</v>
      </c>
      <c r="L20" s="710">
        <v>12</v>
      </c>
      <c r="M20" s="710">
        <v>13</v>
      </c>
      <c r="N20" s="710">
        <v>14</v>
      </c>
      <c r="O20" s="710">
        <v>15</v>
      </c>
      <c r="P20" s="710">
        <v>16</v>
      </c>
      <c r="Q20" s="710">
        <v>17</v>
      </c>
      <c r="R20" s="710">
        <v>18</v>
      </c>
      <c r="S20" s="710">
        <v>19</v>
      </c>
      <c r="T20" s="710">
        <v>20</v>
      </c>
      <c r="U20" s="710">
        <v>21</v>
      </c>
      <c r="V20" s="710">
        <v>22</v>
      </c>
      <c r="W20" s="711"/>
    </row>
    <row r="21" spans="2:23" s="10" customFormat="1" ht="33.75" customHeight="1" thickBot="1" thickTop="1">
      <c r="B21" s="44"/>
      <c r="C21" s="213" t="s">
        <v>46</v>
      </c>
      <c r="D21" s="101" t="s">
        <v>146</v>
      </c>
      <c r="E21" s="101" t="s">
        <v>145</v>
      </c>
      <c r="F21" s="211" t="s">
        <v>70</v>
      </c>
      <c r="G21" s="227" t="s">
        <v>15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406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411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406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51">
        <v>5</v>
      </c>
      <c r="D24" s="636">
        <v>270372</v>
      </c>
      <c r="E24" s="636">
        <v>3519</v>
      </c>
      <c r="F24" s="652" t="s">
        <v>156</v>
      </c>
      <c r="G24" s="652" t="s">
        <v>159</v>
      </c>
      <c r="H24" s="653">
        <v>33</v>
      </c>
      <c r="I24" s="273">
        <f>IF(H24=330,$G$16,IF(AND(H24&lt;=132,H24&gt;=66),$G$17,IF(AND(H24&lt;66,H24&gt;=33),$G$18,$G$19)))</f>
        <v>9.681000000000001</v>
      </c>
      <c r="J24" s="654">
        <v>41651.27222222222</v>
      </c>
      <c r="K24" s="655">
        <v>41651.31736111111</v>
      </c>
      <c r="L24" s="35">
        <f>IF(F24="","",(K24-J24)*24)</f>
        <v>1.0833333333721384</v>
      </c>
      <c r="M24" s="64">
        <f>IF(F24="","",ROUND((K24-J24)*24*60,0))</f>
        <v>65</v>
      </c>
      <c r="N24" s="656" t="s">
        <v>152</v>
      </c>
      <c r="O24" s="28" t="str">
        <f>IF(F24="","",IF(N24="P","--","NO"))</f>
        <v>--</v>
      </c>
      <c r="P24" s="387">
        <f>IF(H24=330,$H$16,IF(AND(H24&lt;=132,H24&gt;=66),$H$17,IF(AND(H24&lt;66,H24&gt;13.2),$H$18,$H$19)))</f>
        <v>25</v>
      </c>
      <c r="Q24" s="706">
        <f>IF(N24="P",I24*P24*ROUND(M24/60,2)*0.1,"--")</f>
        <v>26.138700000000007</v>
      </c>
      <c r="R24" s="366" t="str">
        <f>IF(AND(N24="F",O24="NO"),I24*P24,"--")</f>
        <v>--</v>
      </c>
      <c r="S24" s="367" t="str">
        <f>IF(N24="F",I24*P24*ROUND(M24/60,2),"--")</f>
        <v>--</v>
      </c>
      <c r="T24" s="398" t="str">
        <f>IF(N24="RF",I24*P24*ROUND(M24/60,2),"--")</f>
        <v>--</v>
      </c>
      <c r="U24" s="25" t="s">
        <v>153</v>
      </c>
      <c r="V24" s="65">
        <f>IF(F24="","",SUM(Q24:T24)*IF(U24="SI",1,2)*IF(H24="500/220",0,1))</f>
        <v>26.138700000000007</v>
      </c>
      <c r="W24" s="38"/>
    </row>
    <row r="25" spans="2:23" s="10" customFormat="1" ht="16.5" customHeight="1">
      <c r="B25" s="44"/>
      <c r="C25" s="651">
        <v>6</v>
      </c>
      <c r="D25" s="636">
        <v>270373</v>
      </c>
      <c r="E25" s="636">
        <v>4589</v>
      </c>
      <c r="F25" s="652" t="s">
        <v>156</v>
      </c>
      <c r="G25" s="652" t="s">
        <v>160</v>
      </c>
      <c r="H25" s="653">
        <v>132</v>
      </c>
      <c r="I25" s="273">
        <f>IF(H25=330,$G$16,IF(AND(H25&lt;=132,H25&gt;=66),$G$17,IF(AND(H25&lt;66,H25&gt;=33),$G$18,$G$19)))</f>
        <v>12.9</v>
      </c>
      <c r="J25" s="654">
        <v>41651.27222222222</v>
      </c>
      <c r="K25" s="655">
        <v>41651.31736111111</v>
      </c>
      <c r="L25" s="35">
        <f>IF(F25="","",(K25-J25)*24)</f>
        <v>1.0833333333721384</v>
      </c>
      <c r="M25" s="64">
        <f>IF(F25="","",ROUND((K25-J25)*24*60,0))</f>
        <v>65</v>
      </c>
      <c r="N25" s="656" t="s">
        <v>152</v>
      </c>
      <c r="O25" s="28" t="str">
        <f>IF(F25="","",IF(N25="P","--","NO"))</f>
        <v>--</v>
      </c>
      <c r="P25" s="387">
        <f>IF(H25=330,$H$16,IF(AND(H25&lt;=132,H25&gt;=66),$H$17,IF(AND(H25&lt;66,H25&gt;13.2),$H$18,$H$19)))</f>
        <v>50</v>
      </c>
      <c r="Q25" s="706">
        <f>IF(N25="P",I25*P25*ROUND(M25/60,2)*0.1,"--")</f>
        <v>69.66000000000001</v>
      </c>
      <c r="R25" s="366" t="str">
        <f>IF(AND(N25="F",O25="NO"),I25*P25,"--")</f>
        <v>--</v>
      </c>
      <c r="S25" s="367" t="str">
        <f>IF(N25="F",I25*P25*ROUND(M25/60,2),"--")</f>
        <v>--</v>
      </c>
      <c r="T25" s="398" t="str">
        <f>IF(N25="RF",I25*P25*ROUND(M25/60,2),"--")</f>
        <v>--</v>
      </c>
      <c r="U25" s="25" t="s">
        <v>153</v>
      </c>
      <c r="V25" s="65">
        <f>IF(F25="","",SUM(Q25:T25)*IF(U25="SI",1,2)*IF(H25="500/220",0,1))</f>
        <v>69.66000000000001</v>
      </c>
      <c r="W25" s="38"/>
    </row>
    <row r="26" spans="2:23" s="10" customFormat="1" ht="16.5" customHeight="1">
      <c r="B26" s="44"/>
      <c r="C26" s="651"/>
      <c r="D26" s="636"/>
      <c r="E26" s="636"/>
      <c r="F26" s="652"/>
      <c r="G26" s="652"/>
      <c r="H26" s="653"/>
      <c r="I26" s="273"/>
      <c r="J26" s="654"/>
      <c r="K26" s="655"/>
      <c r="L26" s="35"/>
      <c r="M26" s="64"/>
      <c r="N26" s="656"/>
      <c r="O26" s="28"/>
      <c r="P26" s="387"/>
      <c r="Q26" s="706"/>
      <c r="R26" s="366"/>
      <c r="S26" s="367"/>
      <c r="T26" s="398"/>
      <c r="U26" s="25"/>
      <c r="V26" s="65"/>
      <c r="W26" s="38"/>
    </row>
    <row r="27" spans="2:23" s="10" customFormat="1" ht="16.5" customHeight="1">
      <c r="B27" s="44"/>
      <c r="C27" s="651"/>
      <c r="D27" s="636"/>
      <c r="E27" s="636"/>
      <c r="F27" s="652"/>
      <c r="G27" s="652"/>
      <c r="H27" s="653"/>
      <c r="I27" s="273"/>
      <c r="J27" s="654"/>
      <c r="K27" s="655"/>
      <c r="L27" s="35"/>
      <c r="M27" s="64"/>
      <c r="N27" s="656"/>
      <c r="O27" s="28"/>
      <c r="P27" s="387"/>
      <c r="Q27" s="706"/>
      <c r="R27" s="366"/>
      <c r="S27" s="367"/>
      <c r="T27" s="398"/>
      <c r="U27" s="25"/>
      <c r="V27" s="65"/>
      <c r="W27" s="38"/>
    </row>
    <row r="28" spans="2:23" s="10" customFormat="1" ht="16.5" customHeight="1">
      <c r="B28" s="44"/>
      <c r="C28" s="651"/>
      <c r="D28" s="636"/>
      <c r="E28" s="636"/>
      <c r="F28" s="652"/>
      <c r="G28" s="652"/>
      <c r="H28" s="653"/>
      <c r="I28" s="273"/>
      <c r="J28" s="654"/>
      <c r="K28" s="655"/>
      <c r="L28" s="35"/>
      <c r="M28" s="64"/>
      <c r="N28" s="656"/>
      <c r="O28" s="28"/>
      <c r="P28" s="387"/>
      <c r="Q28" s="706"/>
      <c r="R28" s="366"/>
      <c r="S28" s="367"/>
      <c r="T28" s="398"/>
      <c r="U28" s="25"/>
      <c r="V28" s="65"/>
      <c r="W28" s="38"/>
    </row>
    <row r="29" spans="2:23" s="10" customFormat="1" ht="16.5" customHeight="1">
      <c r="B29" s="44"/>
      <c r="C29" s="651"/>
      <c r="D29" s="636"/>
      <c r="E29" s="636"/>
      <c r="F29" s="652"/>
      <c r="G29" s="652"/>
      <c r="H29" s="653"/>
      <c r="I29" s="273"/>
      <c r="J29" s="654"/>
      <c r="K29" s="655"/>
      <c r="L29" s="35"/>
      <c r="M29" s="64"/>
      <c r="N29" s="656"/>
      <c r="O29" s="28"/>
      <c r="P29" s="387"/>
      <c r="Q29" s="706"/>
      <c r="R29" s="366"/>
      <c r="S29" s="367"/>
      <c r="T29" s="398"/>
      <c r="U29" s="25"/>
      <c r="V29" s="65"/>
      <c r="W29" s="38"/>
    </row>
    <row r="30" spans="2:23" s="10" customFormat="1" ht="16.5" customHeight="1">
      <c r="B30" s="44"/>
      <c r="C30" s="651"/>
      <c r="D30" s="636"/>
      <c r="E30" s="636"/>
      <c r="F30" s="652"/>
      <c r="G30" s="652"/>
      <c r="H30" s="653"/>
      <c r="I30" s="273"/>
      <c r="J30" s="654"/>
      <c r="K30" s="655"/>
      <c r="L30" s="35"/>
      <c r="M30" s="64"/>
      <c r="N30" s="656"/>
      <c r="O30" s="28"/>
      <c r="P30" s="387"/>
      <c r="Q30" s="706"/>
      <c r="R30" s="366"/>
      <c r="S30" s="367"/>
      <c r="T30" s="398"/>
      <c r="U30" s="25"/>
      <c r="V30" s="65"/>
      <c r="W30" s="38"/>
    </row>
    <row r="31" spans="2:23" s="10" customFormat="1" ht="16.5" customHeight="1">
      <c r="B31" s="44"/>
      <c r="C31" s="651"/>
      <c r="D31" s="636"/>
      <c r="E31" s="636"/>
      <c r="F31" s="652"/>
      <c r="G31" s="652"/>
      <c r="H31" s="653"/>
      <c r="I31" s="273"/>
      <c r="J31" s="654"/>
      <c r="K31" s="655"/>
      <c r="L31" s="35"/>
      <c r="M31" s="64"/>
      <c r="N31" s="656"/>
      <c r="O31" s="28"/>
      <c r="P31" s="387"/>
      <c r="Q31" s="706"/>
      <c r="R31" s="366"/>
      <c r="S31" s="367"/>
      <c r="T31" s="398"/>
      <c r="U31" s="25"/>
      <c r="V31" s="65"/>
      <c r="W31" s="38"/>
    </row>
    <row r="32" spans="2:23" s="10" customFormat="1" ht="16.5" customHeight="1">
      <c r="B32" s="44"/>
      <c r="C32" s="651"/>
      <c r="D32" s="636"/>
      <c r="E32" s="636"/>
      <c r="F32" s="652"/>
      <c r="G32" s="652"/>
      <c r="H32" s="653"/>
      <c r="I32" s="273"/>
      <c r="J32" s="654"/>
      <c r="K32" s="655"/>
      <c r="L32" s="35"/>
      <c r="M32" s="64"/>
      <c r="N32" s="656"/>
      <c r="O32" s="28"/>
      <c r="P32" s="387"/>
      <c r="Q32" s="706"/>
      <c r="R32" s="366"/>
      <c r="S32" s="367"/>
      <c r="T32" s="398"/>
      <c r="U32" s="25"/>
      <c r="V32" s="65"/>
      <c r="W32" s="38"/>
    </row>
    <row r="33" spans="2:23" s="10" customFormat="1" ht="16.5" customHeight="1">
      <c r="B33" s="44"/>
      <c r="C33" s="651"/>
      <c r="D33" s="636"/>
      <c r="E33" s="636"/>
      <c r="F33" s="652"/>
      <c r="G33" s="652"/>
      <c r="H33" s="653"/>
      <c r="I33" s="273"/>
      <c r="J33" s="654"/>
      <c r="K33" s="655"/>
      <c r="L33" s="35"/>
      <c r="M33" s="64"/>
      <c r="N33" s="656"/>
      <c r="O33" s="28"/>
      <c r="P33" s="387"/>
      <c r="Q33" s="706"/>
      <c r="R33" s="366"/>
      <c r="S33" s="367"/>
      <c r="T33" s="398"/>
      <c r="U33" s="25"/>
      <c r="V33" s="65"/>
      <c r="W33" s="38"/>
    </row>
    <row r="34" spans="2:23" s="10" customFormat="1" ht="16.5" customHeight="1">
      <c r="B34" s="44"/>
      <c r="C34" s="651"/>
      <c r="D34" s="636"/>
      <c r="E34" s="636"/>
      <c r="F34" s="652"/>
      <c r="G34" s="652"/>
      <c r="H34" s="653"/>
      <c r="I34" s="273"/>
      <c r="J34" s="654"/>
      <c r="K34" s="655"/>
      <c r="L34" s="35"/>
      <c r="M34" s="64"/>
      <c r="N34" s="656"/>
      <c r="O34" s="28"/>
      <c r="P34" s="387"/>
      <c r="Q34" s="706"/>
      <c r="R34" s="366"/>
      <c r="S34" s="367"/>
      <c r="T34" s="398"/>
      <c r="U34" s="25"/>
      <c r="V34" s="65"/>
      <c r="W34" s="38"/>
    </row>
    <row r="35" spans="2:23" s="10" customFormat="1" ht="16.5" customHeight="1">
      <c r="B35" s="44"/>
      <c r="C35" s="651"/>
      <c r="D35" s="636"/>
      <c r="E35" s="636"/>
      <c r="F35" s="652"/>
      <c r="G35" s="652"/>
      <c r="H35" s="653"/>
      <c r="I35" s="273"/>
      <c r="J35" s="654"/>
      <c r="K35" s="655"/>
      <c r="L35" s="35"/>
      <c r="M35" s="64"/>
      <c r="N35" s="656"/>
      <c r="O35" s="28"/>
      <c r="P35" s="387"/>
      <c r="Q35" s="706"/>
      <c r="R35" s="366"/>
      <c r="S35" s="367"/>
      <c r="T35" s="398"/>
      <c r="U35" s="25"/>
      <c r="V35" s="65"/>
      <c r="W35" s="38"/>
    </row>
    <row r="36" spans="2:23" s="10" customFormat="1" ht="16.5" customHeight="1">
      <c r="B36" s="44"/>
      <c r="C36" s="651"/>
      <c r="D36" s="636"/>
      <c r="E36" s="636"/>
      <c r="F36" s="652"/>
      <c r="G36" s="652"/>
      <c r="H36" s="653"/>
      <c r="I36" s="273"/>
      <c r="J36" s="654"/>
      <c r="K36" s="655"/>
      <c r="L36" s="35"/>
      <c r="M36" s="64"/>
      <c r="N36" s="656"/>
      <c r="O36" s="28"/>
      <c r="P36" s="387"/>
      <c r="Q36" s="706"/>
      <c r="R36" s="366"/>
      <c r="S36" s="367"/>
      <c r="T36" s="398"/>
      <c r="U36" s="25"/>
      <c r="V36" s="65"/>
      <c r="W36" s="38"/>
    </row>
    <row r="37" spans="2:23" s="10" customFormat="1" ht="16.5" customHeight="1">
      <c r="B37" s="44"/>
      <c r="C37" s="651"/>
      <c r="D37" s="636"/>
      <c r="E37" s="636"/>
      <c r="F37" s="652"/>
      <c r="G37" s="652"/>
      <c r="H37" s="653"/>
      <c r="I37" s="273"/>
      <c r="J37" s="654"/>
      <c r="K37" s="655"/>
      <c r="L37" s="35"/>
      <c r="M37" s="64"/>
      <c r="N37" s="656"/>
      <c r="O37" s="28"/>
      <c r="P37" s="387"/>
      <c r="Q37" s="706"/>
      <c r="R37" s="366"/>
      <c r="S37" s="367"/>
      <c r="T37" s="398"/>
      <c r="U37" s="25"/>
      <c r="V37" s="65"/>
      <c r="W37" s="38"/>
    </row>
    <row r="38" spans="2:23" s="10" customFormat="1" ht="16.5" customHeight="1">
      <c r="B38" s="44"/>
      <c r="C38" s="651"/>
      <c r="D38" s="636"/>
      <c r="E38" s="636"/>
      <c r="F38" s="652"/>
      <c r="G38" s="652"/>
      <c r="H38" s="653"/>
      <c r="I38" s="273">
        <f aca="true" t="shared" si="0" ref="I38:I43">IF(H38=330,$G$16,IF(AND(H38&lt;=132,H38&gt;=66),$G$17,IF(AND(H38&lt;66,H38&gt;=33),$G$18,$G$19)))</f>
        <v>9.681000000000001</v>
      </c>
      <c r="J38" s="654"/>
      <c r="K38" s="655"/>
      <c r="L38" s="35">
        <f aca="true" t="shared" si="1" ref="L38:L43">IF(F38="","",(K38-J38)*24)</f>
      </c>
      <c r="M38" s="64">
        <f aca="true" t="shared" si="2" ref="M38:M43">IF(F38="","",ROUND((K38-J38)*24*60,0))</f>
      </c>
      <c r="N38" s="656"/>
      <c r="O38" s="28">
        <f aca="true" t="shared" si="3" ref="O38:O43">IF(F38="","",IF(N38="P","--","NO"))</f>
      </c>
      <c r="P38" s="387">
        <f aca="true" t="shared" si="4" ref="P38:P43">IF(H38=330,$H$16,IF(AND(H38&lt;=132,H38&gt;=66),$H$17,IF(AND(H38&lt;66,H38&gt;13.2),$H$18,$H$19)))</f>
        <v>20</v>
      </c>
      <c r="Q38" s="706" t="str">
        <f aca="true" t="shared" si="5" ref="Q38:Q43">IF(N38="P",I38*P38*ROUND(M38/60,2)*0.1,"--")</f>
        <v>--</v>
      </c>
      <c r="R38" s="366" t="str">
        <f aca="true" t="shared" si="6" ref="R38:R43">IF(AND(N38="F",O38="NO"),I38*P38,"--")</f>
        <v>--</v>
      </c>
      <c r="S38" s="367" t="str">
        <f aca="true" t="shared" si="7" ref="S38:S43">IF(N38="F",I38*P38*ROUND(M38/60,2),"--")</f>
        <v>--</v>
      </c>
      <c r="T38" s="398" t="str">
        <f aca="true" t="shared" si="8" ref="T38:T43">IF(N38="RF",I38*P38*ROUND(M38/60,2),"--")</f>
        <v>--</v>
      </c>
      <c r="U38" s="25">
        <f aca="true" t="shared" si="9" ref="U38:U43">IF(F38="","","SI")</f>
      </c>
      <c r="V38" s="65">
        <f aca="true" t="shared" si="10" ref="V38:V43">IF(F38="","",SUM(Q38:T38)*IF(U38="SI",1,2)*IF(H38="500/220",0,1))</f>
      </c>
      <c r="W38" s="38"/>
    </row>
    <row r="39" spans="2:23" s="10" customFormat="1" ht="16.5" customHeight="1">
      <c r="B39" s="44"/>
      <c r="C39" s="651"/>
      <c r="D39" s="636"/>
      <c r="E39" s="636"/>
      <c r="F39" s="652"/>
      <c r="G39" s="652"/>
      <c r="H39" s="653"/>
      <c r="I39" s="273">
        <f t="shared" si="0"/>
        <v>9.681000000000001</v>
      </c>
      <c r="J39" s="654"/>
      <c r="K39" s="655"/>
      <c r="L39" s="35">
        <f t="shared" si="1"/>
      </c>
      <c r="M39" s="64">
        <f t="shared" si="2"/>
      </c>
      <c r="N39" s="656"/>
      <c r="O39" s="28">
        <f t="shared" si="3"/>
      </c>
      <c r="P39" s="387">
        <f t="shared" si="4"/>
        <v>20</v>
      </c>
      <c r="Q39" s="706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8"/>
        <v>--</v>
      </c>
      <c r="U39" s="25">
        <f t="shared" si="9"/>
      </c>
      <c r="V39" s="65">
        <f t="shared" si="10"/>
      </c>
      <c r="W39" s="38"/>
    </row>
    <row r="40" spans="2:23" s="10" customFormat="1" ht="16.5" customHeight="1">
      <c r="B40" s="44"/>
      <c r="C40" s="651"/>
      <c r="D40" s="636"/>
      <c r="E40" s="636"/>
      <c r="F40" s="652"/>
      <c r="G40" s="652"/>
      <c r="H40" s="653"/>
      <c r="I40" s="273">
        <f t="shared" si="0"/>
        <v>9.681000000000001</v>
      </c>
      <c r="J40" s="654"/>
      <c r="K40" s="655"/>
      <c r="L40" s="35">
        <f t="shared" si="1"/>
      </c>
      <c r="M40" s="64">
        <f t="shared" si="2"/>
      </c>
      <c r="N40" s="656"/>
      <c r="O40" s="28">
        <f t="shared" si="3"/>
      </c>
      <c r="P40" s="387">
        <f t="shared" si="4"/>
        <v>20</v>
      </c>
      <c r="Q40" s="706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8"/>
        <v>--</v>
      </c>
      <c r="U40" s="25">
        <f t="shared" si="9"/>
      </c>
      <c r="V40" s="65">
        <f t="shared" si="10"/>
      </c>
      <c r="W40" s="38"/>
    </row>
    <row r="41" spans="2:23" s="10" customFormat="1" ht="16.5" customHeight="1">
      <c r="B41" s="44"/>
      <c r="C41" s="651"/>
      <c r="D41" s="636"/>
      <c r="E41" s="636"/>
      <c r="F41" s="652"/>
      <c r="G41" s="652"/>
      <c r="H41" s="653"/>
      <c r="I41" s="273">
        <f t="shared" si="0"/>
        <v>9.681000000000001</v>
      </c>
      <c r="J41" s="654"/>
      <c r="K41" s="655"/>
      <c r="L41" s="35">
        <f t="shared" si="1"/>
      </c>
      <c r="M41" s="64">
        <f t="shared" si="2"/>
      </c>
      <c r="N41" s="656"/>
      <c r="O41" s="28">
        <f t="shared" si="3"/>
      </c>
      <c r="P41" s="387">
        <f t="shared" si="4"/>
        <v>20</v>
      </c>
      <c r="Q41" s="706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 t="shared" si="8"/>
        <v>--</v>
      </c>
      <c r="U41" s="25">
        <f t="shared" si="9"/>
      </c>
      <c r="V41" s="65">
        <f t="shared" si="10"/>
      </c>
      <c r="W41" s="38"/>
    </row>
    <row r="42" spans="2:23" s="10" customFormat="1" ht="16.5" customHeight="1">
      <c r="B42" s="44"/>
      <c r="C42" s="651"/>
      <c r="D42" s="636"/>
      <c r="E42" s="636"/>
      <c r="F42" s="652"/>
      <c r="G42" s="652"/>
      <c r="H42" s="653"/>
      <c r="I42" s="273">
        <f t="shared" si="0"/>
        <v>9.681000000000001</v>
      </c>
      <c r="J42" s="654"/>
      <c r="K42" s="655"/>
      <c r="L42" s="35">
        <f t="shared" si="1"/>
      </c>
      <c r="M42" s="64">
        <f t="shared" si="2"/>
      </c>
      <c r="N42" s="656"/>
      <c r="O42" s="28">
        <f t="shared" si="3"/>
      </c>
      <c r="P42" s="387">
        <f t="shared" si="4"/>
        <v>20</v>
      </c>
      <c r="Q42" s="706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 t="shared" si="8"/>
        <v>--</v>
      </c>
      <c r="U42" s="25">
        <f t="shared" si="9"/>
      </c>
      <c r="V42" s="65">
        <f t="shared" si="10"/>
      </c>
      <c r="W42" s="38"/>
    </row>
    <row r="43" spans="2:23" s="10" customFormat="1" ht="16.5" customHeight="1">
      <c r="B43" s="44"/>
      <c r="C43" s="651"/>
      <c r="D43" s="636"/>
      <c r="E43" s="636"/>
      <c r="F43" s="652"/>
      <c r="G43" s="652"/>
      <c r="H43" s="653"/>
      <c r="I43" s="273">
        <f t="shared" si="0"/>
        <v>9.681000000000001</v>
      </c>
      <c r="J43" s="654"/>
      <c r="K43" s="655"/>
      <c r="L43" s="35">
        <f t="shared" si="1"/>
      </c>
      <c r="M43" s="64">
        <f t="shared" si="2"/>
      </c>
      <c r="N43" s="656"/>
      <c r="O43" s="28">
        <f t="shared" si="3"/>
      </c>
      <c r="P43" s="387">
        <f t="shared" si="4"/>
        <v>20</v>
      </c>
      <c r="Q43" s="706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 t="shared" si="8"/>
        <v>--</v>
      </c>
      <c r="U43" s="25">
        <f t="shared" si="9"/>
      </c>
      <c r="V43" s="65">
        <f t="shared" si="10"/>
      </c>
      <c r="W43" s="38"/>
    </row>
    <row r="44" spans="2:23" s="10" customFormat="1" ht="16.5" customHeight="1" thickBot="1">
      <c r="B44" s="44"/>
      <c r="C44" s="639"/>
      <c r="D44" s="639"/>
      <c r="E44" s="639"/>
      <c r="F44" s="639"/>
      <c r="G44" s="639"/>
      <c r="H44" s="639"/>
      <c r="I44" s="272"/>
      <c r="J44" s="639"/>
      <c r="K44" s="639"/>
      <c r="L44" s="29"/>
      <c r="M44" s="29"/>
      <c r="N44" s="639"/>
      <c r="O44" s="639"/>
      <c r="P44" s="657"/>
      <c r="Q44" s="658"/>
      <c r="R44" s="647"/>
      <c r="S44" s="648"/>
      <c r="T44" s="642"/>
      <c r="U44" s="639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3" t="s">
        <v>179</v>
      </c>
      <c r="E45" s="686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SUM(Q22:Q44)</f>
        <v>95.79870000000003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ROUND(SUM(V22:V44),2)</f>
        <v>95.8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53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K10" sqref="K1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0.2812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+'TOT-0114'!B2</f>
        <v>ANEXO I al Memorándum  D.T.E.E.  N°        34   / 2014.-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9" t="s">
        <v>17</v>
      </c>
      <c r="C4" s="688"/>
      <c r="D4" s="688"/>
    </row>
    <row r="5" spans="1:4" s="112" customFormat="1" ht="11.25">
      <c r="A5" s="689" t="s">
        <v>147</v>
      </c>
      <c r="C5" s="688"/>
      <c r="D5" s="688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144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+'TOT-0114'!B14</f>
        <v>Desde el 01 al 31 de enero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0" t="s">
        <v>84</v>
      </c>
      <c r="G15" s="221" t="s">
        <v>186</v>
      </c>
      <c r="H15" s="93">
        <f>60*'TOT-0114'!B13</f>
        <v>60</v>
      </c>
      <c r="I15" s="122"/>
      <c r="J15" s="236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85</v>
      </c>
      <c r="G16" s="221">
        <v>12.9</v>
      </c>
      <c r="H16" s="93">
        <f>50*'TOT-0114'!B13</f>
        <v>50</v>
      </c>
      <c r="J16" s="236" t="str">
        <f>IF(H16=50," ",IF(H16=100,"Coeficiente duplicado por tasa de falla &gt;4 Sal. x año/100 km.","REVISAR COEFICIENTE"))</f>
        <v> </v>
      </c>
      <c r="Q16" s="274"/>
      <c r="S16" s="8"/>
      <c r="T16" s="8"/>
      <c r="U16" s="8"/>
      <c r="V16" s="217"/>
      <c r="W16" s="11"/>
    </row>
    <row r="17" spans="2:23" s="10" customFormat="1" ht="16.5" customHeight="1" thickBot="1" thickTop="1">
      <c r="B17" s="44"/>
      <c r="C17" s="8"/>
      <c r="D17" s="8"/>
      <c r="E17" s="8"/>
      <c r="F17" s="222" t="s">
        <v>86</v>
      </c>
      <c r="G17" s="223">
        <v>9.681000000000001</v>
      </c>
      <c r="H17" s="224">
        <f>25*'TOT-0114'!B13</f>
        <v>25</v>
      </c>
      <c r="J17" s="236" t="str">
        <f>IF(H17=25," ",IF(H17=50,"Coeficiente duplicado por tasa de falla &gt;4 Sal. x año/100 km.","REVISAR COEFICIENTE"))</f>
        <v> </v>
      </c>
      <c r="K17" s="165"/>
      <c r="L17" s="165"/>
      <c r="M17" s="8"/>
      <c r="P17" s="218"/>
      <c r="Q17" s="219"/>
      <c r="R17" s="36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87</v>
      </c>
      <c r="G18" s="223">
        <v>9.681000000000001</v>
      </c>
      <c r="H18" s="226">
        <f>20*'TOT-0114'!B13</f>
        <v>20</v>
      </c>
      <c r="J18" s="236" t="str">
        <f>IF(H18=20," ",IF(H18=40,"Coeficiente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81"/>
      <c r="H19" s="682"/>
      <c r="J19" s="236"/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12" customFormat="1" ht="15" customHeight="1" thickBot="1">
      <c r="B20" s="709"/>
      <c r="C20" s="708">
        <v>3</v>
      </c>
      <c r="D20" s="708">
        <v>4</v>
      </c>
      <c r="E20" s="708">
        <v>5</v>
      </c>
      <c r="F20" s="708">
        <v>6</v>
      </c>
      <c r="G20" s="708">
        <v>7</v>
      </c>
      <c r="H20" s="708">
        <v>8</v>
      </c>
      <c r="I20" s="708">
        <v>9</v>
      </c>
      <c r="J20" s="708">
        <v>10</v>
      </c>
      <c r="K20" s="708">
        <v>11</v>
      </c>
      <c r="L20" s="708">
        <v>12</v>
      </c>
      <c r="M20" s="708">
        <v>13</v>
      </c>
      <c r="N20" s="708">
        <v>14</v>
      </c>
      <c r="O20" s="708">
        <v>15</v>
      </c>
      <c r="P20" s="708">
        <v>16</v>
      </c>
      <c r="Q20" s="708">
        <v>17</v>
      </c>
      <c r="R20" s="708">
        <v>18</v>
      </c>
      <c r="S20" s="708">
        <v>19</v>
      </c>
      <c r="T20" s="708">
        <v>20</v>
      </c>
      <c r="U20" s="708">
        <v>21</v>
      </c>
      <c r="V20" s="708">
        <v>22</v>
      </c>
      <c r="W20" s="711"/>
    </row>
    <row r="21" spans="2:23" s="10" customFormat="1" ht="33.75" customHeight="1" thickBot="1" thickTop="1">
      <c r="B21" s="44"/>
      <c r="C21" s="213" t="s">
        <v>46</v>
      </c>
      <c r="D21" s="101" t="s">
        <v>146</v>
      </c>
      <c r="E21" s="101" t="s">
        <v>145</v>
      </c>
      <c r="F21" s="211" t="s">
        <v>70</v>
      </c>
      <c r="G21" s="227" t="s">
        <v>15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390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51">
        <v>11</v>
      </c>
      <c r="D24" s="636">
        <v>270076</v>
      </c>
      <c r="E24" s="636">
        <v>1773</v>
      </c>
      <c r="F24" s="652" t="s">
        <v>14</v>
      </c>
      <c r="G24" s="652" t="s">
        <v>171</v>
      </c>
      <c r="H24" s="659">
        <v>13.2</v>
      </c>
      <c r="I24" s="273">
        <f aca="true" t="shared" si="0" ref="I24:I43">IF(H24=330,$G$15,IF(AND(H24&lt;=132,H24&gt;=66),$G$16,IF(AND(H24&lt;66,H24&gt;=33),$G$17,$G$18)))</f>
        <v>9.681000000000001</v>
      </c>
      <c r="J24" s="654">
        <v>41642.478472222225</v>
      </c>
      <c r="K24" s="655">
        <v>41642.50069444445</v>
      </c>
      <c r="L24" s="35">
        <f aca="true" t="shared" si="1" ref="L24:L43">IF(F24="","",(K24-J24)*24)</f>
        <v>0.5333333333255723</v>
      </c>
      <c r="M24" s="64">
        <f aca="true" t="shared" si="2" ref="M24:M43">IF(F24="","",ROUND((K24-J24)*24*60,0))</f>
        <v>32</v>
      </c>
      <c r="N24" s="656" t="s">
        <v>152</v>
      </c>
      <c r="O24" s="28" t="str">
        <f aca="true" t="shared" si="3" ref="O24:O43">IF(F24="","",IF(N24="P","--","NO"))</f>
        <v>--</v>
      </c>
      <c r="P24" s="387">
        <f aca="true" t="shared" si="4" ref="P24:P43">IF(H24=330,$H$15,IF(AND(H24&lt;=132,H24&gt;=66),$H$16,IF(AND(H24&lt;66,H24&gt;13.2),$H$17,$H$18)))</f>
        <v>20</v>
      </c>
      <c r="Q24" s="706">
        <f aca="true" t="shared" si="5" ref="Q24:Q43">IF(N24="P",I24*P24*ROUND(M24/60,2)*0.1,"--")</f>
        <v>10.26186</v>
      </c>
      <c r="R24" s="366" t="str">
        <f aca="true" t="shared" si="6" ref="R24:R43">IF(AND(N24="F",O24="NO"),I24*P24,"--")</f>
        <v>--</v>
      </c>
      <c r="S24" s="367" t="str">
        <f aca="true" t="shared" si="7" ref="S24:S43">IF(N24="F",I24*P24*ROUND(M24/60,2),"--")</f>
        <v>--</v>
      </c>
      <c r="T24" s="398" t="str">
        <f>IF(N24="RF",I24*P24*ROUND(M24/60,2),"--")</f>
        <v>--</v>
      </c>
      <c r="U24" s="25" t="str">
        <f aca="true" t="shared" si="8" ref="U24:U43">IF(F24="","","SI")</f>
        <v>SI</v>
      </c>
      <c r="V24" s="65">
        <f aca="true" t="shared" si="9" ref="V24:V43">IF(F24="","",SUM(Q24:T24)*IF(U24="SI",1,2)*IF(H24="500/220",0,1))</f>
        <v>10.26186</v>
      </c>
      <c r="W24" s="38"/>
    </row>
    <row r="25" spans="2:23" s="10" customFormat="1" ht="16.5" customHeight="1">
      <c r="B25" s="44"/>
      <c r="C25" s="651">
        <v>12</v>
      </c>
      <c r="D25" s="636">
        <v>271280</v>
      </c>
      <c r="E25" s="636">
        <v>1758</v>
      </c>
      <c r="F25" s="652" t="s">
        <v>172</v>
      </c>
      <c r="G25" s="652" t="s">
        <v>173</v>
      </c>
      <c r="H25" s="659">
        <v>33</v>
      </c>
      <c r="I25" s="273">
        <f t="shared" si="0"/>
        <v>9.681000000000001</v>
      </c>
      <c r="J25" s="654">
        <v>41661.2625</v>
      </c>
      <c r="K25" s="655">
        <v>41661.3125</v>
      </c>
      <c r="L25" s="35">
        <f t="shared" si="1"/>
        <v>1.2000000000698492</v>
      </c>
      <c r="M25" s="64">
        <f t="shared" si="2"/>
        <v>72</v>
      </c>
      <c r="N25" s="656" t="s">
        <v>152</v>
      </c>
      <c r="O25" s="28" t="str">
        <f t="shared" si="3"/>
        <v>--</v>
      </c>
      <c r="P25" s="387">
        <f t="shared" si="4"/>
        <v>25</v>
      </c>
      <c r="Q25" s="706">
        <f t="shared" si="5"/>
        <v>29.043000000000003</v>
      </c>
      <c r="R25" s="366" t="str">
        <f t="shared" si="6"/>
        <v>--</v>
      </c>
      <c r="S25" s="367" t="str">
        <f t="shared" si="7"/>
        <v>--</v>
      </c>
      <c r="T25" s="398" t="str">
        <f aca="true" t="shared" si="10" ref="T25:T40">IF(N25="RF",I25*P25*ROUND(M25/60,2),"--")</f>
        <v>--</v>
      </c>
      <c r="U25" s="25" t="str">
        <f t="shared" si="8"/>
        <v>SI</v>
      </c>
      <c r="V25" s="65">
        <f t="shared" si="9"/>
        <v>29.043000000000003</v>
      </c>
      <c r="W25" s="38"/>
    </row>
    <row r="26" spans="2:23" s="10" customFormat="1" ht="16.5" customHeight="1">
      <c r="B26" s="44"/>
      <c r="C26" s="651">
        <v>13</v>
      </c>
      <c r="D26" s="636">
        <v>271436</v>
      </c>
      <c r="E26" s="636">
        <v>1771</v>
      </c>
      <c r="F26" s="652" t="s">
        <v>14</v>
      </c>
      <c r="G26" s="652" t="s">
        <v>174</v>
      </c>
      <c r="H26" s="659">
        <v>13.2</v>
      </c>
      <c r="I26" s="273">
        <f t="shared" si="0"/>
        <v>9.681000000000001</v>
      </c>
      <c r="J26" s="654">
        <v>41669.33611111111</v>
      </c>
      <c r="K26" s="655">
        <v>41669.39444444444</v>
      </c>
      <c r="L26" s="35">
        <f t="shared" si="1"/>
        <v>1.400000000023283</v>
      </c>
      <c r="M26" s="64">
        <f t="shared" si="2"/>
        <v>84</v>
      </c>
      <c r="N26" s="656" t="s">
        <v>152</v>
      </c>
      <c r="O26" s="28" t="str">
        <f t="shared" si="3"/>
        <v>--</v>
      </c>
      <c r="P26" s="387">
        <f t="shared" si="4"/>
        <v>20</v>
      </c>
      <c r="Q26" s="706">
        <f t="shared" si="5"/>
        <v>27.1068</v>
      </c>
      <c r="R26" s="366" t="str">
        <f t="shared" si="6"/>
        <v>--</v>
      </c>
      <c r="S26" s="367" t="str">
        <f t="shared" si="7"/>
        <v>--</v>
      </c>
      <c r="T26" s="398" t="str">
        <f t="shared" si="10"/>
        <v>--</v>
      </c>
      <c r="U26" s="25" t="str">
        <f t="shared" si="8"/>
        <v>SI</v>
      </c>
      <c r="V26" s="65">
        <f t="shared" si="9"/>
        <v>27.1068</v>
      </c>
      <c r="W26" s="38"/>
    </row>
    <row r="27" spans="2:23" s="10" customFormat="1" ht="16.5" customHeight="1">
      <c r="B27" s="44"/>
      <c r="C27" s="651"/>
      <c r="D27" s="636"/>
      <c r="E27" s="636"/>
      <c r="F27" s="652"/>
      <c r="G27" s="652"/>
      <c r="H27" s="659"/>
      <c r="I27" s="273">
        <f t="shared" si="0"/>
        <v>9.681000000000001</v>
      </c>
      <c r="J27" s="654"/>
      <c r="K27" s="655"/>
      <c r="L27" s="35">
        <f t="shared" si="1"/>
      </c>
      <c r="M27" s="64">
        <f t="shared" si="2"/>
      </c>
      <c r="N27" s="656"/>
      <c r="O27" s="28">
        <f t="shared" si="3"/>
      </c>
      <c r="P27" s="387">
        <f t="shared" si="4"/>
        <v>20</v>
      </c>
      <c r="Q27" s="706" t="str">
        <f t="shared" si="5"/>
        <v>--</v>
      </c>
      <c r="R27" s="366" t="str">
        <f t="shared" si="6"/>
        <v>--</v>
      </c>
      <c r="S27" s="367" t="str">
        <f t="shared" si="7"/>
        <v>--</v>
      </c>
      <c r="T27" s="398" t="str">
        <f t="shared" si="10"/>
        <v>--</v>
      </c>
      <c r="U27" s="25">
        <f t="shared" si="8"/>
      </c>
      <c r="V27" s="65">
        <f t="shared" si="9"/>
      </c>
      <c r="W27" s="38"/>
    </row>
    <row r="28" spans="2:23" s="10" customFormat="1" ht="16.5" customHeight="1">
      <c r="B28" s="44"/>
      <c r="C28" s="651"/>
      <c r="D28" s="636"/>
      <c r="E28" s="636"/>
      <c r="F28" s="652"/>
      <c r="G28" s="652"/>
      <c r="H28" s="659"/>
      <c r="I28" s="273">
        <f t="shared" si="0"/>
        <v>9.681000000000001</v>
      </c>
      <c r="J28" s="654"/>
      <c r="K28" s="655"/>
      <c r="L28" s="35">
        <f t="shared" si="1"/>
      </c>
      <c r="M28" s="64">
        <f t="shared" si="2"/>
      </c>
      <c r="N28" s="656"/>
      <c r="O28" s="28">
        <f t="shared" si="3"/>
      </c>
      <c r="P28" s="387">
        <f t="shared" si="4"/>
        <v>20</v>
      </c>
      <c r="Q28" s="706" t="str">
        <f t="shared" si="5"/>
        <v>--</v>
      </c>
      <c r="R28" s="366" t="str">
        <f t="shared" si="6"/>
        <v>--</v>
      </c>
      <c r="S28" s="367" t="str">
        <f t="shared" si="7"/>
        <v>--</v>
      </c>
      <c r="T28" s="398" t="str">
        <f t="shared" si="10"/>
        <v>--</v>
      </c>
      <c r="U28" s="25">
        <f t="shared" si="8"/>
      </c>
      <c r="V28" s="65">
        <f t="shared" si="9"/>
      </c>
      <c r="W28" s="38"/>
    </row>
    <row r="29" spans="2:23" s="10" customFormat="1" ht="16.5" customHeight="1">
      <c r="B29" s="44"/>
      <c r="C29" s="651"/>
      <c r="D29" s="636"/>
      <c r="E29" s="636"/>
      <c r="F29" s="652"/>
      <c r="G29" s="652"/>
      <c r="H29" s="659"/>
      <c r="I29" s="273">
        <f t="shared" si="0"/>
        <v>9.681000000000001</v>
      </c>
      <c r="J29" s="654"/>
      <c r="K29" s="655"/>
      <c r="L29" s="35">
        <f t="shared" si="1"/>
      </c>
      <c r="M29" s="64">
        <f t="shared" si="2"/>
      </c>
      <c r="N29" s="656"/>
      <c r="O29" s="28">
        <f t="shared" si="3"/>
      </c>
      <c r="P29" s="387">
        <f t="shared" si="4"/>
        <v>20</v>
      </c>
      <c r="Q29" s="706" t="str">
        <f t="shared" si="5"/>
        <v>--</v>
      </c>
      <c r="R29" s="366" t="str">
        <f t="shared" si="6"/>
        <v>--</v>
      </c>
      <c r="S29" s="367" t="str">
        <f t="shared" si="7"/>
        <v>--</v>
      </c>
      <c r="T29" s="398" t="str">
        <f t="shared" si="10"/>
        <v>--</v>
      </c>
      <c r="U29" s="25">
        <f t="shared" si="8"/>
      </c>
      <c r="V29" s="65">
        <f t="shared" si="9"/>
      </c>
      <c r="W29" s="38"/>
    </row>
    <row r="30" spans="2:23" s="10" customFormat="1" ht="16.5" customHeight="1">
      <c r="B30" s="44"/>
      <c r="C30" s="651"/>
      <c r="D30" s="636"/>
      <c r="E30" s="636"/>
      <c r="F30" s="652"/>
      <c r="G30" s="652"/>
      <c r="H30" s="659"/>
      <c r="I30" s="273">
        <f t="shared" si="0"/>
        <v>9.681000000000001</v>
      </c>
      <c r="J30" s="654"/>
      <c r="K30" s="655"/>
      <c r="L30" s="35">
        <f t="shared" si="1"/>
      </c>
      <c r="M30" s="64">
        <f t="shared" si="2"/>
      </c>
      <c r="N30" s="656"/>
      <c r="O30" s="28">
        <f t="shared" si="3"/>
      </c>
      <c r="P30" s="387">
        <f t="shared" si="4"/>
        <v>20</v>
      </c>
      <c r="Q30" s="706" t="str">
        <f t="shared" si="5"/>
        <v>--</v>
      </c>
      <c r="R30" s="366" t="str">
        <f t="shared" si="6"/>
        <v>--</v>
      </c>
      <c r="S30" s="367" t="str">
        <f t="shared" si="7"/>
        <v>--</v>
      </c>
      <c r="T30" s="398" t="str">
        <f t="shared" si="10"/>
        <v>--</v>
      </c>
      <c r="U30" s="25">
        <f t="shared" si="8"/>
      </c>
      <c r="V30" s="65">
        <f t="shared" si="9"/>
      </c>
      <c r="W30" s="38"/>
    </row>
    <row r="31" spans="2:23" s="10" customFormat="1" ht="16.5" customHeight="1">
      <c r="B31" s="44"/>
      <c r="C31" s="651"/>
      <c r="D31" s="636"/>
      <c r="E31" s="636"/>
      <c r="F31" s="652"/>
      <c r="G31" s="652"/>
      <c r="H31" s="659"/>
      <c r="I31" s="273">
        <f t="shared" si="0"/>
        <v>9.681000000000001</v>
      </c>
      <c r="J31" s="654"/>
      <c r="K31" s="655"/>
      <c r="L31" s="35">
        <f t="shared" si="1"/>
      </c>
      <c r="M31" s="64">
        <f t="shared" si="2"/>
      </c>
      <c r="N31" s="656"/>
      <c r="O31" s="28">
        <f t="shared" si="3"/>
      </c>
      <c r="P31" s="387">
        <f t="shared" si="4"/>
        <v>20</v>
      </c>
      <c r="Q31" s="706" t="str">
        <f t="shared" si="5"/>
        <v>--</v>
      </c>
      <c r="R31" s="366" t="str">
        <f t="shared" si="6"/>
        <v>--</v>
      </c>
      <c r="S31" s="367" t="str">
        <f t="shared" si="7"/>
        <v>--</v>
      </c>
      <c r="T31" s="398" t="str">
        <f t="shared" si="10"/>
        <v>--</v>
      </c>
      <c r="U31" s="25">
        <f t="shared" si="8"/>
      </c>
      <c r="V31" s="65">
        <f t="shared" si="9"/>
      </c>
      <c r="W31" s="38"/>
    </row>
    <row r="32" spans="2:23" s="10" customFormat="1" ht="16.5" customHeight="1">
      <c r="B32" s="44"/>
      <c r="C32" s="651"/>
      <c r="D32" s="636"/>
      <c r="E32" s="636"/>
      <c r="F32" s="652"/>
      <c r="G32" s="652"/>
      <c r="H32" s="659"/>
      <c r="I32" s="273">
        <f t="shared" si="0"/>
        <v>9.681000000000001</v>
      </c>
      <c r="J32" s="654"/>
      <c r="K32" s="655"/>
      <c r="L32" s="35">
        <f t="shared" si="1"/>
      </c>
      <c r="M32" s="64">
        <f t="shared" si="2"/>
      </c>
      <c r="N32" s="656"/>
      <c r="O32" s="28">
        <f t="shared" si="3"/>
      </c>
      <c r="P32" s="387">
        <f t="shared" si="4"/>
        <v>20</v>
      </c>
      <c r="Q32" s="706" t="str">
        <f t="shared" si="5"/>
        <v>--</v>
      </c>
      <c r="R32" s="366" t="str">
        <f t="shared" si="6"/>
        <v>--</v>
      </c>
      <c r="S32" s="367" t="str">
        <f t="shared" si="7"/>
        <v>--</v>
      </c>
      <c r="T32" s="398" t="str">
        <f t="shared" si="10"/>
        <v>--</v>
      </c>
      <c r="U32" s="25">
        <f t="shared" si="8"/>
      </c>
      <c r="V32" s="65">
        <f t="shared" si="9"/>
      </c>
      <c r="W32" s="38"/>
    </row>
    <row r="33" spans="2:23" s="10" customFormat="1" ht="16.5" customHeight="1">
      <c r="B33" s="44"/>
      <c r="C33" s="651"/>
      <c r="D33" s="636"/>
      <c r="E33" s="636"/>
      <c r="F33" s="652"/>
      <c r="G33" s="652"/>
      <c r="H33" s="659"/>
      <c r="I33" s="273">
        <f t="shared" si="0"/>
        <v>9.681000000000001</v>
      </c>
      <c r="J33" s="654"/>
      <c r="K33" s="655"/>
      <c r="L33" s="35">
        <f t="shared" si="1"/>
      </c>
      <c r="M33" s="64">
        <f t="shared" si="2"/>
      </c>
      <c r="N33" s="656"/>
      <c r="O33" s="28">
        <f t="shared" si="3"/>
      </c>
      <c r="P33" s="387">
        <f t="shared" si="4"/>
        <v>20</v>
      </c>
      <c r="Q33" s="706" t="str">
        <f t="shared" si="5"/>
        <v>--</v>
      </c>
      <c r="R33" s="366" t="str">
        <f t="shared" si="6"/>
        <v>--</v>
      </c>
      <c r="S33" s="367" t="str">
        <f t="shared" si="7"/>
        <v>--</v>
      </c>
      <c r="T33" s="398" t="str">
        <f t="shared" si="10"/>
        <v>--</v>
      </c>
      <c r="U33" s="25">
        <f t="shared" si="8"/>
      </c>
      <c r="V33" s="65">
        <f t="shared" si="9"/>
      </c>
      <c r="W33" s="38"/>
    </row>
    <row r="34" spans="2:23" s="10" customFormat="1" ht="16.5" customHeight="1">
      <c r="B34" s="44"/>
      <c r="C34" s="651"/>
      <c r="D34" s="636"/>
      <c r="E34" s="636"/>
      <c r="F34" s="652"/>
      <c r="G34" s="652"/>
      <c r="H34" s="659"/>
      <c r="I34" s="273">
        <f t="shared" si="0"/>
        <v>9.681000000000001</v>
      </c>
      <c r="J34" s="654"/>
      <c r="K34" s="655"/>
      <c r="L34" s="35">
        <f t="shared" si="1"/>
      </c>
      <c r="M34" s="64">
        <f t="shared" si="2"/>
      </c>
      <c r="N34" s="656"/>
      <c r="O34" s="28">
        <f t="shared" si="3"/>
      </c>
      <c r="P34" s="387">
        <f t="shared" si="4"/>
        <v>20</v>
      </c>
      <c r="Q34" s="706" t="str">
        <f t="shared" si="5"/>
        <v>--</v>
      </c>
      <c r="R34" s="366" t="str">
        <f t="shared" si="6"/>
        <v>--</v>
      </c>
      <c r="S34" s="367" t="str">
        <f t="shared" si="7"/>
        <v>--</v>
      </c>
      <c r="T34" s="398" t="str">
        <f t="shared" si="10"/>
        <v>--</v>
      </c>
      <c r="U34" s="25">
        <f t="shared" si="8"/>
      </c>
      <c r="V34" s="65">
        <f t="shared" si="9"/>
      </c>
      <c r="W34" s="38"/>
    </row>
    <row r="35" spans="2:23" s="10" customFormat="1" ht="16.5" customHeight="1">
      <c r="B35" s="44"/>
      <c r="C35" s="651"/>
      <c r="D35" s="636"/>
      <c r="E35" s="636"/>
      <c r="F35" s="652"/>
      <c r="G35" s="652"/>
      <c r="H35" s="659"/>
      <c r="I35" s="273">
        <f t="shared" si="0"/>
        <v>9.681000000000001</v>
      </c>
      <c r="J35" s="654"/>
      <c r="K35" s="655"/>
      <c r="L35" s="35">
        <f t="shared" si="1"/>
      </c>
      <c r="M35" s="64">
        <f t="shared" si="2"/>
      </c>
      <c r="N35" s="656"/>
      <c r="O35" s="28">
        <f t="shared" si="3"/>
      </c>
      <c r="P35" s="387">
        <f t="shared" si="4"/>
        <v>20</v>
      </c>
      <c r="Q35" s="706" t="str">
        <f t="shared" si="5"/>
        <v>--</v>
      </c>
      <c r="R35" s="366" t="str">
        <f t="shared" si="6"/>
        <v>--</v>
      </c>
      <c r="S35" s="367" t="str">
        <f t="shared" si="7"/>
        <v>--</v>
      </c>
      <c r="T35" s="398" t="str">
        <f t="shared" si="10"/>
        <v>--</v>
      </c>
      <c r="U35" s="25">
        <f t="shared" si="8"/>
      </c>
      <c r="V35" s="65">
        <f t="shared" si="9"/>
      </c>
      <c r="W35" s="38"/>
    </row>
    <row r="36" spans="2:23" s="10" customFormat="1" ht="16.5" customHeight="1">
      <c r="B36" s="44"/>
      <c r="C36" s="651"/>
      <c r="D36" s="636"/>
      <c r="E36" s="636"/>
      <c r="F36" s="652"/>
      <c r="G36" s="652"/>
      <c r="H36" s="659"/>
      <c r="I36" s="273">
        <f t="shared" si="0"/>
        <v>9.681000000000001</v>
      </c>
      <c r="J36" s="654"/>
      <c r="K36" s="655"/>
      <c r="L36" s="35">
        <f t="shared" si="1"/>
      </c>
      <c r="M36" s="64">
        <f t="shared" si="2"/>
      </c>
      <c r="N36" s="656"/>
      <c r="O36" s="28">
        <f t="shared" si="3"/>
      </c>
      <c r="P36" s="387">
        <f t="shared" si="4"/>
        <v>20</v>
      </c>
      <c r="Q36" s="706" t="str">
        <f t="shared" si="5"/>
        <v>--</v>
      </c>
      <c r="R36" s="366" t="str">
        <f t="shared" si="6"/>
        <v>--</v>
      </c>
      <c r="S36" s="367" t="str">
        <f t="shared" si="7"/>
        <v>--</v>
      </c>
      <c r="T36" s="398" t="str">
        <f t="shared" si="10"/>
        <v>--</v>
      </c>
      <c r="U36" s="25">
        <f t="shared" si="8"/>
      </c>
      <c r="V36" s="65">
        <f t="shared" si="9"/>
      </c>
      <c r="W36" s="38"/>
    </row>
    <row r="37" spans="2:23" s="10" customFormat="1" ht="16.5" customHeight="1">
      <c r="B37" s="44"/>
      <c r="C37" s="651"/>
      <c r="D37" s="636"/>
      <c r="E37" s="636"/>
      <c r="F37" s="652"/>
      <c r="G37" s="652"/>
      <c r="H37" s="659"/>
      <c r="I37" s="273">
        <f t="shared" si="0"/>
        <v>9.681000000000001</v>
      </c>
      <c r="J37" s="654"/>
      <c r="K37" s="655"/>
      <c r="L37" s="35">
        <f t="shared" si="1"/>
      </c>
      <c r="M37" s="64">
        <f t="shared" si="2"/>
      </c>
      <c r="N37" s="656"/>
      <c r="O37" s="28">
        <f t="shared" si="3"/>
      </c>
      <c r="P37" s="387">
        <f t="shared" si="4"/>
        <v>20</v>
      </c>
      <c r="Q37" s="706" t="str">
        <f t="shared" si="5"/>
        <v>--</v>
      </c>
      <c r="R37" s="366" t="str">
        <f t="shared" si="6"/>
        <v>--</v>
      </c>
      <c r="S37" s="367" t="str">
        <f t="shared" si="7"/>
        <v>--</v>
      </c>
      <c r="T37" s="398" t="str">
        <f t="shared" si="10"/>
        <v>--</v>
      </c>
      <c r="U37" s="25">
        <f t="shared" si="8"/>
      </c>
      <c r="V37" s="65">
        <f t="shared" si="9"/>
      </c>
      <c r="W37" s="38"/>
    </row>
    <row r="38" spans="2:23" s="10" customFormat="1" ht="16.5" customHeight="1">
      <c r="B38" s="44"/>
      <c r="C38" s="651"/>
      <c r="D38" s="636"/>
      <c r="E38" s="636"/>
      <c r="F38" s="652"/>
      <c r="G38" s="652"/>
      <c r="H38" s="659"/>
      <c r="I38" s="273">
        <f t="shared" si="0"/>
        <v>9.681000000000001</v>
      </c>
      <c r="J38" s="654"/>
      <c r="K38" s="655"/>
      <c r="L38" s="35">
        <f t="shared" si="1"/>
      </c>
      <c r="M38" s="64">
        <f t="shared" si="2"/>
      </c>
      <c r="N38" s="656"/>
      <c r="O38" s="28">
        <f t="shared" si="3"/>
      </c>
      <c r="P38" s="387">
        <f t="shared" si="4"/>
        <v>20</v>
      </c>
      <c r="Q38" s="706" t="str">
        <f t="shared" si="5"/>
        <v>--</v>
      </c>
      <c r="R38" s="366" t="str">
        <f t="shared" si="6"/>
        <v>--</v>
      </c>
      <c r="S38" s="367" t="str">
        <f t="shared" si="7"/>
        <v>--</v>
      </c>
      <c r="T38" s="398" t="str">
        <f t="shared" si="10"/>
        <v>--</v>
      </c>
      <c r="U38" s="25">
        <f t="shared" si="8"/>
      </c>
      <c r="V38" s="65">
        <f t="shared" si="9"/>
      </c>
      <c r="W38" s="38"/>
    </row>
    <row r="39" spans="2:23" s="10" customFormat="1" ht="16.5" customHeight="1">
      <c r="B39" s="44"/>
      <c r="C39" s="651"/>
      <c r="D39" s="636"/>
      <c r="E39" s="636"/>
      <c r="F39" s="652"/>
      <c r="G39" s="652"/>
      <c r="H39" s="659"/>
      <c r="I39" s="273">
        <f t="shared" si="0"/>
        <v>9.681000000000001</v>
      </c>
      <c r="J39" s="654"/>
      <c r="K39" s="655"/>
      <c r="L39" s="35">
        <f t="shared" si="1"/>
      </c>
      <c r="M39" s="64">
        <f t="shared" si="2"/>
      </c>
      <c r="N39" s="656"/>
      <c r="O39" s="28">
        <f t="shared" si="3"/>
      </c>
      <c r="P39" s="387">
        <f t="shared" si="4"/>
        <v>20</v>
      </c>
      <c r="Q39" s="706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10"/>
        <v>--</v>
      </c>
      <c r="U39" s="25">
        <f t="shared" si="8"/>
      </c>
      <c r="V39" s="65">
        <f t="shared" si="9"/>
      </c>
      <c r="W39" s="38"/>
    </row>
    <row r="40" spans="2:23" s="10" customFormat="1" ht="16.5" customHeight="1">
      <c r="B40" s="44"/>
      <c r="C40" s="651"/>
      <c r="D40" s="636"/>
      <c r="E40" s="636"/>
      <c r="F40" s="652"/>
      <c r="G40" s="652"/>
      <c r="H40" s="659"/>
      <c r="I40" s="273">
        <f t="shared" si="0"/>
        <v>9.681000000000001</v>
      </c>
      <c r="J40" s="654"/>
      <c r="K40" s="655"/>
      <c r="L40" s="35">
        <f t="shared" si="1"/>
      </c>
      <c r="M40" s="64">
        <f t="shared" si="2"/>
      </c>
      <c r="N40" s="656"/>
      <c r="O40" s="28">
        <f t="shared" si="3"/>
      </c>
      <c r="P40" s="387">
        <f t="shared" si="4"/>
        <v>20</v>
      </c>
      <c r="Q40" s="706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10"/>
        <v>--</v>
      </c>
      <c r="U40" s="25">
        <f t="shared" si="8"/>
      </c>
      <c r="V40" s="65">
        <f t="shared" si="9"/>
      </c>
      <c r="W40" s="38"/>
    </row>
    <row r="41" spans="2:23" s="10" customFormat="1" ht="16.5" customHeight="1">
      <c r="B41" s="44"/>
      <c r="C41" s="651"/>
      <c r="D41" s="636"/>
      <c r="E41" s="636"/>
      <c r="F41" s="652"/>
      <c r="G41" s="652"/>
      <c r="H41" s="659"/>
      <c r="I41" s="273">
        <f t="shared" si="0"/>
        <v>9.681000000000001</v>
      </c>
      <c r="J41" s="654"/>
      <c r="K41" s="655"/>
      <c r="L41" s="35">
        <f t="shared" si="1"/>
      </c>
      <c r="M41" s="64">
        <f t="shared" si="2"/>
      </c>
      <c r="N41" s="656"/>
      <c r="O41" s="28">
        <f t="shared" si="3"/>
      </c>
      <c r="P41" s="387">
        <f t="shared" si="4"/>
        <v>20</v>
      </c>
      <c r="Q41" s="706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>IF(N41="RF",I41*P41*ROUND(M41/60,2),"--")</f>
        <v>--</v>
      </c>
      <c r="U41" s="25">
        <f t="shared" si="8"/>
      </c>
      <c r="V41" s="65">
        <f t="shared" si="9"/>
      </c>
      <c r="W41" s="38"/>
    </row>
    <row r="42" spans="2:23" s="10" customFormat="1" ht="16.5" customHeight="1">
      <c r="B42" s="44"/>
      <c r="C42" s="651"/>
      <c r="D42" s="636"/>
      <c r="E42" s="636"/>
      <c r="F42" s="652"/>
      <c r="G42" s="652"/>
      <c r="H42" s="659"/>
      <c r="I42" s="273">
        <f t="shared" si="0"/>
        <v>9.681000000000001</v>
      </c>
      <c r="J42" s="654"/>
      <c r="K42" s="655"/>
      <c r="L42" s="35">
        <f t="shared" si="1"/>
      </c>
      <c r="M42" s="64">
        <f t="shared" si="2"/>
      </c>
      <c r="N42" s="656"/>
      <c r="O42" s="28">
        <f t="shared" si="3"/>
      </c>
      <c r="P42" s="387">
        <f t="shared" si="4"/>
        <v>20</v>
      </c>
      <c r="Q42" s="706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>IF(N42="RF",I42*P42*ROUND(M42/60,2),"--")</f>
        <v>--</v>
      </c>
      <c r="U42" s="25">
        <f t="shared" si="8"/>
      </c>
      <c r="V42" s="65">
        <f t="shared" si="9"/>
      </c>
      <c r="W42" s="38"/>
    </row>
    <row r="43" spans="2:23" s="10" customFormat="1" ht="16.5" customHeight="1">
      <c r="B43" s="44"/>
      <c r="C43" s="651"/>
      <c r="D43" s="636"/>
      <c r="E43" s="636"/>
      <c r="F43" s="652"/>
      <c r="G43" s="652"/>
      <c r="H43" s="659"/>
      <c r="I43" s="273">
        <f t="shared" si="0"/>
        <v>9.681000000000001</v>
      </c>
      <c r="J43" s="654"/>
      <c r="K43" s="655"/>
      <c r="L43" s="35">
        <f t="shared" si="1"/>
      </c>
      <c r="M43" s="64">
        <f t="shared" si="2"/>
      </c>
      <c r="N43" s="656"/>
      <c r="O43" s="28">
        <f t="shared" si="3"/>
      </c>
      <c r="P43" s="387">
        <f t="shared" si="4"/>
        <v>20</v>
      </c>
      <c r="Q43" s="706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>IF(N43="RF",I43*P43*ROUND(M43/60,2),"--")</f>
        <v>--</v>
      </c>
      <c r="U43" s="25">
        <f t="shared" si="8"/>
      </c>
      <c r="V43" s="65">
        <f t="shared" si="9"/>
      </c>
      <c r="W43" s="38"/>
    </row>
    <row r="44" spans="2:23" s="10" customFormat="1" ht="16.5" customHeight="1" thickBot="1">
      <c r="B44" s="44"/>
      <c r="C44" s="639"/>
      <c r="D44" s="639"/>
      <c r="E44" s="639"/>
      <c r="F44" s="639"/>
      <c r="G44" s="639"/>
      <c r="H44" s="639"/>
      <c r="I44" s="272"/>
      <c r="J44" s="639"/>
      <c r="K44" s="639"/>
      <c r="L44" s="29"/>
      <c r="M44" s="29"/>
      <c r="N44" s="639"/>
      <c r="O44" s="639"/>
      <c r="P44" s="657"/>
      <c r="Q44" s="658"/>
      <c r="R44" s="647"/>
      <c r="S44" s="648"/>
      <c r="T44" s="642"/>
      <c r="U44" s="639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3" t="s">
        <v>179</v>
      </c>
      <c r="E45" s="686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ROUND(SUM(Q22:Q44),2)</f>
        <v>66.41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SUM(V22:V44)</f>
        <v>66.41166000000001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4"/>
  <headerFooter alignWithMargins="0">
    <oddFooter>&amp;L&amp;"Times New Roman,Normal"&amp;8&amp;Z&amp;F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J37" sqref="J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0.574218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+'TOT-0114'!B2</f>
        <v>ANEXO I al Memorándum  D.T.E.E.  N°        34   / 2014.-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9" t="s">
        <v>17</v>
      </c>
      <c r="C4" s="688"/>
      <c r="D4" s="688"/>
    </row>
    <row r="5" spans="1:4" s="112" customFormat="1" ht="11.25">
      <c r="A5" s="689" t="s">
        <v>147</v>
      </c>
      <c r="C5" s="688"/>
      <c r="D5" s="688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143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+'TOT-0114'!B14</f>
        <v>Desde el 01 al 31 de enero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0" t="s">
        <v>84</v>
      </c>
      <c r="G15" s="221" t="s">
        <v>186</v>
      </c>
      <c r="H15" s="93">
        <f>60*'TOT-0114'!B13</f>
        <v>60</v>
      </c>
      <c r="I15" s="122"/>
      <c r="J15" s="236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85</v>
      </c>
      <c r="G16" s="221">
        <v>12.9</v>
      </c>
      <c r="H16" s="93">
        <f>50*'TOT-0114'!B13</f>
        <v>50</v>
      </c>
      <c r="J16" s="236" t="str">
        <f>IF(H16=50," ",IF(H16=100,"Coeficiente duplicado por tasa de falla &gt;4 Sal. x año/100 km.","REVISAR COEFICIENTE"))</f>
        <v> </v>
      </c>
      <c r="Q16" s="274"/>
      <c r="S16" s="8"/>
      <c r="T16" s="8"/>
      <c r="U16" s="8"/>
      <c r="V16" s="217"/>
      <c r="W16" s="11"/>
    </row>
    <row r="17" spans="2:23" s="10" customFormat="1" ht="16.5" customHeight="1" thickBot="1" thickTop="1">
      <c r="B17" s="44"/>
      <c r="C17" s="8"/>
      <c r="D17" s="8"/>
      <c r="E17" s="8"/>
      <c r="F17" s="222" t="s">
        <v>86</v>
      </c>
      <c r="G17" s="223">
        <v>9.681000000000001</v>
      </c>
      <c r="H17" s="224">
        <f>25*'TOT-0114'!B13</f>
        <v>25</v>
      </c>
      <c r="J17" s="236" t="str">
        <f>IF(H17=25," ",IF(H17=50,"Coeficiente duplicado por tasa de falla &gt;4 Sal. x año/100 km.","REVISAR COEFICIENTE"))</f>
        <v> </v>
      </c>
      <c r="K17" s="165"/>
      <c r="L17" s="165"/>
      <c r="M17" s="8"/>
      <c r="P17" s="218"/>
      <c r="Q17" s="219"/>
      <c r="R17" s="36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87</v>
      </c>
      <c r="G18" s="223">
        <v>9.681000000000001</v>
      </c>
      <c r="H18" s="226">
        <f>20*'TOT-0114'!B13</f>
        <v>20</v>
      </c>
      <c r="J18" s="236" t="str">
        <f>IF(H18=20," ",IF(H18=40,"Coeficiente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81"/>
      <c r="H19" s="682"/>
      <c r="J19" s="236"/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12" customFormat="1" ht="15" customHeight="1" thickBot="1">
      <c r="B20" s="709"/>
      <c r="C20" s="708">
        <v>3</v>
      </c>
      <c r="D20" s="708">
        <v>4</v>
      </c>
      <c r="E20" s="708">
        <v>5</v>
      </c>
      <c r="F20" s="708">
        <v>6</v>
      </c>
      <c r="G20" s="708">
        <v>7</v>
      </c>
      <c r="H20" s="708">
        <v>8</v>
      </c>
      <c r="I20" s="708">
        <v>9</v>
      </c>
      <c r="J20" s="708">
        <v>10</v>
      </c>
      <c r="K20" s="708">
        <v>11</v>
      </c>
      <c r="L20" s="708">
        <v>12</v>
      </c>
      <c r="M20" s="708">
        <v>13</v>
      </c>
      <c r="N20" s="708">
        <v>14</v>
      </c>
      <c r="O20" s="708">
        <v>15</v>
      </c>
      <c r="P20" s="708">
        <v>16</v>
      </c>
      <c r="Q20" s="708">
        <v>17</v>
      </c>
      <c r="R20" s="708">
        <v>18</v>
      </c>
      <c r="S20" s="708">
        <v>19</v>
      </c>
      <c r="T20" s="708">
        <v>20</v>
      </c>
      <c r="U20" s="708">
        <v>21</v>
      </c>
      <c r="V20" s="708">
        <v>22</v>
      </c>
      <c r="W20" s="711"/>
    </row>
    <row r="21" spans="2:23" s="10" customFormat="1" ht="33.75" customHeight="1" thickBot="1" thickTop="1">
      <c r="B21" s="44"/>
      <c r="C21" s="213" t="s">
        <v>46</v>
      </c>
      <c r="D21" s="101" t="s">
        <v>146</v>
      </c>
      <c r="E21" s="101" t="s">
        <v>145</v>
      </c>
      <c r="F21" s="211" t="s">
        <v>70</v>
      </c>
      <c r="G21" s="227" t="s">
        <v>15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390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51">
        <v>14</v>
      </c>
      <c r="D24" s="636">
        <v>270379</v>
      </c>
      <c r="E24" s="636">
        <v>4591</v>
      </c>
      <c r="F24" s="652" t="s">
        <v>169</v>
      </c>
      <c r="G24" s="652" t="s">
        <v>175</v>
      </c>
      <c r="H24" s="659">
        <v>33</v>
      </c>
      <c r="I24" s="273">
        <f aca="true" t="shared" si="0" ref="I24:I43">IF(H24=330,$G$15,IF(AND(H24&lt;=132,H24&gt;=66),$G$16,IF(AND(H24&lt;66,H24&gt;=33),$G$17,$G$18)))</f>
        <v>9.681000000000001</v>
      </c>
      <c r="J24" s="654">
        <v>41651.27222222222</v>
      </c>
      <c r="K24" s="655">
        <v>41651.31736111111</v>
      </c>
      <c r="L24" s="35">
        <f aca="true" t="shared" si="1" ref="L24:L43">IF(F24="","",(K24-J24)*24)</f>
        <v>1.0833333333721384</v>
      </c>
      <c r="M24" s="64">
        <f aca="true" t="shared" si="2" ref="M24:M43">IF(F24="","",ROUND((K24-J24)*24*60,0))</f>
        <v>65</v>
      </c>
      <c r="N24" s="656" t="s">
        <v>152</v>
      </c>
      <c r="O24" s="28" t="str">
        <f aca="true" t="shared" si="3" ref="O24:O43">IF(F24="","",IF(N24="P","--","NO"))</f>
        <v>--</v>
      </c>
      <c r="P24" s="387">
        <f aca="true" t="shared" si="4" ref="P24:P43">IF(H24=330,$H$15,IF(AND(H24&lt;=132,H24&gt;=66),$H$16,IF(AND(H24&lt;66,H24&gt;13.2),$H$17,$H$18)))</f>
        <v>25</v>
      </c>
      <c r="Q24" s="706">
        <f aca="true" t="shared" si="5" ref="Q24:Q43">IF(N24="P",I24*P24*ROUND(M24/60,2)*0.1,"--")</f>
        <v>26.138700000000007</v>
      </c>
      <c r="R24" s="366" t="str">
        <f aca="true" t="shared" si="6" ref="R24:R43">IF(AND(N24="F",O24="NO"),I24*P24,"--")</f>
        <v>--</v>
      </c>
      <c r="S24" s="367" t="str">
        <f aca="true" t="shared" si="7" ref="S24:S43">IF(N24="F",I24*P24*ROUND(M24/60,2),"--")</f>
        <v>--</v>
      </c>
      <c r="T24" s="398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5">
        <f aca="true" t="shared" si="10" ref="V24:V43">IF(F24="","",SUM(Q24:T24)*IF(U24="SI",1,2)*IF(H24="500/220",0,1))</f>
        <v>26.138700000000007</v>
      </c>
      <c r="W24" s="38"/>
    </row>
    <row r="25" spans="2:23" s="10" customFormat="1" ht="16.5" customHeight="1">
      <c r="B25" s="44"/>
      <c r="C25" s="651">
        <v>15</v>
      </c>
      <c r="D25" s="636">
        <v>270377</v>
      </c>
      <c r="E25" s="636">
        <v>4592</v>
      </c>
      <c r="F25" s="652" t="s">
        <v>169</v>
      </c>
      <c r="G25" s="652" t="s">
        <v>176</v>
      </c>
      <c r="H25" s="659">
        <v>33</v>
      </c>
      <c r="I25" s="273">
        <f t="shared" si="0"/>
        <v>9.681000000000001</v>
      </c>
      <c r="J25" s="654">
        <v>41651.27222222222</v>
      </c>
      <c r="K25" s="655">
        <v>41651.31736111111</v>
      </c>
      <c r="L25" s="35">
        <f t="shared" si="1"/>
        <v>1.0833333333721384</v>
      </c>
      <c r="M25" s="64">
        <f t="shared" si="2"/>
        <v>65</v>
      </c>
      <c r="N25" s="656" t="s">
        <v>152</v>
      </c>
      <c r="O25" s="28" t="str">
        <f t="shared" si="3"/>
        <v>--</v>
      </c>
      <c r="P25" s="387">
        <f t="shared" si="4"/>
        <v>25</v>
      </c>
      <c r="Q25" s="706">
        <f t="shared" si="5"/>
        <v>26.138700000000007</v>
      </c>
      <c r="R25" s="366" t="str">
        <f t="shared" si="6"/>
        <v>--</v>
      </c>
      <c r="S25" s="367" t="str">
        <f t="shared" si="7"/>
        <v>--</v>
      </c>
      <c r="T25" s="398" t="str">
        <f t="shared" si="8"/>
        <v>--</v>
      </c>
      <c r="U25" s="25" t="str">
        <f t="shared" si="9"/>
        <v>SI</v>
      </c>
      <c r="V25" s="65">
        <f t="shared" si="10"/>
        <v>26.138700000000007</v>
      </c>
      <c r="W25" s="38"/>
    </row>
    <row r="26" spans="2:23" s="10" customFormat="1" ht="16.5" customHeight="1">
      <c r="B26" s="44"/>
      <c r="C26" s="651">
        <v>16</v>
      </c>
      <c r="D26" s="636">
        <v>270378</v>
      </c>
      <c r="E26" s="636">
        <v>4588</v>
      </c>
      <c r="F26" s="652" t="s">
        <v>177</v>
      </c>
      <c r="G26" s="652" t="s">
        <v>178</v>
      </c>
      <c r="H26" s="659">
        <v>33</v>
      </c>
      <c r="I26" s="273">
        <f t="shared" si="0"/>
        <v>9.681000000000001</v>
      </c>
      <c r="J26" s="654">
        <v>41651.27222222222</v>
      </c>
      <c r="K26" s="655">
        <v>41651.31736111111</v>
      </c>
      <c r="L26" s="35">
        <f t="shared" si="1"/>
        <v>1.0833333333721384</v>
      </c>
      <c r="M26" s="64">
        <f t="shared" si="2"/>
        <v>65</v>
      </c>
      <c r="N26" s="656" t="s">
        <v>152</v>
      </c>
      <c r="O26" s="28" t="str">
        <f t="shared" si="3"/>
        <v>--</v>
      </c>
      <c r="P26" s="387">
        <f t="shared" si="4"/>
        <v>25</v>
      </c>
      <c r="Q26" s="706">
        <f t="shared" si="5"/>
        <v>26.138700000000007</v>
      </c>
      <c r="R26" s="366" t="str">
        <f t="shared" si="6"/>
        <v>--</v>
      </c>
      <c r="S26" s="367" t="str">
        <f t="shared" si="7"/>
        <v>--</v>
      </c>
      <c r="T26" s="398" t="str">
        <f t="shared" si="8"/>
        <v>--</v>
      </c>
      <c r="U26" s="25" t="str">
        <f t="shared" si="9"/>
        <v>SI</v>
      </c>
      <c r="V26" s="65">
        <f t="shared" si="10"/>
        <v>26.138700000000007</v>
      </c>
      <c r="W26" s="38"/>
    </row>
    <row r="27" spans="2:23" s="10" customFormat="1" ht="16.5" customHeight="1">
      <c r="B27" s="44"/>
      <c r="C27" s="651"/>
      <c r="D27" s="636"/>
      <c r="E27" s="636"/>
      <c r="F27" s="652"/>
      <c r="G27" s="652"/>
      <c r="H27" s="659"/>
      <c r="I27" s="273">
        <f t="shared" si="0"/>
        <v>9.681000000000001</v>
      </c>
      <c r="J27" s="654"/>
      <c r="K27" s="655"/>
      <c r="L27" s="35">
        <f t="shared" si="1"/>
      </c>
      <c r="M27" s="64">
        <f t="shared" si="2"/>
      </c>
      <c r="N27" s="656"/>
      <c r="O27" s="28">
        <f t="shared" si="3"/>
      </c>
      <c r="P27" s="387">
        <f t="shared" si="4"/>
        <v>20</v>
      </c>
      <c r="Q27" s="706" t="str">
        <f t="shared" si="5"/>
        <v>--</v>
      </c>
      <c r="R27" s="366" t="str">
        <f t="shared" si="6"/>
        <v>--</v>
      </c>
      <c r="S27" s="367" t="str">
        <f t="shared" si="7"/>
        <v>--</v>
      </c>
      <c r="T27" s="398" t="str">
        <f t="shared" si="8"/>
        <v>--</v>
      </c>
      <c r="U27" s="25">
        <f t="shared" si="9"/>
      </c>
      <c r="V27" s="65">
        <f t="shared" si="10"/>
      </c>
      <c r="W27" s="38"/>
    </row>
    <row r="28" spans="2:23" s="10" customFormat="1" ht="16.5" customHeight="1">
      <c r="B28" s="44"/>
      <c r="C28" s="651"/>
      <c r="D28" s="636"/>
      <c r="E28" s="636"/>
      <c r="F28" s="652"/>
      <c r="G28" s="652"/>
      <c r="H28" s="659"/>
      <c r="I28" s="273">
        <f t="shared" si="0"/>
        <v>9.681000000000001</v>
      </c>
      <c r="J28" s="654"/>
      <c r="K28" s="655"/>
      <c r="L28" s="35">
        <f t="shared" si="1"/>
      </c>
      <c r="M28" s="64">
        <f t="shared" si="2"/>
      </c>
      <c r="N28" s="656"/>
      <c r="O28" s="28">
        <f t="shared" si="3"/>
      </c>
      <c r="P28" s="387">
        <f t="shared" si="4"/>
        <v>20</v>
      </c>
      <c r="Q28" s="706" t="str">
        <f t="shared" si="5"/>
        <v>--</v>
      </c>
      <c r="R28" s="366" t="str">
        <f t="shared" si="6"/>
        <v>--</v>
      </c>
      <c r="S28" s="367" t="str">
        <f t="shared" si="7"/>
        <v>--</v>
      </c>
      <c r="T28" s="398" t="str">
        <f t="shared" si="8"/>
        <v>--</v>
      </c>
      <c r="U28" s="25">
        <f t="shared" si="9"/>
      </c>
      <c r="V28" s="65">
        <f t="shared" si="10"/>
      </c>
      <c r="W28" s="38"/>
    </row>
    <row r="29" spans="2:23" s="10" customFormat="1" ht="16.5" customHeight="1">
      <c r="B29" s="44"/>
      <c r="C29" s="651"/>
      <c r="D29" s="636"/>
      <c r="E29" s="636"/>
      <c r="F29" s="652"/>
      <c r="G29" s="652"/>
      <c r="H29" s="659"/>
      <c r="I29" s="273">
        <f t="shared" si="0"/>
        <v>9.681000000000001</v>
      </c>
      <c r="J29" s="654"/>
      <c r="K29" s="655"/>
      <c r="L29" s="35">
        <f t="shared" si="1"/>
      </c>
      <c r="M29" s="64">
        <f t="shared" si="2"/>
      </c>
      <c r="N29" s="656"/>
      <c r="O29" s="28">
        <f t="shared" si="3"/>
      </c>
      <c r="P29" s="387">
        <f t="shared" si="4"/>
        <v>20</v>
      </c>
      <c r="Q29" s="706" t="str">
        <f t="shared" si="5"/>
        <v>--</v>
      </c>
      <c r="R29" s="366" t="str">
        <f t="shared" si="6"/>
        <v>--</v>
      </c>
      <c r="S29" s="367" t="str">
        <f t="shared" si="7"/>
        <v>--</v>
      </c>
      <c r="T29" s="398" t="str">
        <f t="shared" si="8"/>
        <v>--</v>
      </c>
      <c r="U29" s="25">
        <f t="shared" si="9"/>
      </c>
      <c r="V29" s="65">
        <f t="shared" si="10"/>
      </c>
      <c r="W29" s="38"/>
    </row>
    <row r="30" spans="2:23" s="10" customFormat="1" ht="16.5" customHeight="1">
      <c r="B30" s="44"/>
      <c r="C30" s="651"/>
      <c r="D30" s="636"/>
      <c r="E30" s="636"/>
      <c r="F30" s="652"/>
      <c r="G30" s="652"/>
      <c r="H30" s="659"/>
      <c r="I30" s="273">
        <f t="shared" si="0"/>
        <v>9.681000000000001</v>
      </c>
      <c r="J30" s="654"/>
      <c r="K30" s="655"/>
      <c r="L30" s="35">
        <f t="shared" si="1"/>
      </c>
      <c r="M30" s="64">
        <f t="shared" si="2"/>
      </c>
      <c r="N30" s="656"/>
      <c r="O30" s="28">
        <f t="shared" si="3"/>
      </c>
      <c r="P30" s="387">
        <f t="shared" si="4"/>
        <v>20</v>
      </c>
      <c r="Q30" s="706" t="str">
        <f t="shared" si="5"/>
        <v>--</v>
      </c>
      <c r="R30" s="366" t="str">
        <f t="shared" si="6"/>
        <v>--</v>
      </c>
      <c r="S30" s="367" t="str">
        <f t="shared" si="7"/>
        <v>--</v>
      </c>
      <c r="T30" s="398" t="str">
        <f t="shared" si="8"/>
        <v>--</v>
      </c>
      <c r="U30" s="25">
        <f t="shared" si="9"/>
      </c>
      <c r="V30" s="65">
        <f t="shared" si="10"/>
      </c>
      <c r="W30" s="38"/>
    </row>
    <row r="31" spans="2:23" s="10" customFormat="1" ht="16.5" customHeight="1">
      <c r="B31" s="44"/>
      <c r="C31" s="651"/>
      <c r="D31" s="636"/>
      <c r="E31" s="636"/>
      <c r="F31" s="652"/>
      <c r="G31" s="652"/>
      <c r="H31" s="659"/>
      <c r="I31" s="273">
        <f t="shared" si="0"/>
        <v>9.681000000000001</v>
      </c>
      <c r="J31" s="654"/>
      <c r="K31" s="655"/>
      <c r="L31" s="35">
        <f t="shared" si="1"/>
      </c>
      <c r="M31" s="64">
        <f t="shared" si="2"/>
      </c>
      <c r="N31" s="656"/>
      <c r="O31" s="28">
        <f t="shared" si="3"/>
      </c>
      <c r="P31" s="387">
        <f t="shared" si="4"/>
        <v>20</v>
      </c>
      <c r="Q31" s="706" t="str">
        <f t="shared" si="5"/>
        <v>--</v>
      </c>
      <c r="R31" s="366" t="str">
        <f t="shared" si="6"/>
        <v>--</v>
      </c>
      <c r="S31" s="367" t="str">
        <f t="shared" si="7"/>
        <v>--</v>
      </c>
      <c r="T31" s="398" t="str">
        <f t="shared" si="8"/>
        <v>--</v>
      </c>
      <c r="U31" s="25">
        <f t="shared" si="9"/>
      </c>
      <c r="V31" s="65">
        <f t="shared" si="10"/>
      </c>
      <c r="W31" s="38"/>
    </row>
    <row r="32" spans="2:23" s="10" customFormat="1" ht="16.5" customHeight="1">
      <c r="B32" s="44"/>
      <c r="C32" s="651"/>
      <c r="D32" s="636"/>
      <c r="E32" s="636"/>
      <c r="F32" s="652"/>
      <c r="G32" s="652"/>
      <c r="H32" s="659"/>
      <c r="I32" s="273">
        <f t="shared" si="0"/>
        <v>9.681000000000001</v>
      </c>
      <c r="J32" s="654"/>
      <c r="K32" s="655"/>
      <c r="L32" s="35">
        <f t="shared" si="1"/>
      </c>
      <c r="M32" s="64">
        <f t="shared" si="2"/>
      </c>
      <c r="N32" s="656"/>
      <c r="O32" s="28">
        <f t="shared" si="3"/>
      </c>
      <c r="P32" s="387">
        <f t="shared" si="4"/>
        <v>20</v>
      </c>
      <c r="Q32" s="706" t="str">
        <f t="shared" si="5"/>
        <v>--</v>
      </c>
      <c r="R32" s="366" t="str">
        <f t="shared" si="6"/>
        <v>--</v>
      </c>
      <c r="S32" s="367" t="str">
        <f t="shared" si="7"/>
        <v>--</v>
      </c>
      <c r="T32" s="398" t="str">
        <f t="shared" si="8"/>
        <v>--</v>
      </c>
      <c r="U32" s="25">
        <f t="shared" si="9"/>
      </c>
      <c r="V32" s="65">
        <f t="shared" si="10"/>
      </c>
      <c r="W32" s="38"/>
    </row>
    <row r="33" spans="2:23" s="10" customFormat="1" ht="16.5" customHeight="1">
      <c r="B33" s="44"/>
      <c r="C33" s="651"/>
      <c r="D33" s="636"/>
      <c r="E33" s="636"/>
      <c r="F33" s="652"/>
      <c r="G33" s="652"/>
      <c r="H33" s="659"/>
      <c r="I33" s="273">
        <f t="shared" si="0"/>
        <v>9.681000000000001</v>
      </c>
      <c r="J33" s="654"/>
      <c r="K33" s="655"/>
      <c r="L33" s="35">
        <f t="shared" si="1"/>
      </c>
      <c r="M33" s="64">
        <f t="shared" si="2"/>
      </c>
      <c r="N33" s="656"/>
      <c r="O33" s="28">
        <f t="shared" si="3"/>
      </c>
      <c r="P33" s="387">
        <f t="shared" si="4"/>
        <v>20</v>
      </c>
      <c r="Q33" s="706" t="str">
        <f t="shared" si="5"/>
        <v>--</v>
      </c>
      <c r="R33" s="366" t="str">
        <f t="shared" si="6"/>
        <v>--</v>
      </c>
      <c r="S33" s="367" t="str">
        <f t="shared" si="7"/>
        <v>--</v>
      </c>
      <c r="T33" s="398" t="str">
        <f t="shared" si="8"/>
        <v>--</v>
      </c>
      <c r="U33" s="25">
        <f t="shared" si="9"/>
      </c>
      <c r="V33" s="65">
        <f t="shared" si="10"/>
      </c>
      <c r="W33" s="38"/>
    </row>
    <row r="34" spans="2:23" s="10" customFormat="1" ht="16.5" customHeight="1">
      <c r="B34" s="44"/>
      <c r="C34" s="651"/>
      <c r="D34" s="636"/>
      <c r="E34" s="636"/>
      <c r="F34" s="652"/>
      <c r="G34" s="652"/>
      <c r="H34" s="659"/>
      <c r="I34" s="273">
        <f t="shared" si="0"/>
        <v>9.681000000000001</v>
      </c>
      <c r="J34" s="654"/>
      <c r="K34" s="655"/>
      <c r="L34" s="35">
        <f t="shared" si="1"/>
      </c>
      <c r="M34" s="64">
        <f t="shared" si="2"/>
      </c>
      <c r="N34" s="656"/>
      <c r="O34" s="28">
        <f t="shared" si="3"/>
      </c>
      <c r="P34" s="387">
        <f t="shared" si="4"/>
        <v>20</v>
      </c>
      <c r="Q34" s="706" t="str">
        <f t="shared" si="5"/>
        <v>--</v>
      </c>
      <c r="R34" s="366" t="str">
        <f t="shared" si="6"/>
        <v>--</v>
      </c>
      <c r="S34" s="367" t="str">
        <f t="shared" si="7"/>
        <v>--</v>
      </c>
      <c r="T34" s="398" t="str">
        <f t="shared" si="8"/>
        <v>--</v>
      </c>
      <c r="U34" s="25">
        <f t="shared" si="9"/>
      </c>
      <c r="V34" s="65">
        <f t="shared" si="10"/>
      </c>
      <c r="W34" s="38"/>
    </row>
    <row r="35" spans="2:23" s="10" customFormat="1" ht="16.5" customHeight="1">
      <c r="B35" s="44"/>
      <c r="C35" s="651"/>
      <c r="D35" s="636"/>
      <c r="E35" s="636"/>
      <c r="F35" s="652"/>
      <c r="G35" s="652"/>
      <c r="H35" s="659"/>
      <c r="I35" s="273">
        <f t="shared" si="0"/>
        <v>9.681000000000001</v>
      </c>
      <c r="J35" s="654"/>
      <c r="K35" s="655"/>
      <c r="L35" s="35">
        <f t="shared" si="1"/>
      </c>
      <c r="M35" s="64">
        <f t="shared" si="2"/>
      </c>
      <c r="N35" s="656"/>
      <c r="O35" s="28">
        <f t="shared" si="3"/>
      </c>
      <c r="P35" s="387">
        <f t="shared" si="4"/>
        <v>20</v>
      </c>
      <c r="Q35" s="706" t="str">
        <f t="shared" si="5"/>
        <v>--</v>
      </c>
      <c r="R35" s="366" t="str">
        <f t="shared" si="6"/>
        <v>--</v>
      </c>
      <c r="S35" s="367" t="str">
        <f t="shared" si="7"/>
        <v>--</v>
      </c>
      <c r="T35" s="398" t="str">
        <f t="shared" si="8"/>
        <v>--</v>
      </c>
      <c r="U35" s="25">
        <f t="shared" si="9"/>
      </c>
      <c r="V35" s="65">
        <f t="shared" si="10"/>
      </c>
      <c r="W35" s="38"/>
    </row>
    <row r="36" spans="2:23" s="10" customFormat="1" ht="16.5" customHeight="1">
      <c r="B36" s="44"/>
      <c r="C36" s="651"/>
      <c r="D36" s="636"/>
      <c r="E36" s="636"/>
      <c r="F36" s="652"/>
      <c r="G36" s="652"/>
      <c r="H36" s="659"/>
      <c r="I36" s="273">
        <f t="shared" si="0"/>
        <v>9.681000000000001</v>
      </c>
      <c r="J36" s="654"/>
      <c r="K36" s="655"/>
      <c r="L36" s="35">
        <f t="shared" si="1"/>
      </c>
      <c r="M36" s="64">
        <f t="shared" si="2"/>
      </c>
      <c r="N36" s="656"/>
      <c r="O36" s="28">
        <f t="shared" si="3"/>
      </c>
      <c r="P36" s="387">
        <f t="shared" si="4"/>
        <v>20</v>
      </c>
      <c r="Q36" s="706" t="str">
        <f t="shared" si="5"/>
        <v>--</v>
      </c>
      <c r="R36" s="366" t="str">
        <f t="shared" si="6"/>
        <v>--</v>
      </c>
      <c r="S36" s="367" t="str">
        <f t="shared" si="7"/>
        <v>--</v>
      </c>
      <c r="T36" s="398" t="str">
        <f t="shared" si="8"/>
        <v>--</v>
      </c>
      <c r="U36" s="25">
        <f t="shared" si="9"/>
      </c>
      <c r="V36" s="65">
        <f t="shared" si="10"/>
      </c>
      <c r="W36" s="38"/>
    </row>
    <row r="37" spans="2:23" s="10" customFormat="1" ht="16.5" customHeight="1">
      <c r="B37" s="44"/>
      <c r="C37" s="651"/>
      <c r="D37" s="636"/>
      <c r="E37" s="636"/>
      <c r="F37" s="652"/>
      <c r="G37" s="652"/>
      <c r="H37" s="659"/>
      <c r="I37" s="273">
        <f t="shared" si="0"/>
        <v>9.681000000000001</v>
      </c>
      <c r="J37" s="654"/>
      <c r="K37" s="655"/>
      <c r="L37" s="35">
        <f t="shared" si="1"/>
      </c>
      <c r="M37" s="64">
        <f t="shared" si="2"/>
      </c>
      <c r="N37" s="656"/>
      <c r="O37" s="28">
        <f t="shared" si="3"/>
      </c>
      <c r="P37" s="387">
        <f t="shared" si="4"/>
        <v>20</v>
      </c>
      <c r="Q37" s="706" t="str">
        <f t="shared" si="5"/>
        <v>--</v>
      </c>
      <c r="R37" s="366" t="str">
        <f t="shared" si="6"/>
        <v>--</v>
      </c>
      <c r="S37" s="367" t="str">
        <f t="shared" si="7"/>
        <v>--</v>
      </c>
      <c r="T37" s="398" t="str">
        <f t="shared" si="8"/>
        <v>--</v>
      </c>
      <c r="U37" s="25">
        <f t="shared" si="9"/>
      </c>
      <c r="V37" s="65">
        <f t="shared" si="10"/>
      </c>
      <c r="W37" s="38"/>
    </row>
    <row r="38" spans="2:23" s="10" customFormat="1" ht="16.5" customHeight="1">
      <c r="B38" s="44"/>
      <c r="C38" s="651"/>
      <c r="D38" s="636"/>
      <c r="E38" s="636"/>
      <c r="F38" s="652"/>
      <c r="G38" s="652"/>
      <c r="H38" s="659"/>
      <c r="I38" s="273">
        <f t="shared" si="0"/>
        <v>9.681000000000001</v>
      </c>
      <c r="J38" s="654"/>
      <c r="K38" s="655"/>
      <c r="L38" s="35">
        <f t="shared" si="1"/>
      </c>
      <c r="M38" s="64">
        <f t="shared" si="2"/>
      </c>
      <c r="N38" s="656"/>
      <c r="O38" s="28">
        <f t="shared" si="3"/>
      </c>
      <c r="P38" s="387">
        <f t="shared" si="4"/>
        <v>20</v>
      </c>
      <c r="Q38" s="706" t="str">
        <f t="shared" si="5"/>
        <v>--</v>
      </c>
      <c r="R38" s="366" t="str">
        <f t="shared" si="6"/>
        <v>--</v>
      </c>
      <c r="S38" s="367" t="str">
        <f t="shared" si="7"/>
        <v>--</v>
      </c>
      <c r="T38" s="398" t="str">
        <f t="shared" si="8"/>
        <v>--</v>
      </c>
      <c r="U38" s="25">
        <f t="shared" si="9"/>
      </c>
      <c r="V38" s="65">
        <f t="shared" si="10"/>
      </c>
      <c r="W38" s="38"/>
    </row>
    <row r="39" spans="2:23" s="10" customFormat="1" ht="16.5" customHeight="1">
      <c r="B39" s="44"/>
      <c r="C39" s="651"/>
      <c r="D39" s="636"/>
      <c r="E39" s="636"/>
      <c r="F39" s="652"/>
      <c r="G39" s="652"/>
      <c r="H39" s="659"/>
      <c r="I39" s="273">
        <f t="shared" si="0"/>
        <v>9.681000000000001</v>
      </c>
      <c r="J39" s="654"/>
      <c r="K39" s="655"/>
      <c r="L39" s="35">
        <f t="shared" si="1"/>
      </c>
      <c r="M39" s="64">
        <f t="shared" si="2"/>
      </c>
      <c r="N39" s="656"/>
      <c r="O39" s="28">
        <f t="shared" si="3"/>
      </c>
      <c r="P39" s="387">
        <f t="shared" si="4"/>
        <v>20</v>
      </c>
      <c r="Q39" s="706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8"/>
        <v>--</v>
      </c>
      <c r="U39" s="25">
        <f t="shared" si="9"/>
      </c>
      <c r="V39" s="65">
        <f t="shared" si="10"/>
      </c>
      <c r="W39" s="38"/>
    </row>
    <row r="40" spans="2:23" s="10" customFormat="1" ht="16.5" customHeight="1">
      <c r="B40" s="44"/>
      <c r="C40" s="651"/>
      <c r="D40" s="636"/>
      <c r="E40" s="636"/>
      <c r="F40" s="652"/>
      <c r="G40" s="652"/>
      <c r="H40" s="659"/>
      <c r="I40" s="273">
        <f t="shared" si="0"/>
        <v>9.681000000000001</v>
      </c>
      <c r="J40" s="654"/>
      <c r="K40" s="655"/>
      <c r="L40" s="35">
        <f t="shared" si="1"/>
      </c>
      <c r="M40" s="64">
        <f t="shared" si="2"/>
      </c>
      <c r="N40" s="656"/>
      <c r="O40" s="28">
        <f t="shared" si="3"/>
      </c>
      <c r="P40" s="387">
        <f t="shared" si="4"/>
        <v>20</v>
      </c>
      <c r="Q40" s="706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8"/>
        <v>--</v>
      </c>
      <c r="U40" s="25">
        <f t="shared" si="9"/>
      </c>
      <c r="V40" s="65">
        <f t="shared" si="10"/>
      </c>
      <c r="W40" s="38"/>
    </row>
    <row r="41" spans="2:23" s="10" customFormat="1" ht="16.5" customHeight="1">
      <c r="B41" s="44"/>
      <c r="C41" s="651"/>
      <c r="D41" s="636"/>
      <c r="E41" s="636"/>
      <c r="F41" s="652"/>
      <c r="G41" s="652"/>
      <c r="H41" s="659"/>
      <c r="I41" s="273">
        <f t="shared" si="0"/>
        <v>9.681000000000001</v>
      </c>
      <c r="J41" s="654"/>
      <c r="K41" s="655"/>
      <c r="L41" s="35">
        <f t="shared" si="1"/>
      </c>
      <c r="M41" s="64">
        <f t="shared" si="2"/>
      </c>
      <c r="N41" s="656"/>
      <c r="O41" s="28">
        <f t="shared" si="3"/>
      </c>
      <c r="P41" s="387">
        <f t="shared" si="4"/>
        <v>20</v>
      </c>
      <c r="Q41" s="706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 t="shared" si="8"/>
        <v>--</v>
      </c>
      <c r="U41" s="25">
        <f t="shared" si="9"/>
      </c>
      <c r="V41" s="65">
        <f t="shared" si="10"/>
      </c>
      <c r="W41" s="38"/>
    </row>
    <row r="42" spans="2:23" s="10" customFormat="1" ht="16.5" customHeight="1">
      <c r="B42" s="44"/>
      <c r="C42" s="651"/>
      <c r="D42" s="636"/>
      <c r="E42" s="636"/>
      <c r="F42" s="652"/>
      <c r="G42" s="652"/>
      <c r="H42" s="659"/>
      <c r="I42" s="273">
        <f t="shared" si="0"/>
        <v>9.681000000000001</v>
      </c>
      <c r="J42" s="654"/>
      <c r="K42" s="655"/>
      <c r="L42" s="35">
        <f t="shared" si="1"/>
      </c>
      <c r="M42" s="64">
        <f t="shared" si="2"/>
      </c>
      <c r="N42" s="656"/>
      <c r="O42" s="28">
        <f t="shared" si="3"/>
      </c>
      <c r="P42" s="387">
        <f t="shared" si="4"/>
        <v>20</v>
      </c>
      <c r="Q42" s="706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 t="shared" si="8"/>
        <v>--</v>
      </c>
      <c r="U42" s="25">
        <f t="shared" si="9"/>
      </c>
      <c r="V42" s="65">
        <f t="shared" si="10"/>
      </c>
      <c r="W42" s="38"/>
    </row>
    <row r="43" spans="2:23" s="10" customFormat="1" ht="16.5" customHeight="1">
      <c r="B43" s="44"/>
      <c r="C43" s="651"/>
      <c r="D43" s="636"/>
      <c r="E43" s="636"/>
      <c r="F43" s="652"/>
      <c r="G43" s="652"/>
      <c r="H43" s="659"/>
      <c r="I43" s="273">
        <f t="shared" si="0"/>
        <v>9.681000000000001</v>
      </c>
      <c r="J43" s="654"/>
      <c r="K43" s="655"/>
      <c r="L43" s="35">
        <f t="shared" si="1"/>
      </c>
      <c r="M43" s="64">
        <f t="shared" si="2"/>
      </c>
      <c r="N43" s="656"/>
      <c r="O43" s="28">
        <f t="shared" si="3"/>
      </c>
      <c r="P43" s="387">
        <f t="shared" si="4"/>
        <v>20</v>
      </c>
      <c r="Q43" s="706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 t="shared" si="8"/>
        <v>--</v>
      </c>
      <c r="U43" s="25">
        <f t="shared" si="9"/>
      </c>
      <c r="V43" s="65">
        <f t="shared" si="10"/>
      </c>
      <c r="W43" s="38"/>
    </row>
    <row r="44" spans="2:23" s="10" customFormat="1" ht="16.5" customHeight="1" thickBot="1">
      <c r="B44" s="44"/>
      <c r="C44" s="639"/>
      <c r="D44" s="639"/>
      <c r="E44" s="639"/>
      <c r="F44" s="639"/>
      <c r="G44" s="639"/>
      <c r="H44" s="639"/>
      <c r="I44" s="272"/>
      <c r="J44" s="639"/>
      <c r="K44" s="639"/>
      <c r="L44" s="29"/>
      <c r="M44" s="29"/>
      <c r="N44" s="639"/>
      <c r="O44" s="639"/>
      <c r="P44" s="657"/>
      <c r="Q44" s="658"/>
      <c r="R44" s="647"/>
      <c r="S44" s="648"/>
      <c r="T44" s="642"/>
      <c r="U44" s="639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3" t="s">
        <v>179</v>
      </c>
      <c r="E45" s="686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ROUND(SUM(Q22:Q44),2)</f>
        <v>78.42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SUM(V22:V44)</f>
        <v>78.41610000000003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2014-12-17T13:57:01Z</cp:lastPrinted>
  <dcterms:created xsi:type="dcterms:W3CDTF">2000-10-04T20:14:32Z</dcterms:created>
  <dcterms:modified xsi:type="dcterms:W3CDTF">2015-02-02T14:12:14Z</dcterms:modified>
  <cp:category/>
  <cp:version/>
  <cp:contentType/>
  <cp:contentStatus/>
</cp:coreProperties>
</file>