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0380" windowHeight="9345" tabRatio="839" activeTab="0"/>
  </bookViews>
  <sheets>
    <sheet name="TOT-0912" sheetId="1" r:id="rId1"/>
    <sheet name="LI-09 (1)" sheetId="2" r:id="rId2"/>
    <sheet name="Incendio" sheetId="3" r:id="rId3"/>
    <sheet name="LI-YACY-09 (1)" sheetId="4" r:id="rId4"/>
    <sheet name="LI-INTESAR1-09 (1)" sheetId="5" r:id="rId5"/>
    <sheet name="LI-INTESAR2-09 (1)" sheetId="6" r:id="rId6"/>
    <sheet name="LI-INTESAR3-09 (1)" sheetId="7" r:id="rId7"/>
    <sheet name="LI-INTESAR4-9 (1)" sheetId="8" r:id="rId8"/>
    <sheet name="LI-LIMSA-09 (1)" sheetId="9" r:id="rId9"/>
    <sheet name="TR-09 (1)" sheetId="10" r:id="rId10"/>
    <sheet name="TR-TIBA-09 (1)" sheetId="11" r:id="rId11"/>
    <sheet name="TR-INTESAR-09 (1)" sheetId="12" r:id="rId12"/>
    <sheet name="TR-INTESA3-09 (1)" sheetId="13" r:id="rId13"/>
    <sheet name="SA-09 (1)" sheetId="14" r:id="rId14"/>
    <sheet name="SA-09 (2)" sheetId="15" r:id="rId15"/>
    <sheet name="SA-09 (3)" sheetId="16" r:id="rId16"/>
    <sheet name="SA-TIBA-09 (1)" sheetId="17" r:id="rId17"/>
    <sheet name="SA-TRANSPORTEL-09 (1)" sheetId="18" r:id="rId18"/>
    <sheet name="RE-09 (1)" sheetId="19" r:id="rId19"/>
    <sheet name="RE-YACYLEC-09 (1)" sheetId="20" r:id="rId20"/>
    <sheet name="RE-LIMSA-09 (1)" sheetId="21" r:id="rId21"/>
    <sheet name="SUP-YACYLEC" sheetId="22" r:id="rId22"/>
    <sheet name="SUP-TIBA" sheetId="23" r:id="rId23"/>
    <sheet name="SUP-INTESAR1" sheetId="24" r:id="rId24"/>
    <sheet name="SUP-LIMSA" sheetId="25" r:id="rId25"/>
    <sheet name="TASA FALLA" sheetId="26" r:id="rId26"/>
    <sheet name="DATO" sheetId="27" r:id="rId27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Print_Area" localSheetId="24">'SUP-LIMSA'!$A$1:$AE$90</definedName>
    <definedName name="_xlnm.Print_Area" localSheetId="22">'SUP-TIBA'!$A$1:$W$81</definedName>
    <definedName name="_xlnm.Print_Area" localSheetId="21">'SUP-YACYLEC'!$A$1:$AD$75</definedName>
    <definedName name="_xlnm.Print_Area" localSheetId="25">'TASA FALLA'!$A$1:$U$104</definedName>
    <definedName name="_xlnm.Print_Area" localSheetId="0">'TOT-0912'!$A$1:$J$57</definedName>
    <definedName name="DD" localSheetId="5">'LI-INTESAR2-09 (1)'!DD</definedName>
    <definedName name="DD" localSheetId="6">'LI-INTESAR3-09 (1)'!DD</definedName>
    <definedName name="DD" localSheetId="18">'RE-09 (1)'!DD</definedName>
    <definedName name="DD" localSheetId="20">'RE-LIMSA-09 (1)'!DD</definedName>
    <definedName name="DD" localSheetId="23">'SUP-INTESAR1'!DD</definedName>
    <definedName name="DD" localSheetId="24">'SUP-LIMSA'!DD</definedName>
    <definedName name="DD" localSheetId="12">'TR-INTESA3-09 (1)'!DD</definedName>
    <definedName name="DD">[0]!DD</definedName>
    <definedName name="DDD" localSheetId="5">'LI-INTESAR2-09 (1)'!DDD</definedName>
    <definedName name="DDD" localSheetId="6">'LI-INTESAR3-09 (1)'!DDD</definedName>
    <definedName name="DDD" localSheetId="18">'RE-09 (1)'!DDD</definedName>
    <definedName name="DDD" localSheetId="20">'RE-LIMSA-09 (1)'!DDD</definedName>
    <definedName name="DDD" localSheetId="23">'SUP-INTESAR1'!DDD</definedName>
    <definedName name="DDD" localSheetId="24">'SUP-LIMSA'!DDD</definedName>
    <definedName name="DDD" localSheetId="12">'TR-INTESA3-09 (1)'!DDD</definedName>
    <definedName name="DDD">[0]!DDD</definedName>
    <definedName name="DISTROCUYO" localSheetId="5">'LI-INTESAR2-09 (1)'!DISTROCUYO</definedName>
    <definedName name="DISTROCUYO" localSheetId="6">'LI-INTESAR3-09 (1)'!DISTROCUYO</definedName>
    <definedName name="DISTROCUYO" localSheetId="18">'RE-09 (1)'!DISTROCUYO</definedName>
    <definedName name="DISTROCUYO" localSheetId="20">'RE-LIMSA-09 (1)'!DISTROCUYO</definedName>
    <definedName name="DISTROCUYO" localSheetId="23">'SUP-INTESAR1'!DISTROCUYO</definedName>
    <definedName name="DISTROCUYO" localSheetId="24">'SUP-LIMSA'!DISTROCUYO</definedName>
    <definedName name="DISTROCUYO" localSheetId="12">'TR-INTESA3-09 (1)'!DISTROCUYO</definedName>
    <definedName name="DISTROCUYO">[0]!DISTROCUYO</definedName>
    <definedName name="FER" localSheetId="5">'LI-INTESAR2-09 (1)'!FER</definedName>
    <definedName name="FER" localSheetId="6">'LI-INTESAR3-09 (1)'!FER</definedName>
    <definedName name="FER" localSheetId="18">'RE-09 (1)'!FER</definedName>
    <definedName name="FER" localSheetId="20">'RE-LIMSA-09 (1)'!FER</definedName>
    <definedName name="FER" localSheetId="23">'SUP-INTESAR1'!FER</definedName>
    <definedName name="FER" localSheetId="24">'SUP-LIMSA'!FER</definedName>
    <definedName name="FER" localSheetId="12">'TR-INTESA3-09 (1)'!FER</definedName>
    <definedName name="FER">[0]!FER</definedName>
    <definedName name="INICIO" localSheetId="5">'LI-INTESAR2-09 (1)'!INICIO</definedName>
    <definedName name="INICIO" localSheetId="6">'LI-INTESAR3-09 (1)'!INICIO</definedName>
    <definedName name="INICIO" localSheetId="18">'RE-09 (1)'!INICIO</definedName>
    <definedName name="INICIO" localSheetId="20">'RE-LIMSA-09 (1)'!INICIO</definedName>
    <definedName name="INICIO" localSheetId="23">'SUP-INTESAR1'!INICIO</definedName>
    <definedName name="INICIO" localSheetId="24">'SUP-LIMSA'!INICIO</definedName>
    <definedName name="INICIO" localSheetId="12">'TR-INTESA3-09 (1)'!INICIO</definedName>
    <definedName name="INICIO">[0]!INICIO</definedName>
    <definedName name="INICIOTI" localSheetId="5">'LI-INTESAR2-09 (1)'!INICIOTI</definedName>
    <definedName name="INICIOTI" localSheetId="6">'LI-INTESAR3-09 (1)'!INICIOTI</definedName>
    <definedName name="INICIOTI" localSheetId="18">'RE-09 (1)'!INICIOTI</definedName>
    <definedName name="INICIOTI" localSheetId="20">'RE-LIMSA-09 (1)'!INICIOTI</definedName>
    <definedName name="INICIOTI" localSheetId="23">'SUP-INTESAR1'!INICIOTI</definedName>
    <definedName name="INICIOTI" localSheetId="24">'SUP-LIMSA'!INICIOTI</definedName>
    <definedName name="INICIOTI" localSheetId="12">'TR-INTESA3-09 (1)'!INICIOTI</definedName>
    <definedName name="INICIOTI">[0]!INICIOTI</definedName>
    <definedName name="LINEAS" localSheetId="5">'LI-INTESAR2-09 (1)'!LINEAS</definedName>
    <definedName name="LINEAS" localSheetId="6">'LI-INTESAR3-09 (1)'!LINEAS</definedName>
    <definedName name="LINEAS" localSheetId="18">'RE-09 (1)'!LINEAS</definedName>
    <definedName name="LINEAS" localSheetId="20">'RE-LIMSA-09 (1)'!LINEAS</definedName>
    <definedName name="LINEAS" localSheetId="23">'SUP-INTESAR1'!LINEAS</definedName>
    <definedName name="LINEAS" localSheetId="24">'SUP-LIMSA'!LINEAS</definedName>
    <definedName name="LINEAS" localSheetId="12">'TR-INTESA3-09 (1)'!LINEAS</definedName>
    <definedName name="LINEAS">[0]!LINEAS</definedName>
    <definedName name="NAME_L" localSheetId="5">'LI-INTESAR2-09 (1)'!NAME_L</definedName>
    <definedName name="NAME_L" localSheetId="6">'LI-INTESAR3-09 (1)'!NAME_L</definedName>
    <definedName name="NAME_L" localSheetId="18">'RE-09 (1)'!NAME_L</definedName>
    <definedName name="NAME_L" localSheetId="20">'RE-LIMSA-09 (1)'!NAME_L</definedName>
    <definedName name="NAME_L" localSheetId="23">'SUP-INTESAR1'!NAME_L</definedName>
    <definedName name="NAME_L" localSheetId="24">'SUP-LIMSA'!NAME_L</definedName>
    <definedName name="NAME_L" localSheetId="12">'TR-INTESA3-09 (1)'!NAME_L</definedName>
    <definedName name="NAME_L">[0]!NAME_L</definedName>
    <definedName name="NAME_L_TI" localSheetId="5">'LI-INTESAR2-09 (1)'!NAME_L_TI</definedName>
    <definedName name="NAME_L_TI" localSheetId="6">'LI-INTESAR3-09 (1)'!NAME_L_TI</definedName>
    <definedName name="NAME_L_TI" localSheetId="18">'RE-09 (1)'!NAME_L_TI</definedName>
    <definedName name="NAME_L_TI" localSheetId="20">'RE-LIMSA-09 (1)'!NAME_L_TI</definedName>
    <definedName name="NAME_L_TI" localSheetId="23">'SUP-INTESAR1'!NAME_L_TI</definedName>
    <definedName name="NAME_L_TI" localSheetId="24">'SUP-LIMSA'!NAME_L_TI</definedName>
    <definedName name="NAME_L_TI" localSheetId="12">'TR-INTESA3-09 (1)'!NAME_L_TI</definedName>
    <definedName name="NAME_L_TI">[0]!NAME_L_TI</definedName>
    <definedName name="TRAN" localSheetId="5">'LI-INTESAR2-09 (1)'!TRAN</definedName>
    <definedName name="TRAN" localSheetId="6">'LI-INTESAR3-09 (1)'!TRAN</definedName>
    <definedName name="TRAN" localSheetId="18">'RE-09 (1)'!TRAN</definedName>
    <definedName name="TRAN" localSheetId="20">'RE-LIMSA-09 (1)'!TRAN</definedName>
    <definedName name="TRAN" localSheetId="23">'SUP-INTESAR1'!TRAN</definedName>
    <definedName name="TRAN" localSheetId="24">'SUP-LIMSA'!TRAN</definedName>
    <definedName name="TRAN" localSheetId="12">'TR-INTESA3-09 (1)'!TRAN</definedName>
    <definedName name="TRAN">[0]!TRAN</definedName>
    <definedName name="TRANSNOA" localSheetId="5">'LI-INTESAR2-09 (1)'!TRANSNOA</definedName>
    <definedName name="TRANSNOA" localSheetId="6">'LI-INTESAR3-09 (1)'!TRANSNOA</definedName>
    <definedName name="TRANSNOA" localSheetId="18">'RE-09 (1)'!TRANSNOA</definedName>
    <definedName name="TRANSNOA" localSheetId="20">'RE-LIMSA-09 (1)'!TRANSNOA</definedName>
    <definedName name="TRANSNOA" localSheetId="23">'SUP-INTESAR1'!TRANSNOA</definedName>
    <definedName name="TRANSNOA" localSheetId="24">'SUP-LIMSA'!TRANSNOA</definedName>
    <definedName name="TRANSNOA" localSheetId="12">'TR-INTESA3-09 (1)'!TRANSNOA</definedName>
    <definedName name="TRANSNOA">[0]!TRANSNOA</definedName>
    <definedName name="x" localSheetId="5">'LI-INTESAR2-09 (1)'!x</definedName>
    <definedName name="x" localSheetId="6">'LI-INTESAR3-09 (1)'!x</definedName>
    <definedName name="x" localSheetId="18">'RE-09 (1)'!x</definedName>
    <definedName name="x" localSheetId="20">'RE-LIMSA-09 (1)'!x</definedName>
    <definedName name="x" localSheetId="23">'SUP-INTESAR1'!x</definedName>
    <definedName name="x" localSheetId="24">'SUP-LIMSA'!x</definedName>
    <definedName name="x" localSheetId="12">'TR-INTESA3-09 (1)'!x</definedName>
    <definedName name="x">[0]!x</definedName>
    <definedName name="XX" localSheetId="5">'LI-INTESAR2-09 (1)'!XX</definedName>
    <definedName name="XX" localSheetId="6">'LI-INTESAR3-09 (1)'!XX</definedName>
    <definedName name="XX" localSheetId="18">'RE-09 (1)'!XX</definedName>
    <definedName name="XX" localSheetId="20">'RE-LIMSA-09 (1)'!XX</definedName>
    <definedName name="XX" localSheetId="23">'SUP-INTESAR1'!XX</definedName>
    <definedName name="XX" localSheetId="24">'SUP-LIMSA'!XX</definedName>
    <definedName name="XX" localSheetId="12">'TR-INTESA3-09 (1)'!XX</definedName>
    <definedName name="XX">[0]!XX</definedName>
  </definedNames>
  <calcPr fullCalcOnLoad="1"/>
</workbook>
</file>

<file path=xl/comments14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39,254</t>
        </r>
      </text>
    </comment>
  </commentList>
</comments>
</file>

<file path=xl/comments15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39,254</t>
        </r>
      </text>
    </comment>
  </commentList>
</comments>
</file>

<file path=xl/comments16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39,254</t>
        </r>
      </text>
    </comment>
  </commentList>
</comments>
</file>

<file path=xl/comments24.xml><?xml version="1.0" encoding="utf-8"?>
<comments xmlns="http://schemas.openxmlformats.org/spreadsheetml/2006/main">
  <authors>
    <author>Ing. Juan Messina</author>
  </authors>
  <commentList>
    <comment ref="M52" authorId="0">
      <text>
        <r>
          <rPr>
            <b/>
            <sz val="8"/>
            <rFont val="Tahoma"/>
            <family val="0"/>
          </rPr>
          <t>Ing. Juan Messina:
Anexo2,1 DTE
ATRAXX.TXT</t>
        </r>
      </text>
    </comment>
    <comment ref="M56" authorId="0">
      <text>
        <r>
          <rPr>
            <b/>
            <sz val="8"/>
            <rFont val="Tahoma"/>
            <family val="0"/>
          </rPr>
          <t>Ing. Juan Messina:
Anexo2,1 DTE
ATRAXX.TXT</t>
        </r>
      </text>
    </comment>
  </commentList>
</comments>
</file>

<file path=xl/comments25.xml><?xml version="1.0" encoding="utf-8"?>
<comments xmlns="http://schemas.openxmlformats.org/spreadsheetml/2006/main">
  <authors>
    <author>Ing. Juan Messina</author>
  </authors>
  <commentList>
    <comment ref="M72" authorId="0">
      <text>
        <r>
          <rPr>
            <b/>
            <sz val="8"/>
            <rFont val="Tahoma"/>
            <family val="0"/>
          </rPr>
          <t>Ing. Juan Messina:
Anexo2,1 DTE
ATRAXX.TXT</t>
        </r>
      </text>
    </comment>
    <comment ref="M76" authorId="0">
      <text>
        <r>
          <rPr>
            <b/>
            <sz val="8"/>
            <rFont val="Tahoma"/>
            <family val="0"/>
          </rPr>
          <t>Ing. Juan Messina:
Anexo2,1 DTE
ATRAXX.TXT</t>
        </r>
      </text>
    </comment>
    <comment ref="M73" authorId="0">
      <text>
        <r>
          <rPr>
            <b/>
            <sz val="8"/>
            <rFont val="Tahoma"/>
            <family val="0"/>
          </rPr>
          <t>Ing. Juan Messina:
Anexo2,1 DTE
ATRAXX.TXT</t>
        </r>
      </text>
    </comment>
  </commentList>
</comments>
</file>

<file path=xl/sharedStrings.xml><?xml version="1.0" encoding="utf-8"?>
<sst xmlns="http://schemas.openxmlformats.org/spreadsheetml/2006/main" count="2038" uniqueCount="515">
  <si>
    <t>SISTEMA DE TRANSPORTE DE ENERGÍA ELÉCTRICA EN ALTA TENSIÓN</t>
  </si>
  <si>
    <t>TRANSENER S.A.</t>
  </si>
  <si>
    <t xml:space="preserve">ENTE NACIONAL REGULADOR </t>
  </si>
  <si>
    <t>DE LA ELECTRICIDAD</t>
  </si>
  <si>
    <t>1.-</t>
  </si>
  <si>
    <t>LÍNEAS</t>
  </si>
  <si>
    <t>Equipamiento propio</t>
  </si>
  <si>
    <t>Transportista Independiente YACYLEC S.A.</t>
  </si>
  <si>
    <t>Transportista Independiente INTESAR S.A. 1</t>
  </si>
  <si>
    <t>Transportista Independiente INTESAR S.A. 3</t>
  </si>
  <si>
    <t>Transportista Independiente L.I.M.S.A.</t>
  </si>
  <si>
    <t>2.-</t>
  </si>
  <si>
    <t>CONEXIÓN</t>
  </si>
  <si>
    <t>Transformación</t>
  </si>
  <si>
    <t>Transportista Independiente TIBA S.A.</t>
  </si>
  <si>
    <t>Salidas</t>
  </si>
  <si>
    <t>3.-</t>
  </si>
  <si>
    <t>POTENCIA REACTIVA</t>
  </si>
  <si>
    <t>4.-</t>
  </si>
  <si>
    <t>SUPERVISIÓN</t>
  </si>
  <si>
    <t>Transportista Independiente INTESAR 1</t>
  </si>
  <si>
    <t>Transportista Independiente LIMSA</t>
  </si>
  <si>
    <t xml:space="preserve">TOTAL </t>
  </si>
  <si>
    <t>SISTEMA DE TRANSPORTE DE ENERGÍA ELÉCTRICA EN ALTA TENSIÓN - TRANSENER S.A.</t>
  </si>
  <si>
    <t>1.- LÍNEAS</t>
  </si>
  <si>
    <t>1.1.- Líneas propias</t>
  </si>
  <si>
    <t xml:space="preserve">$/100 km-h : LINEAS 500 kV </t>
  </si>
  <si>
    <t xml:space="preserve">$/100 km-h : LINEAS 220 kV </t>
  </si>
  <si>
    <t>N°</t>
  </si>
  <si>
    <t>INDISP</t>
  </si>
  <si>
    <t>ID EQUIPO</t>
  </si>
  <si>
    <t>U
[kV]</t>
  </si>
  <si>
    <t>Long.
[km]</t>
  </si>
  <si>
    <t>CL</t>
  </si>
  <si>
    <t>K</t>
  </si>
  <si>
    <t>$/h</t>
  </si>
  <si>
    <t>Salida</t>
  </si>
  <si>
    <t>Entrada</t>
  </si>
  <si>
    <t>Hs.
Indisp.</t>
  </si>
  <si>
    <t>Mtos.
Indisp.</t>
  </si>
  <si>
    <t>Rest.
%</t>
  </si>
  <si>
    <t>R.D.</t>
  </si>
  <si>
    <t>AUT.</t>
  </si>
  <si>
    <t>PENALIZ.
PROGRAM.</t>
  </si>
  <si>
    <t>REDUCC.
PROGRAM.</t>
  </si>
  <si>
    <t>PENALIZACIÓN FORZADA
Por Salida    1ras 5 hs.   hs. Restantes</t>
  </si>
  <si>
    <t>REDUCCIÓN FORZADA
Por Salida       1ras 5 hs.     hs. Restantes</t>
  </si>
  <si>
    <t>RESTANTE
FORZADA</t>
  </si>
  <si>
    <t>REDUCCIÓN
RESTANTE</t>
  </si>
  <si>
    <t>Informó
enTérm.</t>
  </si>
  <si>
    <t>TOTAL
PENALIZAC.</t>
  </si>
  <si>
    <t>1.2.-  Líneas de la Transportista Independiente YACYLEC S.A.</t>
  </si>
  <si>
    <t>Desde el 01 al 30 de abril de 2009</t>
  </si>
  <si>
    <t>ENTE NACIONAL REGULADOR</t>
  </si>
  <si>
    <t>2.1.- TRANSFORMACIÓN</t>
  </si>
  <si>
    <t>2.1.1.- Equipamiento Propio</t>
  </si>
  <si>
    <t>Por Transformador por cada MVA    $ =</t>
  </si>
  <si>
    <t>Coeficiente de penalización por salida forzada   =</t>
  </si>
  <si>
    <t>ESTACIÓN
TRANSFORMADORA</t>
  </si>
  <si>
    <t>EQUIPO</t>
  </si>
  <si>
    <t>POT.
[MVA]</t>
  </si>
  <si>
    <t>Hs
Indisp.</t>
  </si>
  <si>
    <t>E.N.S.</t>
  </si>
  <si>
    <t>PENALIZAC. FORZADA
Por Salida         hs. Restantes</t>
  </si>
  <si>
    <t>REDUCC. FORZADA
Por Salida         hs. Restantes</t>
  </si>
  <si>
    <t xml:space="preserve"> 2.2.- SALIDAS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</si>
  <si>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</si>
  <si>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</si>
  <si>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</si>
  <si>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</si>
  <si>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</si>
  <si>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PENALIZAC.
PROGRAM.</t>
  </si>
  <si>
    <t>PENALIZAC. FORZADA
Por Salida       hs. Restantes</t>
  </si>
  <si>
    <t>SISTEMA DE TRANSPORTE DE ENERGÍA ELÉCTRICA EN ALTA TENSIÓN  -  TRANSENER S.A.</t>
  </si>
  <si>
    <t>3.- POTENCIA REACTIVA</t>
  </si>
  <si>
    <t>3.1.- Equipamiento propio</t>
  </si>
  <si>
    <t>POT.
[MVAr]</t>
  </si>
  <si>
    <t>PENAL.FORZADA x Sal hs. Restantes</t>
  </si>
  <si>
    <t>RED.FORZADA
x Sal hs. Restantes</t>
  </si>
  <si>
    <t>SI</t>
  </si>
  <si>
    <t>500/132/33</t>
  </si>
  <si>
    <t>500/330/33</t>
  </si>
  <si>
    <t>500/132/13,2</t>
  </si>
  <si>
    <t>Mes</t>
  </si>
  <si>
    <t>Dia</t>
  </si>
  <si>
    <t>Año</t>
  </si>
  <si>
    <t>enero</t>
  </si>
  <si>
    <t>01</t>
  </si>
  <si>
    <t>febrero</t>
  </si>
  <si>
    <t>02</t>
  </si>
  <si>
    <t>marzo</t>
  </si>
  <si>
    <t>03</t>
  </si>
  <si>
    <t>abril</t>
  </si>
  <si>
    <t>04</t>
  </si>
  <si>
    <t>mayo</t>
  </si>
  <si>
    <t>05</t>
  </si>
  <si>
    <t>junio</t>
  </si>
  <si>
    <t>06</t>
  </si>
  <si>
    <t>julio</t>
  </si>
  <si>
    <t>07</t>
  </si>
  <si>
    <t>agosto</t>
  </si>
  <si>
    <t>08</t>
  </si>
  <si>
    <t>septiembre</t>
  </si>
  <si>
    <t>09</t>
  </si>
  <si>
    <t>octubre</t>
  </si>
  <si>
    <t>10</t>
  </si>
  <si>
    <t>noviembre</t>
  </si>
  <si>
    <t>11</t>
  </si>
  <si>
    <t>diciembre</t>
  </si>
  <si>
    <t>12</t>
  </si>
  <si>
    <t>Total</t>
  </si>
  <si>
    <t>B14</t>
  </si>
  <si>
    <t>Hoja</t>
  </si>
  <si>
    <t>FilaInicio</t>
  </si>
  <si>
    <t>FilasPlantilla</t>
  </si>
  <si>
    <t>Columnas</t>
  </si>
  <si>
    <t>NombreHoja</t>
  </si>
  <si>
    <t>OrigenDeDatos</t>
  </si>
  <si>
    <t>Col00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</si>
  <si>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</si>
  <si>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</si>
  <si>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</si>
  <si>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</si>
  <si>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</si>
  <si>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</si>
  <si>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</si>
  <si>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</si>
  <si>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</si>
  <si>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</si>
  <si>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</si>
  <si>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</si>
  <si>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Col13</t>
  </si>
  <si>
    <t>Col14</t>
  </si>
  <si>
    <t>Col15</t>
  </si>
  <si>
    <t>FILHTOTAL</t>
  </si>
  <si>
    <t>COLHTOTAL</t>
  </si>
  <si>
    <t>FILHCALC</t>
  </si>
  <si>
    <t>COLHCALC</t>
  </si>
  <si>
    <t>FILTRANSP</t>
  </si>
  <si>
    <t>COLTRANSP</t>
  </si>
  <si>
    <t>COL TSAL</t>
  </si>
  <si>
    <t>MODELO L</t>
  </si>
  <si>
    <t>TRANSENER_INDISPONIBILIDADES_LINEAS_TRANSENER.XLS</t>
  </si>
  <si>
    <t>MODELO L YACYLEC</t>
  </si>
  <si>
    <t>TRANSENER_INDISPONIBILIDADES_LINEAS_YACYLEC.XLS</t>
  </si>
  <si>
    <t>MODELO L LITSA</t>
  </si>
  <si>
    <t>TRANSENER_INDISPONIBILIDADES_LINEAS_LITSA.XLS</t>
  </si>
  <si>
    <t>MODELO L LITS2</t>
  </si>
  <si>
    <t>TRANSENER_INDISPONIBILIDADES_LINEAS_LITS2.XLS</t>
  </si>
  <si>
    <t>MODELO L LINSA</t>
  </si>
  <si>
    <t>TRANSENER_INDISPONIBILIDADES_LINEAS_LINSA.XLS</t>
  </si>
  <si>
    <t>MODELO L IV</t>
  </si>
  <si>
    <t>TRANSENER_INDISPONIBILIDADES_LINEAS_IV.XLS</t>
  </si>
  <si>
    <t>MODELO L INTESAR</t>
  </si>
  <si>
    <t>TRANSENER_INDISPONIBILIDADES_LINEAS_INTESAR.XLS</t>
  </si>
  <si>
    <t>MODELO L INTESA2</t>
  </si>
  <si>
    <t>TRANSENER_INDISPONIBILIDADES_LINEAS_INTESA2.XLS</t>
  </si>
  <si>
    <t>MODELO L INTESA3</t>
  </si>
  <si>
    <t>TRANSENER_INDISPONIBILIDADES_LINEAS_INTESA3.XLS</t>
  </si>
  <si>
    <t>MODELO L INTESA4</t>
  </si>
  <si>
    <t>TRANSENER_INDISPONIBILIDADES_LINEAS_INTESA4.XLS</t>
  </si>
  <si>
    <t>MODELO L CUYANA</t>
  </si>
  <si>
    <t>TRANSENER_INDISPONIBILIDADES_LINEAS_CUYANA.XLS</t>
  </si>
  <si>
    <t>MODELO L LIMSA</t>
  </si>
  <si>
    <t>TRANSENER_INDISPONIBILIDADES_LINEAS_LIMSA.XLS</t>
  </si>
  <si>
    <t>MODELO L RIOJA</t>
  </si>
  <si>
    <t>TRANSENER_INDISPONIBILIDADES_LINEAS_RIOJA.XLS</t>
  </si>
  <si>
    <t>MODELO T</t>
  </si>
  <si>
    <t>TRANSENER_INDISPONIBILIDADES_TRAFOS_TRANSENER.XLS</t>
  </si>
  <si>
    <t>MODELO T LITSA</t>
  </si>
  <si>
    <t>TRANSENER_INDISPONIBILIDADES_TRAFOS_LITSA.XLS</t>
  </si>
  <si>
    <t>MODELO T LITS2</t>
  </si>
  <si>
    <t>TRANSENER_INDISPONIBILIDADES_TRAFOS_LITS2.XLS</t>
  </si>
  <si>
    <t>MODELO T LINSA</t>
  </si>
  <si>
    <t>TRANSENER_INDISPONIBILIDADES_TRAFOS_LINSA.XLS</t>
  </si>
  <si>
    <t>MODELO T TIBA</t>
  </si>
  <si>
    <t>TRANSENER_INDISPONIBILIDADES_TRAFOS_TIBA.XLS</t>
  </si>
  <si>
    <t>MODELO T ENECOR</t>
  </si>
  <si>
    <t>TRANSENER_INDISPONIBILIDADES_TRAFOS_ENECOR.XLS</t>
  </si>
  <si>
    <t>MODELO T INTESAR</t>
  </si>
  <si>
    <t>TRANSENER_INDISPONIBILIDADES_TRAFOS_INTESAR.XLS</t>
  </si>
  <si>
    <t>MODELO T INTESA3</t>
  </si>
  <si>
    <t>TRANSENER_INDISPONIBILIDADES_TRAFOS_INTESA3.XLS</t>
  </si>
  <si>
    <t>MODELO T INTESA4</t>
  </si>
  <si>
    <t>TRANSENER_INDISPONIBILIDADES_TRAFOS_INTESA4.XLS</t>
  </si>
  <si>
    <t>MODELO T LIMSA</t>
  </si>
  <si>
    <t>TRANSENER_INDISPONIBILIDADES_TRAFOS_LIMSA.XLS</t>
  </si>
  <si>
    <t>MODELO T CUYANA</t>
  </si>
  <si>
    <t>TRANSENER_INDISPONIBILIDADES_TRAFOS_CUYANA.XLS</t>
  </si>
  <si>
    <t>MODELO T COBRA</t>
  </si>
  <si>
    <t>TRANSENER_INDISPONIBILIDADES_TRAFOS_COBRA.XLS</t>
  </si>
  <si>
    <t>MODELO S</t>
  </si>
  <si>
    <t>TRANSENER_INDISPONIBILIDADES_SALIDAS_TRANSENER.XLS</t>
  </si>
  <si>
    <t>MODELO S TIBA</t>
  </si>
  <si>
    <t>TRANSENER_INDISPONIBILIDADES_SALIDAS_TIBA.XLS</t>
  </si>
  <si>
    <t>MODELO S ENECOR</t>
  </si>
  <si>
    <t>TRANSENER_INDISPONIBILIDADES_SALIDAS_ENECOR.XLS</t>
  </si>
  <si>
    <t>MODELO S INTESA3</t>
  </si>
  <si>
    <t>TRANSENER_INDISPONIBILIDADES_SALIDAS_INTESA3.XLS</t>
  </si>
  <si>
    <t>MODELO S INTESA4</t>
  </si>
  <si>
    <t>TRANSENER_INDISPONIBILIDADES_SALIDAS_INTESA4.XLS</t>
  </si>
  <si>
    <t>MODELO S TESA</t>
  </si>
  <si>
    <t>TRANSENER_INDISPONIBILIDADES_SALIDAS_TESA.XLS</t>
  </si>
  <si>
    <t>MODELO S CTM</t>
  </si>
  <si>
    <t>TRANSENER_INDISPONIBILIDADES_SALIDAS_CTM.XLS</t>
  </si>
  <si>
    <t>MODELO S LIMSA</t>
  </si>
  <si>
    <t>TRANSENER_INDISPONIBILIDADES_SALIDAS_LIMSA.XLS</t>
  </si>
  <si>
    <t>MODELO S LITSA</t>
  </si>
  <si>
    <t>TRANSENER_INDISPONIBILIDADES_SALIDAS_LITSA.XLS</t>
  </si>
  <si>
    <t>MODELO S LITS2</t>
  </si>
  <si>
    <t>TRANSENER_INDISPONIBILIDADES_SALIDAS_LITS2.XLS</t>
  </si>
  <si>
    <t>MODELO S LINSA</t>
  </si>
  <si>
    <t>TRANSENER_INDISPONIBILIDADES_SALIDAS_LINSA.XLS</t>
  </si>
  <si>
    <t>MODELO R</t>
  </si>
  <si>
    <t>TRANSENER_INDISPONIBILIDADES_REACTIVOS_TRANSENER.XLS</t>
  </si>
  <si>
    <t>MODELO R YACYLEC</t>
  </si>
  <si>
    <t>TRANSENER_INDISPONIBILIDADES_REACTIVOS_YACYLEC.XLS</t>
  </si>
  <si>
    <t>MODELO R INTESAR</t>
  </si>
  <si>
    <t>TRANSENER_INDISPONIBILIDADES_REACTIVOS_INTESAR.XLS</t>
  </si>
  <si>
    <t>MODELO R INTESA2</t>
  </si>
  <si>
    <t>TRANSENER_INDISPONIBILIDADES_REACTIVOS_INTESA2.XLS</t>
  </si>
  <si>
    <t>MODELO R INTESA4</t>
  </si>
  <si>
    <t>TRANSENER_INDISPONIBILIDADES_REACTIVOS_INTESA4.XLS</t>
  </si>
  <si>
    <t>MODELO R LITSA</t>
  </si>
  <si>
    <t>TRANSENER_INDISPONIBILIDADES_REACTIVOS_LITSA.XLS</t>
  </si>
  <si>
    <t>MODELO R LITS2</t>
  </si>
  <si>
    <t>TRANSENER_INDISPONIBILIDADES_REACTIVOS_LITS2.XLS</t>
  </si>
  <si>
    <t>MODELO R LINSA</t>
  </si>
  <si>
    <t>TRANSENER_INDISPONIBILIDADES_REACTIVOS_LINSA.XLS</t>
  </si>
  <si>
    <t>MODELO R IV</t>
  </si>
  <si>
    <t>TRANSENER_INDISPONIBILIDADES_REACTIVOS_IV.XLS</t>
  </si>
  <si>
    <t>MODELO R LIMSA</t>
  </si>
  <si>
    <t>TRANSENER_INDISPONIBILIDADES_REACTIVOS_LIMSA.XLS</t>
  </si>
  <si>
    <t>SUP-YACYLEC</t>
  </si>
  <si>
    <t>SUP-LITSA</t>
  </si>
  <si>
    <t>SUP-LITS2</t>
  </si>
  <si>
    <t>SUP-TIBA</t>
  </si>
  <si>
    <t>SUP-ENECOR</t>
  </si>
  <si>
    <t>SUP-TESA</t>
  </si>
  <si>
    <t>SUP-CTM</t>
  </si>
  <si>
    <t>SUP-INTESAR</t>
  </si>
  <si>
    <t>SUP-INTESA2</t>
  </si>
  <si>
    <t>TRANSENER_INDISPONIBILIDADES_TRAFOS_INTESA2.XLS</t>
  </si>
  <si>
    <t>SUP-INTESA3</t>
  </si>
  <si>
    <t>SUP-INTESA4</t>
  </si>
  <si>
    <t>SUP-CUYANA</t>
  </si>
  <si>
    <t>SUP-LIMSA</t>
  </si>
  <si>
    <t>SUP-LINSA</t>
  </si>
  <si>
    <t>SUP-RIOJA</t>
  </si>
  <si>
    <t>SUP-COBRA</t>
  </si>
  <si>
    <t>MODELO VST</t>
  </si>
  <si>
    <t>TRANSENER_CAUSAS_VST.XLS</t>
  </si>
  <si>
    <t>DAG</t>
  </si>
  <si>
    <t>TRANSENER_INDISPONIBILIDADES_DAG.XLS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</si>
  <si>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</si>
  <si>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</si>
  <si>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Desde el 01 al 30 de septiembre de 2012</t>
  </si>
  <si>
    <t>EZEIZA - ABASTO 2</t>
  </si>
  <si>
    <t>C</t>
  </si>
  <si>
    <t>P</t>
  </si>
  <si>
    <t>MALVINAS ARG. - ALMAFUERTE</t>
  </si>
  <si>
    <t>COLONIA ELIA - CAMPANA</t>
  </si>
  <si>
    <t>F</t>
  </si>
  <si>
    <t>CHOCON - C.H. CHOCON 3</t>
  </si>
  <si>
    <t>CHOCON - C.H. CHOCON 1</t>
  </si>
  <si>
    <t>VILLA LIA - ATUCHA 1</t>
  </si>
  <si>
    <t>RINCON - YACYRETA II</t>
  </si>
  <si>
    <t>CHOEL CHOEL -  P. MADRYN</t>
  </si>
  <si>
    <t>MERCEDES - COLONIA ELIA</t>
  </si>
  <si>
    <t>RINCON - MERCEDES</t>
  </si>
  <si>
    <t>MALVINAS ARGENTINAS</t>
  </si>
  <si>
    <t>TRAFO 1</t>
  </si>
  <si>
    <t>GRAN MENDOZA</t>
  </si>
  <si>
    <t>AUTOTRAFO</t>
  </si>
  <si>
    <t>ALMAFUERTE</t>
  </si>
  <si>
    <t>EL BRACHO</t>
  </si>
  <si>
    <t>TRAFO 2</t>
  </si>
  <si>
    <t>MACACHIN</t>
  </si>
  <si>
    <t>EL CHOCON</t>
  </si>
  <si>
    <t>TRAFO 4</t>
  </si>
  <si>
    <t>RESISTENCIA</t>
  </si>
  <si>
    <t>TRAFO 3</t>
  </si>
  <si>
    <t>TRAFO T2</t>
  </si>
  <si>
    <t>ATUCHA I</t>
  </si>
  <si>
    <t>TRAFO</t>
  </si>
  <si>
    <t>NUEVA CAMPANA</t>
  </si>
  <si>
    <t>T1CA</t>
  </si>
  <si>
    <t>OLAVARRIA</t>
  </si>
  <si>
    <t>T1OL</t>
  </si>
  <si>
    <t>NUEVA P.MADRYN</t>
  </si>
  <si>
    <t>AT1</t>
  </si>
  <si>
    <t>ROSARIO OESTE</t>
  </si>
  <si>
    <t>SALIDA LINEA PROVINCIAS UNIDAS</t>
  </si>
  <si>
    <t>ROMANG</t>
  </si>
  <si>
    <t>SALIDA LINEA A RECONQUISTA</t>
  </si>
  <si>
    <t>SALIDA LINEA SAN LORENZO</t>
  </si>
  <si>
    <t>RAMALLO</t>
  </si>
  <si>
    <t>SALIDA LINEA PERGAMINO</t>
  </si>
  <si>
    <t>SALIDA LINEA 1 A STA. ROSA</t>
  </si>
  <si>
    <t>SALIDA LINEA 2 A STA. ROSA</t>
  </si>
  <si>
    <t>SALIDA LINEA INDEPENDENCIA</t>
  </si>
  <si>
    <t>SALIDA LINEA A BARRANQUERAS 2</t>
  </si>
  <si>
    <t>SALIDA LINEA A P. LA PLAZA</t>
  </si>
  <si>
    <t>LUJAN</t>
  </si>
  <si>
    <t>SALIDA SAN LUIS I</t>
  </si>
  <si>
    <t>RECREO</t>
  </si>
  <si>
    <t>ALIMENTADOR A FRIAS</t>
  </si>
  <si>
    <t>SALIDA SAN LUIS II</t>
  </si>
  <si>
    <t>SALIDA LINEA A LA RIOJA 2</t>
  </si>
  <si>
    <t>CHOCON OESTE</t>
  </si>
  <si>
    <t>SALIDA LINEA A AGUA DEL CAJON</t>
  </si>
  <si>
    <t>ATUCHA</t>
  </si>
  <si>
    <t>SALIDA LINEA A E.T. ZARATE</t>
  </si>
  <si>
    <t>SALIDA ACOPLAMIENTO A-C</t>
  </si>
  <si>
    <t>SALIDA LINEA SORRENTO 2</t>
  </si>
  <si>
    <t>RIO GRANDE</t>
  </si>
  <si>
    <t>SALIDA TRAFO MAQ. 1 Y 2</t>
  </si>
  <si>
    <t>SALIDA LINEA A GODOY</t>
  </si>
  <si>
    <t>CAMPANA 500</t>
  </si>
  <si>
    <t>SALIDA ACOP. BARRAS A,C</t>
  </si>
  <si>
    <t>SALIDA LINEA C.GOMEZ</t>
  </si>
  <si>
    <t>SALIDA LINEA TANCACHA</t>
  </si>
  <si>
    <t>EZEIZA</t>
  </si>
  <si>
    <t>CS1</t>
  </si>
  <si>
    <t>CS2</t>
  </si>
  <si>
    <t>CS5</t>
  </si>
  <si>
    <t xml:space="preserve">P - PROGRAMADA  ; F - FORZADA           </t>
  </si>
  <si>
    <r>
      <t>(</t>
    </r>
    <r>
      <rPr>
        <sz val="9"/>
        <rFont val="Wingdings"/>
        <family val="0"/>
      </rPr>
      <t>²</t>
    </r>
    <r>
      <rPr>
        <sz val="9"/>
        <rFont val="Times New Roman"/>
        <family val="1"/>
      </rPr>
      <t>)</t>
    </r>
  </si>
  <si>
    <t>PUELCHES</t>
  </si>
  <si>
    <t>R2B5PU</t>
  </si>
  <si>
    <t>R6B5PU</t>
  </si>
  <si>
    <t>CS3</t>
  </si>
  <si>
    <t xml:space="preserve">CAP SERIE </t>
  </si>
  <si>
    <t>251847 (*)</t>
  </si>
  <si>
    <t xml:space="preserve">Nota: los capacitores Serie (*)  no se penalizan </t>
  </si>
  <si>
    <t>T2OL</t>
  </si>
  <si>
    <t xml:space="preserve"> -</t>
  </si>
  <si>
    <t>EL BRACHO - COBOS 1</t>
  </si>
  <si>
    <t xml:space="preserve"> P - PROGRAMADA</t>
  </si>
  <si>
    <t xml:space="preserve"> 2.2.2.- Transportista Independiente TIBA S.A.</t>
  </si>
  <si>
    <t>-</t>
  </si>
  <si>
    <t>P - PROGRAMADA</t>
  </si>
  <si>
    <t>SALIDA A AZUL</t>
  </si>
  <si>
    <t>LA RIOJA SUR</t>
  </si>
  <si>
    <t>SALIDA PATQUIA</t>
  </si>
  <si>
    <t xml:space="preserve">P - PROGRAMADA </t>
  </si>
  <si>
    <t xml:space="preserve"> </t>
  </si>
  <si>
    <t>3.2.-  Transportista Independiente YACYLEC S.A.</t>
  </si>
  <si>
    <t xml:space="preserve">  P - PROGRAMADA </t>
  </si>
  <si>
    <t>R6l5RS</t>
  </si>
  <si>
    <t xml:space="preserve">P - PROGRAMADA  </t>
  </si>
  <si>
    <t>SANTA CRUZ NORTE</t>
  </si>
  <si>
    <t>1.4.- Transportista Independiente INTESAR S.A. 2 (C. Elía - Rodriguez)</t>
  </si>
  <si>
    <t>C. ELIA - M. BELGRANO</t>
  </si>
  <si>
    <t>RP</t>
  </si>
  <si>
    <t>Transp. Indep. INTESAR S.A. 1 (Choele Choel - Puerto Madryn)</t>
  </si>
  <si>
    <t>Transp. Indep. INTESAR S.A. 2 (C. Elía - Rodríguez)</t>
  </si>
  <si>
    <t>Transp. Indep. INTESAR S.A. 3 (P. Madryn - S.Cruz Norte)</t>
  </si>
  <si>
    <t>Transp. Indep. INTESAR S.A. 4 (Bracho-Cobos-M.Q.-S. Juancito)</t>
  </si>
  <si>
    <t>1.3.- Transp. Indep. INTESAR S.A. 1 (Choele Choel - Puerto Madryn)</t>
  </si>
  <si>
    <t>N. P. MADRYN - SANTA CRUZ NORTE I</t>
  </si>
  <si>
    <t>500/220/13,2</t>
  </si>
  <si>
    <t>220/132/13,2</t>
  </si>
  <si>
    <t>C. ELIA</t>
  </si>
  <si>
    <t>SALIDA LINEA MERCEDES</t>
  </si>
  <si>
    <t>SALIDA SAN NICOLAS</t>
  </si>
  <si>
    <t>ATUCHA II</t>
  </si>
  <si>
    <t>SALIDA 5TGAT1</t>
  </si>
  <si>
    <t>Transportel Minera 2 ( Recreo La Rioja).</t>
  </si>
  <si>
    <t xml:space="preserve"> 2.2.3.- TRANSPORTEL MINERA 2 (Recreo - La Rioja) </t>
  </si>
  <si>
    <t>3.4.- Transp. Indep. L.I.M.S.A.</t>
  </si>
  <si>
    <t>1.6.-</t>
  </si>
  <si>
    <t>1.7.-</t>
  </si>
  <si>
    <t>3.4.-</t>
  </si>
  <si>
    <t>4.7.-</t>
  </si>
  <si>
    <t>1.5.- Transportista Independiente INTESAR S.A. 3 (N. P. MADRYN - SANTA CRUZ NORTE )</t>
  </si>
  <si>
    <t>1.6.- Transportista Independiente INTESAR S.A. 4 (Bracho - Cobos - M. Quemado - S. Juancito )</t>
  </si>
  <si>
    <t>1.7.- Transportista Independiente LIMSA</t>
  </si>
  <si>
    <t>2.1.2.- Transportista Independiente TIBA S.A.</t>
  </si>
  <si>
    <t>2.1.3.- Transportista Independiente INTESAR S.A.</t>
  </si>
  <si>
    <t>2.1.4.- Transportista Independiente INTESA3 (P.Madryn - Santa Cruz Norte)</t>
  </si>
  <si>
    <t>SISTEMA DE TRANSPORTE DE ENERGÍA ELÉCTRICA EN ALTA TENSION</t>
  </si>
  <si>
    <t>INDISPONIBILIDADES FORZADAS DE LÍNEAS - TASA DE FALLA</t>
  </si>
  <si>
    <t>CLASE</t>
  </si>
  <si>
    <t xml:space="preserve">Longitud Total </t>
  </si>
  <si>
    <t xml:space="preserve">Indisponibilidades Forzadas </t>
  </si>
  <si>
    <t xml:space="preserve">TASA DE FALLA </t>
  </si>
  <si>
    <t>TASA DE FALLA</t>
  </si>
  <si>
    <t>Salidas X Año / 100Km</t>
  </si>
  <si>
    <t>RECREO LA RIOJA SUR</t>
  </si>
  <si>
    <t>R1L5RE</t>
  </si>
  <si>
    <t>MERCEDES</t>
  </si>
  <si>
    <t>C.ELÍA</t>
  </si>
  <si>
    <t>RO20</t>
  </si>
  <si>
    <t>R1L5MD</t>
  </si>
  <si>
    <t>RINCÓN</t>
  </si>
  <si>
    <t>R5L5RI</t>
  </si>
  <si>
    <t>R2L5MD</t>
  </si>
  <si>
    <t>SISTEMA DE TRANSPORTE DE ENERGÍA ELÉCTRICA EN ALTA TENSIÓN - TRANSENER  S.A.</t>
  </si>
  <si>
    <t>4.- SUPERVISIÓN</t>
  </si>
  <si>
    <t>4.1.- Transportista Independiente YACYLEC S.A.</t>
  </si>
  <si>
    <t>a)</t>
  </si>
  <si>
    <t>Datos</t>
  </si>
  <si>
    <t>Remuneración LÍNEAS 500 kV              =</t>
  </si>
  <si>
    <t>$/100 km-h</t>
  </si>
  <si>
    <t>Porcentaje por Supervisión  =</t>
  </si>
  <si>
    <t>Remuneración TRANSFORMADOR    =</t>
  </si>
  <si>
    <t>$/MVA</t>
  </si>
  <si>
    <t>Tiempo de servicio =</t>
  </si>
  <si>
    <t>hs</t>
  </si>
  <si>
    <t>Coeficiente de penalización forzada=</t>
  </si>
  <si>
    <t>b)</t>
  </si>
  <si>
    <t>CS =</t>
  </si>
  <si>
    <t>c)</t>
  </si>
  <si>
    <t>Tipo 
Sal</t>
  </si>
  <si>
    <t>PENALIZACION FORZADA
Por Salida      1ras 5 hs.     hs. Restantes</t>
  </si>
  <si>
    <t>REDUCC. FORZADA
Por Salida        1ras 5 hs.      hs. Restantes</t>
  </si>
  <si>
    <t>REDUCC.
RESTANTE</t>
  </si>
  <si>
    <t>I</t>
  </si>
  <si>
    <t>II</t>
  </si>
  <si>
    <t>Tipo 
Sal.</t>
  </si>
  <si>
    <t>Rest %</t>
  </si>
  <si>
    <t>K (P;ENS)</t>
  </si>
  <si>
    <t>PENALIZAC. FORZADA
Por Salida    hs. Restantes</t>
  </si>
  <si>
    <t>REDUC PROGR</t>
  </si>
  <si>
    <t>III</t>
  </si>
  <si>
    <t>IV</t>
  </si>
  <si>
    <t>V</t>
  </si>
  <si>
    <t>SM =</t>
  </si>
  <si>
    <t>d)</t>
  </si>
  <si>
    <t>LONG.</t>
  </si>
  <si>
    <t>U [kV]</t>
  </si>
  <si>
    <t>Línea Rincón - Resistencia</t>
  </si>
  <si>
    <t>3 Líneas Rincón - Yacyretá</t>
  </si>
  <si>
    <t>RM =</t>
  </si>
  <si>
    <t>RM * =</t>
  </si>
  <si>
    <t>e)</t>
  </si>
  <si>
    <t>SANCIÓN</t>
  </si>
  <si>
    <t>Sanción calculada</t>
  </si>
  <si>
    <t>TOTAL A PENALIZAR A TRANSENER S.A POR SUPERVISIÓN A YACYLEC</t>
  </si>
  <si>
    <t>SANCIÓN =</t>
  </si>
  <si>
    <t xml:space="preserve">Salida en 500 kV en $/h </t>
  </si>
  <si>
    <t xml:space="preserve">Cargo por Transformador por MVA = </t>
  </si>
  <si>
    <t>Salida en 132 kV en $/h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</si>
  <si>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</si>
  <si>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</si>
  <si>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</si>
  <si>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</si>
  <si>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</si>
  <si>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</si>
  <si>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</si>
  <si>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</si>
  <si>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</si>
  <si>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TRANSFORMADOR</t>
  </si>
  <si>
    <t>POT. [MVA]</t>
  </si>
  <si>
    <t>E.T.</t>
  </si>
  <si>
    <t>Cant. Puntos.</t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</si>
  <si>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</si>
  <si>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</si>
  <si>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</si>
  <si>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</si>
  <si>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</si>
  <si>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</si>
  <si>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</si>
  <si>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Campana trafos</t>
  </si>
  <si>
    <t>RM: Por Capacitores ET  B. Blanca:</t>
  </si>
  <si>
    <t>100 MVAr</t>
  </si>
  <si>
    <t>RM *  =</t>
  </si>
  <si>
    <t>TOTAL A PENALIZAR A TRANSENER S.A POR SUPERVISIÓN A TIBA</t>
  </si>
  <si>
    <r>
      <t>CS:</t>
    </r>
    <r>
      <rPr>
        <sz val="12"/>
        <rFont val="Times New Roman"/>
        <family val="0"/>
      </rPr>
      <t xml:space="preserve"> es el cargo por supervisión de la operación que la concesionaria percibe por supervisar la operación y mantenimiento del transportista independiente, establecido en el reglamento de acceso.</t>
    </r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</si>
  <si>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</si>
  <si>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</si>
  <si>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r>
      <t>RM</t>
    </r>
    <r>
      <rPr>
        <sz val="12"/>
        <rFont val="Times New Roman"/>
        <family val="1"/>
      </rPr>
      <t xml:space="preserve"> por Capacidad de Transporte</t>
    </r>
  </si>
  <si>
    <r>
      <t>RM</t>
    </r>
    <r>
      <rPr>
        <sz val="12"/>
        <rFont val="Times New Roman"/>
        <family val="1"/>
      </rPr>
      <t xml:space="preserve"> por Energía E. Transportada</t>
    </r>
  </si>
  <si>
    <r>
      <t>RM</t>
    </r>
    <r>
      <rPr>
        <sz val="12"/>
        <rFont val="Times New Roman"/>
        <family val="1"/>
      </rPr>
      <t xml:space="preserve"> por Potencia Puesta a Disposición</t>
    </r>
  </si>
  <si>
    <r>
      <t>RM</t>
    </r>
    <r>
      <rPr>
        <sz val="12"/>
        <rFont val="Times New Roman"/>
        <family val="1"/>
      </rPr>
      <t xml:space="preserve"> Total</t>
    </r>
  </si>
  <si>
    <r>
      <t>RM *</t>
    </r>
    <r>
      <rPr>
        <sz val="14"/>
        <rFont val="Times New Roman"/>
        <family val="1"/>
      </rPr>
      <t xml:space="preserve"> =   VALOR EMPLEADO PARA CALCULAR    </t>
    </r>
    <r>
      <rPr>
        <b/>
        <sz val="14"/>
        <rFont val="Times New Roman"/>
        <family val="1"/>
      </rPr>
      <t>CS</t>
    </r>
  </si>
  <si>
    <r>
      <t>RM</t>
    </r>
    <r>
      <rPr>
        <sz val="12"/>
        <rFont val="Times New Roman"/>
        <family val="1"/>
      </rPr>
      <t xml:space="preserve"> por Capacidad de Transformación</t>
    </r>
  </si>
  <si>
    <r>
      <t>RM</t>
    </r>
    <r>
      <rPr>
        <sz val="12"/>
        <rFont val="Times New Roman"/>
        <family val="1"/>
      </rPr>
      <t xml:space="preserve"> por Cargos de Conexión</t>
    </r>
  </si>
  <si>
    <r>
      <t>RM *</t>
    </r>
    <r>
      <rPr>
        <sz val="14"/>
        <rFont val="Times New Roman"/>
        <family val="1"/>
      </rPr>
      <t xml:space="preserve"> =  VALOR EMPLEADO PARA CALCULAR   </t>
    </r>
    <r>
      <rPr>
        <b/>
        <sz val="14"/>
        <rFont val="Times New Roman"/>
        <family val="1"/>
      </rPr>
      <t>CS</t>
    </r>
  </si>
  <si>
    <t>R6L5RS</t>
  </si>
  <si>
    <t>vii</t>
  </si>
  <si>
    <t>P - PROGRAMADA  ; F - FORZADA</t>
  </si>
  <si>
    <t>A</t>
  </si>
  <si>
    <t>Choele Choel - P.Madryn</t>
  </si>
  <si>
    <t>Nueva P. Madryn AT1</t>
  </si>
  <si>
    <t xml:space="preserve">RM = </t>
  </si>
  <si>
    <t>TOTAL A PENALIZAR A TRANSENER S.A POR SUPERVISIÓN A INTESAR</t>
  </si>
  <si>
    <t>SALIDA</t>
  </si>
  <si>
    <t>Remuneración LÍNEAS 220 kV              =</t>
  </si>
  <si>
    <t>Remuneración SALIDA 132 kV             =</t>
  </si>
  <si>
    <t>$/hora</t>
  </si>
  <si>
    <t>Mercedes - Colonia Elía</t>
  </si>
  <si>
    <t>Rincon - Mercedes</t>
  </si>
  <si>
    <t>Mercedes</t>
  </si>
  <si>
    <t>DPEC 1</t>
  </si>
  <si>
    <t>DPEC 2</t>
  </si>
  <si>
    <t xml:space="preserve">RM  = </t>
  </si>
  <si>
    <t>TOTAL A PENALIZAR A TRANSENER S.A POR SUPERVISIÓN A LIMSA</t>
  </si>
  <si>
    <r>
      <t>RM *</t>
    </r>
    <r>
      <rPr>
        <sz val="14"/>
        <rFont val="Times New Roman"/>
        <family val="1"/>
      </rPr>
      <t xml:space="preserve"> =   SE EMPLEA PARA EL CÁLCULO DE    </t>
    </r>
    <r>
      <rPr>
        <b/>
        <sz val="14"/>
        <rFont val="Times New Roman"/>
        <family val="1"/>
      </rPr>
      <t>CS</t>
    </r>
  </si>
  <si>
    <r>
      <t>RM</t>
    </r>
    <r>
      <rPr>
        <sz val="12"/>
        <rFont val="Times New Roman"/>
        <family val="1"/>
      </rPr>
      <t xml:space="preserve"> por Conexión</t>
    </r>
  </si>
  <si>
    <t>4.3.- Transportista Independiente INTESAR S.A. 1 (CHOELE CHOEL -P. MADRYN)</t>
  </si>
  <si>
    <t>4.2.- Transportista Independiente  TIBA S.A.</t>
  </si>
  <si>
    <t>(DTE 0912)</t>
  </si>
  <si>
    <t>4.7.- Transportista Independiente Líneas Mesopotámicas S.A. (LIMSA)</t>
  </si>
  <si>
    <t xml:space="preserve">Valores remuneratorios según "Convenio de Renovación del Acuerdo Instrumental del Acta Acuerdo UNIREN - TRANSENER S.A."   (Dec. PEN Nº 1462/05) </t>
  </si>
  <si>
    <t xml:space="preserve">"Acuedo Instrumental del Acta Acuerdo UNIREN - TRANSBA" (Dec PEN Nº 1460/05) ; Res ENRE N° 523/09 ; Res ENRE Nº 397/10 y Res ENRE Nº 72/09 </t>
  </si>
  <si>
    <t>TOTAL DE PENALIZACIONES A APLICAR</t>
  </si>
  <si>
    <t xml:space="preserve">   ENTE NACIONAL REGULADOR </t>
  </si>
  <si>
    <t>1.1.1.- Incendio de Campos</t>
  </si>
  <si>
    <t>F - FORZADA</t>
  </si>
  <si>
    <t>1.1.1.- Incendio</t>
  </si>
  <si>
    <t>Correspondiente al mes de septiembre de 2012</t>
  </si>
  <si>
    <t xml:space="preserve">    ENTE NACIONAL REGULADOR </t>
  </si>
  <si>
    <t>ANEXO IV al Memorándum  D.T.E.E.  N° 295 / 2014</t>
  </si>
</sst>
</file>

<file path=xl/styles.xml><?xml version="1.0" encoding="utf-8"?>
<styleSheet xmlns="http://schemas.openxmlformats.org/spreadsheetml/2006/main">
  <numFmts count="7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\a\.m\./\p\.m\."/>
    <numFmt numFmtId="225" formatCode="&quot;$&quot;\ #,##0.0;[Red]&quot;$&quot;\ \-#,##0.0"/>
    <numFmt numFmtId="226" formatCode="[$USS]\ #,##0.00;[$USS]\ \-#,##0.00"/>
  </numFmts>
  <fonts count="16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color indexed="10"/>
      <name val="MS Sans Serif"/>
      <family val="2"/>
    </font>
    <font>
      <sz val="20"/>
      <name val="Times New Roman"/>
      <family val="1"/>
    </font>
    <font>
      <b/>
      <u val="single"/>
      <sz val="2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b/>
      <u val="single"/>
      <sz val="1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0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sz val="11"/>
      <name val="MS Sans Serif"/>
      <family val="2"/>
    </font>
    <font>
      <sz val="11"/>
      <color indexed="27"/>
      <name val="MS Sans Serif"/>
      <family val="2"/>
    </font>
    <font>
      <sz val="11"/>
      <color indexed="47"/>
      <name val="MS Sans Serif"/>
      <family val="2"/>
    </font>
    <font>
      <sz val="10"/>
      <name val="Wingdings"/>
      <family val="0"/>
    </font>
    <font>
      <sz val="11"/>
      <color indexed="26"/>
      <name val="MS Sans Serif"/>
      <family val="2"/>
    </font>
    <font>
      <sz val="11"/>
      <color indexed="50"/>
      <name val="MS Sans Serif"/>
      <family val="2"/>
    </font>
    <font>
      <sz val="11"/>
      <color indexed="10"/>
      <name val="MS Sans Serif"/>
      <family val="2"/>
    </font>
    <font>
      <sz val="11"/>
      <color indexed="62"/>
      <name val="MS Sans Serif"/>
      <family val="2"/>
    </font>
    <font>
      <sz val="10"/>
      <color indexed="62"/>
      <name val="MS Sans Serif"/>
      <family val="2"/>
    </font>
    <font>
      <sz val="11"/>
      <color indexed="60"/>
      <name val="MS Sans Serif"/>
      <family val="2"/>
    </font>
    <font>
      <sz val="11"/>
      <color indexed="11"/>
      <name val="MS Sans Serif"/>
      <family val="2"/>
    </font>
    <font>
      <sz val="10"/>
      <color indexed="27"/>
      <name val="Times New Roman"/>
      <family val="1"/>
    </font>
    <font>
      <sz val="10"/>
      <color indexed="47"/>
      <name val="Times New Roman"/>
      <family val="1"/>
    </font>
    <font>
      <sz val="10"/>
      <color indexed="26"/>
      <name val="Times New Roman"/>
      <family val="1"/>
    </font>
    <font>
      <sz val="10"/>
      <color indexed="50"/>
      <name val="Times New Roman"/>
      <family val="1"/>
    </font>
    <font>
      <sz val="10"/>
      <color indexed="62"/>
      <name val="Times New Roman"/>
      <family val="1"/>
    </font>
    <font>
      <sz val="10"/>
      <color indexed="60"/>
      <name val="Times New Roman"/>
      <family val="1"/>
    </font>
    <font>
      <sz val="10"/>
      <color indexed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26"/>
      <name val="Times New Roman"/>
      <family val="0"/>
    </font>
    <font>
      <b/>
      <sz val="10"/>
      <color indexed="50"/>
      <name val="Times New Roman"/>
      <family val="1"/>
    </font>
    <font>
      <b/>
      <sz val="10"/>
      <color indexed="10"/>
      <name val="Times New Roman"/>
      <family val="0"/>
    </font>
    <font>
      <b/>
      <sz val="10"/>
      <color indexed="62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1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10"/>
      <color indexed="14"/>
      <name val="Times New Roman"/>
      <family val="1"/>
    </font>
    <font>
      <sz val="11"/>
      <color indexed="48"/>
      <name val="MS Sans Serif"/>
      <family val="2"/>
    </font>
    <font>
      <sz val="11"/>
      <color indexed="8"/>
      <name val="MS Sans Serif"/>
      <family val="2"/>
    </font>
    <font>
      <sz val="11"/>
      <color indexed="9"/>
      <name val="MS Sans Serif"/>
      <family val="2"/>
    </font>
    <font>
      <sz val="10"/>
      <color indexed="48"/>
      <name val="Times New Roman"/>
      <family val="1"/>
    </font>
    <font>
      <b/>
      <sz val="10"/>
      <color indexed="9"/>
      <name val="Times New Roman"/>
      <family val="0"/>
    </font>
    <font>
      <sz val="11"/>
      <color indexed="13"/>
      <name val="Times New Roman"/>
      <family val="1"/>
    </font>
    <font>
      <sz val="11"/>
      <color indexed="61"/>
      <name val="MS Sans Serif"/>
      <family val="2"/>
    </font>
    <font>
      <sz val="11"/>
      <color indexed="54"/>
      <name val="MS Sans Serif"/>
      <family val="2"/>
    </font>
    <font>
      <sz val="11"/>
      <color indexed="56"/>
      <name val="MS Sans Serif"/>
      <family val="2"/>
    </font>
    <font>
      <sz val="11"/>
      <color indexed="58"/>
      <name val="MS Sans Serif"/>
      <family val="2"/>
    </font>
    <font>
      <b/>
      <sz val="10"/>
      <color indexed="61"/>
      <name val="Times New Roman"/>
      <family val="0"/>
    </font>
    <font>
      <b/>
      <sz val="10"/>
      <color indexed="54"/>
      <name val="Times New Roman"/>
      <family val="0"/>
    </font>
    <font>
      <b/>
      <sz val="10"/>
      <color indexed="56"/>
      <name val="Times New Roman"/>
      <family val="1"/>
    </font>
    <font>
      <b/>
      <sz val="10"/>
      <color indexed="58"/>
      <name val="Times New Roman"/>
      <family val="1"/>
    </font>
    <font>
      <sz val="10"/>
      <color indexed="18"/>
      <name val="Times New Roman"/>
      <family val="1"/>
    </font>
    <font>
      <sz val="10"/>
      <color indexed="13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8"/>
      <name val="MS Sans Serif"/>
      <family val="2"/>
    </font>
    <font>
      <sz val="8"/>
      <color indexed="18"/>
      <name val="MS Sans Serif"/>
      <family val="2"/>
    </font>
    <font>
      <sz val="8"/>
      <color indexed="10"/>
      <name val="MS Sans Serif"/>
      <family val="2"/>
    </font>
    <font>
      <sz val="8"/>
      <color indexed="50"/>
      <name val="MS Sans Serif"/>
      <family val="2"/>
    </font>
    <font>
      <sz val="8"/>
      <color indexed="56"/>
      <name val="MS Sans Serif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Wingdings"/>
      <family val="0"/>
    </font>
    <font>
      <sz val="9"/>
      <name val="Times New Roman"/>
      <family val="1"/>
    </font>
    <font>
      <b/>
      <sz val="10"/>
      <name val="MS Sans Serif"/>
      <family val="2"/>
    </font>
    <font>
      <sz val="9"/>
      <name val="Courier New"/>
      <family val="3"/>
    </font>
    <font>
      <b/>
      <i/>
      <sz val="11"/>
      <name val="Times New Roman"/>
      <family val="1"/>
    </font>
    <font>
      <b/>
      <u val="single"/>
      <sz val="18"/>
      <name val="Times New Roman"/>
      <family val="1"/>
    </font>
    <font>
      <sz val="18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i/>
      <u val="single"/>
      <sz val="12"/>
      <name val="Arial"/>
      <family val="0"/>
    </font>
    <font>
      <b/>
      <i/>
      <u val="single"/>
      <sz val="12"/>
      <name val="Times New Roman"/>
      <family val="1"/>
    </font>
    <font>
      <sz val="11"/>
      <color indexed="34"/>
      <name val="MS Sans Serif"/>
      <family val="2"/>
    </font>
    <font>
      <sz val="10"/>
      <color indexed="34"/>
      <name val="MS Sans Serif"/>
      <family val="2"/>
    </font>
    <font>
      <sz val="10"/>
      <color indexed="9"/>
      <name val="MS Sans Serif"/>
      <family val="2"/>
    </font>
    <font>
      <b/>
      <sz val="12"/>
      <color indexed="48"/>
      <name val="Times New Roman"/>
      <family val="0"/>
    </font>
    <font>
      <b/>
      <sz val="12"/>
      <color indexed="9"/>
      <name val="Times New Roman"/>
      <family val="0"/>
    </font>
    <font>
      <b/>
      <sz val="10"/>
      <color indexed="34"/>
      <name val="Times New Roman"/>
      <family val="1"/>
    </font>
    <font>
      <sz val="12"/>
      <color indexed="10"/>
      <name val="Times New Roman"/>
      <family val="1"/>
    </font>
    <font>
      <b/>
      <sz val="12"/>
      <color indexed="34"/>
      <name val="Times New Roman"/>
      <family val="0"/>
    </font>
    <font>
      <b/>
      <sz val="10"/>
      <color indexed="48"/>
      <name val="Times New Roman"/>
      <family val="0"/>
    </font>
    <font>
      <sz val="12"/>
      <color indexed="8"/>
      <name val="Times New Roman"/>
      <family val="1"/>
    </font>
    <font>
      <sz val="12"/>
      <name val="MS Sans Serif"/>
      <family val="0"/>
    </font>
    <font>
      <b/>
      <u val="single"/>
      <sz val="12"/>
      <color indexed="8"/>
      <name val="Times New Roman"/>
      <family val="1"/>
    </font>
    <font>
      <sz val="12"/>
      <color indexed="14"/>
      <name val="Times New Roman"/>
      <family val="1"/>
    </font>
    <font>
      <sz val="14"/>
      <name val="MS Sans Serif"/>
      <family val="0"/>
    </font>
    <font>
      <b/>
      <sz val="14"/>
      <color indexed="8"/>
      <name val="Times New Roman"/>
      <family val="0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i/>
      <sz val="14"/>
      <name val="Times New Roman"/>
      <family val="1"/>
    </font>
    <font>
      <b/>
      <sz val="14"/>
      <name val="MS Sans Serif"/>
      <family val="0"/>
    </font>
    <font>
      <sz val="7"/>
      <color indexed="10"/>
      <name val="Times New Roman"/>
      <family val="1"/>
    </font>
    <font>
      <sz val="7"/>
      <color indexed="14"/>
      <name val="Times New Roman"/>
      <family val="1"/>
    </font>
    <font>
      <b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2" fillId="2" borderId="0" applyNumberFormat="0" applyBorder="0" applyAlignment="0" applyProtection="0"/>
    <xf numFmtId="0" fontId="142" fillId="3" borderId="0" applyNumberFormat="0" applyBorder="0" applyAlignment="0" applyProtection="0"/>
    <xf numFmtId="0" fontId="142" fillId="4" borderId="0" applyNumberFormat="0" applyBorder="0" applyAlignment="0" applyProtection="0"/>
    <xf numFmtId="0" fontId="142" fillId="5" borderId="0" applyNumberFormat="0" applyBorder="0" applyAlignment="0" applyProtection="0"/>
    <xf numFmtId="0" fontId="142" fillId="6" borderId="0" applyNumberFormat="0" applyBorder="0" applyAlignment="0" applyProtection="0"/>
    <xf numFmtId="0" fontId="142" fillId="7" borderId="0" applyNumberFormat="0" applyBorder="0" applyAlignment="0" applyProtection="0"/>
    <xf numFmtId="0" fontId="142" fillId="8" borderId="0" applyNumberFormat="0" applyBorder="0" applyAlignment="0" applyProtection="0"/>
    <xf numFmtId="0" fontId="142" fillId="9" borderId="0" applyNumberFormat="0" applyBorder="0" applyAlignment="0" applyProtection="0"/>
    <xf numFmtId="0" fontId="142" fillId="10" borderId="0" applyNumberFormat="0" applyBorder="0" applyAlignment="0" applyProtection="0"/>
    <xf numFmtId="0" fontId="142" fillId="11" borderId="0" applyNumberFormat="0" applyBorder="0" applyAlignment="0" applyProtection="0"/>
    <xf numFmtId="0" fontId="142" fillId="12" borderId="0" applyNumberFormat="0" applyBorder="0" applyAlignment="0" applyProtection="0"/>
    <xf numFmtId="0" fontId="142" fillId="13" borderId="0" applyNumberFormat="0" applyBorder="0" applyAlignment="0" applyProtection="0"/>
    <xf numFmtId="0" fontId="143" fillId="14" borderId="0" applyNumberFormat="0" applyBorder="0" applyAlignment="0" applyProtection="0"/>
    <xf numFmtId="0" fontId="143" fillId="15" borderId="0" applyNumberFormat="0" applyBorder="0" applyAlignment="0" applyProtection="0"/>
    <xf numFmtId="0" fontId="143" fillId="16" borderId="0" applyNumberFormat="0" applyBorder="0" applyAlignment="0" applyProtection="0"/>
    <xf numFmtId="0" fontId="143" fillId="17" borderId="0" applyNumberFormat="0" applyBorder="0" applyAlignment="0" applyProtection="0"/>
    <xf numFmtId="0" fontId="143" fillId="18" borderId="0" applyNumberFormat="0" applyBorder="0" applyAlignment="0" applyProtection="0"/>
    <xf numFmtId="0" fontId="143" fillId="19" borderId="0" applyNumberFormat="0" applyBorder="0" applyAlignment="0" applyProtection="0"/>
    <xf numFmtId="0" fontId="144" fillId="20" borderId="0" applyNumberFormat="0" applyBorder="0" applyAlignment="0" applyProtection="0"/>
    <xf numFmtId="0" fontId="145" fillId="21" borderId="1" applyNumberFormat="0" applyAlignment="0" applyProtection="0"/>
    <xf numFmtId="0" fontId="146" fillId="22" borderId="2" applyNumberFormat="0" applyAlignment="0" applyProtection="0"/>
    <xf numFmtId="0" fontId="147" fillId="0" borderId="3" applyNumberFormat="0" applyFill="0" applyAlignment="0" applyProtection="0"/>
    <xf numFmtId="0" fontId="148" fillId="0" borderId="0" applyNumberFormat="0" applyFill="0" applyBorder="0" applyAlignment="0" applyProtection="0"/>
    <xf numFmtId="0" fontId="143" fillId="23" borderId="0" applyNumberFormat="0" applyBorder="0" applyAlignment="0" applyProtection="0"/>
    <xf numFmtId="0" fontId="143" fillId="24" borderId="0" applyNumberFormat="0" applyBorder="0" applyAlignment="0" applyProtection="0"/>
    <xf numFmtId="0" fontId="143" fillId="25" borderId="0" applyNumberFormat="0" applyBorder="0" applyAlignment="0" applyProtection="0"/>
    <xf numFmtId="0" fontId="143" fillId="26" borderId="0" applyNumberFormat="0" applyBorder="0" applyAlignment="0" applyProtection="0"/>
    <xf numFmtId="0" fontId="143" fillId="27" borderId="0" applyNumberFormat="0" applyBorder="0" applyAlignment="0" applyProtection="0"/>
    <xf numFmtId="0" fontId="143" fillId="28" borderId="0" applyNumberFormat="0" applyBorder="0" applyAlignment="0" applyProtection="0"/>
    <xf numFmtId="0" fontId="14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15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52" fillId="21" borderId="5" applyNumberFormat="0" applyAlignment="0" applyProtection="0"/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6" applyNumberFormat="0" applyFill="0" applyAlignment="0" applyProtection="0"/>
    <xf numFmtId="0" fontId="157" fillId="0" borderId="7" applyNumberFormat="0" applyFill="0" applyAlignment="0" applyProtection="0"/>
    <xf numFmtId="0" fontId="148" fillId="0" borderId="8" applyNumberFormat="0" applyFill="0" applyAlignment="0" applyProtection="0"/>
    <xf numFmtId="0" fontId="158" fillId="0" borderId="9" applyNumberFormat="0" applyFill="0" applyAlignment="0" applyProtection="0"/>
  </cellStyleXfs>
  <cellXfs count="1852">
    <xf numFmtId="0" fontId="0" fillId="0" borderId="0" xfId="0" applyAlignment="1">
      <alignment/>
    </xf>
    <xf numFmtId="0" fontId="8" fillId="0" borderId="0" xfId="63" applyFont="1" quotePrefix="1">
      <alignment/>
      <protection/>
    </xf>
    <xf numFmtId="0" fontId="9" fillId="0" borderId="0" xfId="63" applyFont="1" applyAlignment="1">
      <alignment horizontal="centerContinuous"/>
      <protection/>
    </xf>
    <xf numFmtId="0" fontId="8" fillId="0" borderId="0" xfId="63" applyFont="1">
      <alignment/>
      <protection/>
    </xf>
    <xf numFmtId="0" fontId="10" fillId="0" borderId="0" xfId="63" applyFont="1" applyBorder="1">
      <alignment/>
      <protection/>
    </xf>
    <xf numFmtId="0" fontId="11" fillId="0" borderId="0" xfId="63" applyFont="1" applyAlignment="1">
      <alignment horizontal="right" vertical="top"/>
      <protection/>
    </xf>
    <xf numFmtId="0" fontId="12" fillId="0" borderId="0" xfId="63" applyFont="1" applyAlignment="1">
      <alignment horizontal="centerContinuous"/>
      <protection/>
    </xf>
    <xf numFmtId="0" fontId="8" fillId="0" borderId="0" xfId="63" applyFont="1" applyAlignment="1">
      <alignment horizontal="centerContinuous"/>
      <protection/>
    </xf>
    <xf numFmtId="0" fontId="13" fillId="0" borderId="0" xfId="63" applyFont="1">
      <alignment/>
      <protection/>
    </xf>
    <xf numFmtId="0" fontId="3" fillId="0" borderId="0" xfId="63">
      <alignment/>
      <protection/>
    </xf>
    <xf numFmtId="0" fontId="13" fillId="0" borderId="0" xfId="63" applyFont="1" applyAlignment="1">
      <alignment horizontal="centerContinuous"/>
      <protection/>
    </xf>
    <xf numFmtId="0" fontId="13" fillId="0" borderId="0" xfId="63" applyFont="1" applyBorder="1">
      <alignment/>
      <protection/>
    </xf>
    <xf numFmtId="0" fontId="6" fillId="0" borderId="0" xfId="63" applyFont="1" applyFill="1" applyBorder="1" applyAlignment="1" applyProtection="1">
      <alignment horizontal="centerContinuous"/>
      <protection/>
    </xf>
    <xf numFmtId="0" fontId="14" fillId="0" borderId="0" xfId="63" applyNumberFormat="1" applyFont="1" applyAlignment="1">
      <alignment horizontal="left"/>
      <protection/>
    </xf>
    <xf numFmtId="0" fontId="14" fillId="0" borderId="0" xfId="63" applyFont="1">
      <alignment/>
      <protection/>
    </xf>
    <xf numFmtId="0" fontId="14" fillId="0" borderId="0" xfId="63" applyFont="1" applyBorder="1">
      <alignment/>
      <protection/>
    </xf>
    <xf numFmtId="0" fontId="15" fillId="0" borderId="0" xfId="63" applyFont="1" applyFill="1" applyBorder="1" applyAlignment="1" applyProtection="1">
      <alignment horizontal="left"/>
      <protection/>
    </xf>
    <xf numFmtId="0" fontId="8" fillId="0" borderId="0" xfId="63" applyFont="1" applyBorder="1">
      <alignment/>
      <protection/>
    </xf>
    <xf numFmtId="0" fontId="16" fillId="0" borderId="0" xfId="63" applyFont="1">
      <alignment/>
      <protection/>
    </xf>
    <xf numFmtId="0" fontId="17" fillId="0" borderId="0" xfId="63" applyFont="1" applyBorder="1" applyAlignment="1">
      <alignment horizontal="centerContinuous"/>
      <protection/>
    </xf>
    <xf numFmtId="0" fontId="18" fillId="0" borderId="0" xfId="63" applyFont="1" applyAlignment="1">
      <alignment horizontal="centerContinuous"/>
      <protection/>
    </xf>
    <xf numFmtId="0" fontId="16" fillId="0" borderId="0" xfId="63" applyFont="1" applyAlignment="1">
      <alignment horizontal="centerContinuous"/>
      <protection/>
    </xf>
    <xf numFmtId="0" fontId="16" fillId="0" borderId="0" xfId="63" applyFont="1" applyBorder="1" applyAlignment="1">
      <alignment horizontal="centerContinuous"/>
      <protection/>
    </xf>
    <xf numFmtId="0" fontId="16" fillId="0" borderId="0" xfId="63" applyFont="1" applyBorder="1">
      <alignment/>
      <protection/>
    </xf>
    <xf numFmtId="0" fontId="19" fillId="0" borderId="0" xfId="63" applyFont="1">
      <alignment/>
      <protection/>
    </xf>
    <xf numFmtId="0" fontId="3" fillId="0" borderId="0" xfId="63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1" fillId="0" borderId="0" xfId="63" applyFont="1">
      <alignment/>
      <protection/>
    </xf>
    <xf numFmtId="0" fontId="22" fillId="0" borderId="0" xfId="63" applyFont="1" applyBorder="1">
      <alignment/>
      <protection/>
    </xf>
    <xf numFmtId="0" fontId="21" fillId="0" borderId="0" xfId="63" applyFont="1" applyBorder="1">
      <alignment/>
      <protection/>
    </xf>
    <xf numFmtId="0" fontId="21" fillId="0" borderId="10" xfId="63" applyFont="1" applyBorder="1">
      <alignment/>
      <protection/>
    </xf>
    <xf numFmtId="0" fontId="21" fillId="0" borderId="11" xfId="63" applyFont="1" applyBorder="1">
      <alignment/>
      <protection/>
    </xf>
    <xf numFmtId="182" fontId="21" fillId="0" borderId="11" xfId="63" applyNumberFormat="1" applyFont="1" applyBorder="1">
      <alignment/>
      <protection/>
    </xf>
    <xf numFmtId="0" fontId="21" fillId="0" borderId="12" xfId="63" applyFont="1" applyBorder="1">
      <alignment/>
      <protection/>
    </xf>
    <xf numFmtId="0" fontId="23" fillId="0" borderId="0" xfId="63" applyFont="1">
      <alignment/>
      <protection/>
    </xf>
    <xf numFmtId="0" fontId="24" fillId="0" borderId="13" xfId="63" applyFont="1" applyBorder="1" applyAlignment="1">
      <alignment horizontal="centerContinuous"/>
      <protection/>
    </xf>
    <xf numFmtId="0" fontId="3" fillId="0" borderId="0" xfId="63" applyNumberFormat="1" applyAlignment="1">
      <alignment horizontal="centerContinuous"/>
      <protection/>
    </xf>
    <xf numFmtId="0" fontId="23" fillId="0" borderId="0" xfId="63" applyNumberFormat="1" applyFont="1" applyAlignment="1">
      <alignment horizontal="centerContinuous"/>
      <protection/>
    </xf>
    <xf numFmtId="182" fontId="24" fillId="0" borderId="0" xfId="63" applyNumberFormat="1" applyFont="1" applyBorder="1" applyAlignment="1">
      <alignment horizontal="centerContinuous"/>
      <protection/>
    </xf>
    <xf numFmtId="0" fontId="24" fillId="0" borderId="0" xfId="63" applyFont="1" applyBorder="1" applyAlignment="1">
      <alignment horizontal="centerContinuous"/>
      <protection/>
    </xf>
    <xf numFmtId="0" fontId="23" fillId="0" borderId="0" xfId="63" applyFont="1" applyBorder="1" applyAlignment="1">
      <alignment horizontal="centerContinuous"/>
      <protection/>
    </xf>
    <xf numFmtId="0" fontId="23" fillId="0" borderId="14" xfId="63" applyFont="1" applyBorder="1" applyAlignment="1">
      <alignment horizontal="centerContinuous"/>
      <protection/>
    </xf>
    <xf numFmtId="0" fontId="23" fillId="0" borderId="0" xfId="63" applyFont="1" applyBorder="1">
      <alignment/>
      <protection/>
    </xf>
    <xf numFmtId="0" fontId="23" fillId="0" borderId="13" xfId="63" applyFont="1" applyBorder="1">
      <alignment/>
      <protection/>
    </xf>
    <xf numFmtId="0" fontId="10" fillId="0" borderId="0" xfId="63" applyNumberFormat="1" applyFont="1" applyBorder="1" applyAlignment="1">
      <alignment horizontal="right"/>
      <protection/>
    </xf>
    <xf numFmtId="181" fontId="10" fillId="0" borderId="0" xfId="63" applyNumberFormat="1" applyFont="1" applyBorder="1" applyAlignment="1">
      <alignment horizontal="right"/>
      <protection/>
    </xf>
    <xf numFmtId="182" fontId="23" fillId="0" borderId="0" xfId="63" applyNumberFormat="1" applyFont="1" applyBorder="1">
      <alignment/>
      <protection/>
    </xf>
    <xf numFmtId="0" fontId="24" fillId="0" borderId="0" xfId="63" applyFont="1" applyBorder="1">
      <alignment/>
      <protection/>
    </xf>
    <xf numFmtId="0" fontId="23" fillId="0" borderId="14" xfId="63" applyFont="1" applyBorder="1">
      <alignment/>
      <protection/>
    </xf>
    <xf numFmtId="0" fontId="10" fillId="0" borderId="0" xfId="63" applyNumberFormat="1" applyFont="1" applyBorder="1" applyAlignment="1">
      <alignment horizontal="right"/>
      <protection/>
    </xf>
    <xf numFmtId="7" fontId="10" fillId="0" borderId="0" xfId="63" applyNumberFormat="1" applyFont="1" applyBorder="1" applyAlignment="1">
      <alignment horizontal="right"/>
      <protection/>
    </xf>
    <xf numFmtId="182" fontId="10" fillId="0" borderId="0" xfId="63" applyNumberFormat="1" applyFont="1" applyBorder="1">
      <alignment/>
      <protection/>
    </xf>
    <xf numFmtId="182" fontId="10" fillId="0" borderId="0" xfId="63" applyNumberFormat="1" applyFont="1" applyBorder="1">
      <alignment/>
      <protection/>
    </xf>
    <xf numFmtId="0" fontId="24" fillId="0" borderId="0" xfId="63" applyFont="1" applyBorder="1">
      <alignment/>
      <protection/>
    </xf>
    <xf numFmtId="7" fontId="10" fillId="0" borderId="0" xfId="63" applyNumberFormat="1" applyFont="1" applyBorder="1" applyAlignment="1">
      <alignment horizontal="right"/>
      <protection/>
    </xf>
    <xf numFmtId="0" fontId="13" fillId="0" borderId="13" xfId="63" applyFont="1" applyBorder="1">
      <alignment/>
      <protection/>
    </xf>
    <xf numFmtId="0" fontId="5" fillId="0" borderId="0" xfId="63" applyNumberFormat="1" applyFont="1" applyBorder="1" applyAlignment="1">
      <alignment horizontal="right"/>
      <protection/>
    </xf>
    <xf numFmtId="182" fontId="13" fillId="0" borderId="0" xfId="63" applyNumberFormat="1" applyFont="1" applyBorder="1">
      <alignment/>
      <protection/>
    </xf>
    <xf numFmtId="0" fontId="25" fillId="0" borderId="0" xfId="63" applyFont="1" applyBorder="1">
      <alignment/>
      <protection/>
    </xf>
    <xf numFmtId="7" fontId="5" fillId="0" borderId="0" xfId="63" applyNumberFormat="1" applyFont="1" applyBorder="1" applyAlignment="1">
      <alignment horizontal="right"/>
      <protection/>
    </xf>
    <xf numFmtId="0" fontId="13" fillId="0" borderId="14" xfId="63" applyFont="1" applyBorder="1">
      <alignment/>
      <protection/>
    </xf>
    <xf numFmtId="181" fontId="10" fillId="0" borderId="0" xfId="63" applyNumberFormat="1" applyFont="1" applyBorder="1" applyAlignment="1">
      <alignment horizontal="left"/>
      <protection/>
    </xf>
    <xf numFmtId="182" fontId="23" fillId="0" borderId="0" xfId="63" applyNumberFormat="1" applyFont="1" applyBorder="1">
      <alignment/>
      <protection/>
    </xf>
    <xf numFmtId="182" fontId="10" fillId="0" borderId="0" xfId="63" applyNumberFormat="1" applyFont="1" applyBorder="1" applyAlignment="1">
      <alignment horizontal="right"/>
      <protection/>
    </xf>
    <xf numFmtId="0" fontId="10" fillId="0" borderId="0" xfId="63" applyFont="1" applyBorder="1">
      <alignment/>
      <protection/>
    </xf>
    <xf numFmtId="182" fontId="10" fillId="0" borderId="0" xfId="63" applyNumberFormat="1" applyFont="1" applyBorder="1" applyAlignment="1">
      <alignment horizontal="right"/>
      <protection/>
    </xf>
    <xf numFmtId="182" fontId="13" fillId="0" borderId="0" xfId="63" applyNumberFormat="1" applyFont="1" applyBorder="1">
      <alignment/>
      <protection/>
    </xf>
    <xf numFmtId="0" fontId="25" fillId="0" borderId="0" xfId="63" applyFont="1" applyBorder="1">
      <alignment/>
      <protection/>
    </xf>
    <xf numFmtId="7" fontId="5" fillId="0" borderId="0" xfId="63" applyNumberFormat="1" applyFont="1" applyBorder="1" applyAlignment="1">
      <alignment horizontal="right"/>
      <protection/>
    </xf>
    <xf numFmtId="0" fontId="26" fillId="0" borderId="0" xfId="63" applyFont="1" applyBorder="1">
      <alignment/>
      <protection/>
    </xf>
    <xf numFmtId="0" fontId="10" fillId="0" borderId="15" xfId="63" applyFont="1" applyBorder="1" applyAlignment="1">
      <alignment horizontal="center"/>
      <protection/>
    </xf>
    <xf numFmtId="7" fontId="10" fillId="0" borderId="16" xfId="63" applyNumberFormat="1" applyFont="1" applyBorder="1" applyAlignment="1">
      <alignment horizontal="center"/>
      <protection/>
    </xf>
    <xf numFmtId="7" fontId="10" fillId="0" borderId="0" xfId="63" applyNumberFormat="1" applyFont="1" applyBorder="1" applyAlignment="1">
      <alignment horizontal="center"/>
      <protection/>
    </xf>
    <xf numFmtId="0" fontId="10" fillId="0" borderId="0" xfId="63" applyFont="1" applyBorder="1" applyAlignment="1">
      <alignment horizontal="center"/>
      <protection/>
    </xf>
    <xf numFmtId="0" fontId="28" fillId="0" borderId="0" xfId="63" applyFont="1">
      <alignment/>
      <protection/>
    </xf>
    <xf numFmtId="0" fontId="21" fillId="0" borderId="17" xfId="63" applyFont="1" applyBorder="1">
      <alignment/>
      <protection/>
    </xf>
    <xf numFmtId="0" fontId="21" fillId="0" borderId="18" xfId="63" applyNumberFormat="1" applyFont="1" applyBorder="1">
      <alignment/>
      <protection/>
    </xf>
    <xf numFmtId="0" fontId="21" fillId="0" borderId="18" xfId="63" applyFont="1" applyBorder="1">
      <alignment/>
      <protection/>
    </xf>
    <xf numFmtId="0" fontId="21" fillId="0" borderId="19" xfId="63" applyFont="1" applyBorder="1">
      <alignment/>
      <protection/>
    </xf>
    <xf numFmtId="0" fontId="21" fillId="0" borderId="0" xfId="63" applyFont="1" applyFill="1" applyBorder="1">
      <alignment/>
      <protection/>
    </xf>
    <xf numFmtId="4" fontId="21" fillId="0" borderId="0" xfId="63" applyNumberFormat="1" applyFont="1" applyFill="1" applyBorder="1">
      <alignment/>
      <protection/>
    </xf>
    <xf numFmtId="7" fontId="21" fillId="0" borderId="0" xfId="63" applyNumberFormat="1" applyFont="1" applyBorder="1">
      <alignment/>
      <protection/>
    </xf>
    <xf numFmtId="168" fontId="21" fillId="0" borderId="0" xfId="63" applyNumberFormat="1" applyFont="1" applyBorder="1" applyAlignment="1">
      <alignment horizontal="center"/>
      <protection/>
    </xf>
    <xf numFmtId="0" fontId="13" fillId="0" borderId="0" xfId="63" applyFont="1" applyFill="1" applyBorder="1">
      <alignment/>
      <protection/>
    </xf>
    <xf numFmtId="4" fontId="13" fillId="0" borderId="0" xfId="63" applyNumberFormat="1" applyFont="1" applyFill="1" applyBorder="1">
      <alignment/>
      <protection/>
    </xf>
    <xf numFmtId="0" fontId="13" fillId="0" borderId="0" xfId="63" applyFont="1" applyBorder="1" applyAlignment="1">
      <alignment horizontal="center"/>
      <protection/>
    </xf>
    <xf numFmtId="4" fontId="13" fillId="0" borderId="0" xfId="63" applyNumberFormat="1" applyFont="1" applyBorder="1">
      <alignment/>
      <protection/>
    </xf>
    <xf numFmtId="4" fontId="5" fillId="0" borderId="0" xfId="63" applyNumberFormat="1" applyFont="1" applyBorder="1" applyAlignment="1">
      <alignment horizontal="center"/>
      <protection/>
    </xf>
    <xf numFmtId="0" fontId="8" fillId="0" borderId="0" xfId="63" applyFont="1" applyFill="1">
      <alignment/>
      <protection/>
    </xf>
    <xf numFmtId="0" fontId="13" fillId="0" borderId="0" xfId="63" applyFont="1" applyFill="1">
      <alignment/>
      <protection/>
    </xf>
    <xf numFmtId="0" fontId="14" fillId="0" borderId="0" xfId="63" applyFont="1" applyAlignment="1">
      <alignment horizontal="centerContinuous"/>
      <protection/>
    </xf>
    <xf numFmtId="0" fontId="13" fillId="0" borderId="10" xfId="63" applyFont="1" applyBorder="1">
      <alignment/>
      <protection/>
    </xf>
    <xf numFmtId="0" fontId="13" fillId="0" borderId="11" xfId="63" applyFont="1" applyBorder="1">
      <alignment/>
      <protection/>
    </xf>
    <xf numFmtId="0" fontId="13" fillId="0" borderId="11" xfId="63" applyFont="1" applyBorder="1" applyAlignment="1" applyProtection="1">
      <alignment horizontal="left"/>
      <protection/>
    </xf>
    <xf numFmtId="0" fontId="13" fillId="0" borderId="12" xfId="63" applyFont="1" applyFill="1" applyBorder="1">
      <alignment/>
      <protection/>
    </xf>
    <xf numFmtId="0" fontId="16" fillId="0" borderId="13" xfId="63" applyFont="1" applyBorder="1">
      <alignment/>
      <protection/>
    </xf>
    <xf numFmtId="0" fontId="20" fillId="0" borderId="0" xfId="63" applyFont="1" applyBorder="1" applyAlignment="1">
      <alignment horizontal="left"/>
      <protection/>
    </xf>
    <xf numFmtId="0" fontId="20" fillId="0" borderId="0" xfId="63" applyFont="1" applyBorder="1">
      <alignment/>
      <protection/>
    </xf>
    <xf numFmtId="0" fontId="16" fillId="0" borderId="14" xfId="63" applyFont="1" applyFill="1" applyBorder="1">
      <alignment/>
      <protection/>
    </xf>
    <xf numFmtId="0" fontId="13" fillId="0" borderId="14" xfId="63" applyFont="1" applyFill="1" applyBorder="1">
      <alignment/>
      <protection/>
    </xf>
    <xf numFmtId="0" fontId="13" fillId="0" borderId="0" xfId="63" applyFont="1" applyBorder="1" applyProtection="1">
      <alignment/>
      <protection/>
    </xf>
    <xf numFmtId="0" fontId="24" fillId="0" borderId="0" xfId="63" applyFont="1" applyAlignment="1">
      <alignment horizontal="centerContinuous"/>
      <protection/>
    </xf>
    <xf numFmtId="0" fontId="24" fillId="0" borderId="14" xfId="63" applyFont="1" applyFill="1" applyBorder="1" applyAlignment="1">
      <alignment horizontal="centerContinuous"/>
      <protection/>
    </xf>
    <xf numFmtId="0" fontId="25" fillId="0" borderId="0" xfId="63" applyFont="1" applyBorder="1" applyAlignment="1">
      <alignment horizontal="left"/>
      <protection/>
    </xf>
    <xf numFmtId="0" fontId="3" fillId="0" borderId="15" xfId="63" applyFont="1" applyBorder="1" applyAlignment="1" applyProtection="1">
      <alignment horizontal="center"/>
      <protection/>
    </xf>
    <xf numFmtId="174" fontId="0" fillId="0" borderId="15" xfId="63" applyNumberFormat="1" applyFont="1" applyBorder="1" applyAlignment="1">
      <alignment horizontal="centerContinuous"/>
      <protection/>
    </xf>
    <xf numFmtId="0" fontId="3" fillId="0" borderId="16" xfId="63" applyBorder="1" applyAlignment="1">
      <alignment horizontal="centerContinuous"/>
      <protection/>
    </xf>
    <xf numFmtId="0" fontId="3" fillId="0" borderId="0" xfId="63" applyFont="1" applyBorder="1" applyAlignment="1" applyProtection="1">
      <alignment horizontal="center"/>
      <protection/>
    </xf>
    <xf numFmtId="174" fontId="3" fillId="0" borderId="0" xfId="63" applyNumberFormat="1" applyFont="1" applyBorder="1" applyAlignment="1">
      <alignment horizontal="centerContinuous"/>
      <protection/>
    </xf>
    <xf numFmtId="22" fontId="13" fillId="0" borderId="0" xfId="63" applyNumberFormat="1" applyFont="1" applyBorder="1">
      <alignment/>
      <protection/>
    </xf>
    <xf numFmtId="0" fontId="29" fillId="0" borderId="0" xfId="63" applyFont="1" applyBorder="1">
      <alignment/>
      <protection/>
    </xf>
    <xf numFmtId="0" fontId="30" fillId="0" borderId="20" xfId="63" applyFont="1" applyBorder="1" applyAlignment="1">
      <alignment horizontal="center" vertical="center"/>
      <protection/>
    </xf>
    <xf numFmtId="0" fontId="30" fillId="0" borderId="20" xfId="63" applyFont="1" applyBorder="1" applyAlignment="1" applyProtection="1">
      <alignment horizontal="center" vertical="center"/>
      <protection/>
    </xf>
    <xf numFmtId="164" fontId="30" fillId="0" borderId="20" xfId="63" applyNumberFormat="1" applyFont="1" applyBorder="1" applyAlignment="1" applyProtection="1">
      <alignment horizontal="center" vertical="center" wrapText="1"/>
      <protection/>
    </xf>
    <xf numFmtId="0" fontId="30" fillId="0" borderId="20" xfId="63" applyFont="1" applyBorder="1" applyAlignment="1" applyProtection="1">
      <alignment horizontal="center" vertical="center" wrapText="1"/>
      <protection/>
    </xf>
    <xf numFmtId="168" fontId="30" fillId="0" borderId="20" xfId="63" applyNumberFormat="1" applyFont="1" applyBorder="1" applyAlignment="1" applyProtection="1">
      <alignment horizontal="center" vertical="center"/>
      <protection/>
    </xf>
    <xf numFmtId="168" fontId="31" fillId="33" borderId="20" xfId="63" applyNumberFormat="1" applyFont="1" applyFill="1" applyBorder="1" applyAlignment="1" applyProtection="1">
      <alignment horizontal="center" vertical="center"/>
      <protection/>
    </xf>
    <xf numFmtId="0" fontId="32" fillId="34" borderId="20" xfId="63" applyFont="1" applyFill="1" applyBorder="1" applyAlignment="1" applyProtection="1">
      <alignment horizontal="center" vertical="center"/>
      <protection/>
    </xf>
    <xf numFmtId="0" fontId="30" fillId="0" borderId="15" xfId="63" applyFont="1" applyBorder="1" applyAlignment="1" applyProtection="1">
      <alignment horizontal="center" vertical="center"/>
      <protection/>
    </xf>
    <xf numFmtId="0" fontId="30" fillId="0" borderId="15" xfId="63" applyFont="1" applyBorder="1" applyAlignment="1" applyProtection="1">
      <alignment horizontal="center" vertical="center" wrapText="1"/>
      <protection/>
    </xf>
    <xf numFmtId="0" fontId="34" fillId="35" borderId="20" xfId="63" applyFont="1" applyFill="1" applyBorder="1" applyAlignment="1">
      <alignment horizontal="center" vertical="center" wrapText="1"/>
      <protection/>
    </xf>
    <xf numFmtId="0" fontId="35" fillId="36" borderId="20" xfId="63" applyFont="1" applyFill="1" applyBorder="1" applyAlignment="1">
      <alignment horizontal="center" vertical="center" wrapText="1"/>
      <protection/>
    </xf>
    <xf numFmtId="0" fontId="36" fillId="37" borderId="15" xfId="63" applyFont="1" applyFill="1" applyBorder="1" applyAlignment="1" applyProtection="1">
      <alignment horizontal="centerContinuous" vertical="center" wrapText="1"/>
      <protection/>
    </xf>
    <xf numFmtId="0" fontId="7" fillId="37" borderId="21" xfId="63" applyFont="1" applyFill="1" applyBorder="1" applyAlignment="1">
      <alignment horizontal="centerContinuous"/>
      <protection/>
    </xf>
    <xf numFmtId="0" fontId="36" fillId="37" borderId="16" xfId="63" applyFont="1" applyFill="1" applyBorder="1" applyAlignment="1">
      <alignment horizontal="centerContinuous" vertical="center"/>
      <protection/>
    </xf>
    <xf numFmtId="0" fontId="37" fillId="38" borderId="15" xfId="63" applyFont="1" applyFill="1" applyBorder="1" applyAlignment="1">
      <alignment horizontal="centerContinuous" vertical="center" wrapText="1"/>
      <protection/>
    </xf>
    <xf numFmtId="0" fontId="38" fillId="38" borderId="21" xfId="63" applyFont="1" applyFill="1" applyBorder="1" applyAlignment="1">
      <alignment horizontal="centerContinuous"/>
      <protection/>
    </xf>
    <xf numFmtId="0" fontId="37" fillId="38" borderId="16" xfId="63" applyFont="1" applyFill="1" applyBorder="1" applyAlignment="1">
      <alignment horizontal="centerContinuous" vertical="center"/>
      <protection/>
    </xf>
    <xf numFmtId="0" fontId="39" fillId="39" borderId="20" xfId="63" applyFont="1" applyFill="1" applyBorder="1" applyAlignment="1">
      <alignment horizontal="center" vertical="center" wrapText="1"/>
      <protection/>
    </xf>
    <xf numFmtId="0" fontId="40" fillId="40" borderId="20" xfId="63" applyFont="1" applyFill="1" applyBorder="1" applyAlignment="1">
      <alignment horizontal="center" vertical="center" wrapText="1"/>
      <protection/>
    </xf>
    <xf numFmtId="0" fontId="30" fillId="0" borderId="20" xfId="63" applyFont="1" applyBorder="1" applyAlignment="1">
      <alignment horizontal="center" vertical="center" wrapText="1"/>
      <protection/>
    </xf>
    <xf numFmtId="0" fontId="13" fillId="0" borderId="14" xfId="63" applyFont="1" applyFill="1" applyBorder="1" applyAlignment="1">
      <alignment horizontal="center"/>
      <protection/>
    </xf>
    <xf numFmtId="0" fontId="13" fillId="0" borderId="22" xfId="63" applyFont="1" applyBorder="1">
      <alignment/>
      <protection/>
    </xf>
    <xf numFmtId="0" fontId="13" fillId="0" borderId="22" xfId="63" applyFont="1" applyFill="1" applyBorder="1" applyAlignment="1">
      <alignment horizontal="center"/>
      <protection/>
    </xf>
    <xf numFmtId="170" fontId="13" fillId="0" borderId="22" xfId="63" applyNumberFormat="1" applyFont="1" applyFill="1" applyBorder="1">
      <alignment/>
      <protection/>
    </xf>
    <xf numFmtId="0" fontId="13" fillId="0" borderId="22" xfId="63" applyFont="1" applyFill="1" applyBorder="1">
      <alignment/>
      <protection/>
    </xf>
    <xf numFmtId="0" fontId="41" fillId="0" borderId="22" xfId="63" applyFont="1" applyFill="1" applyBorder="1">
      <alignment/>
      <protection/>
    </xf>
    <xf numFmtId="0" fontId="42" fillId="0" borderId="22" xfId="63" applyFont="1" applyFill="1" applyBorder="1">
      <alignment/>
      <protection/>
    </xf>
    <xf numFmtId="22" fontId="13" fillId="0" borderId="22" xfId="63" applyNumberFormat="1" applyFont="1" applyFill="1" applyBorder="1">
      <alignment/>
      <protection/>
    </xf>
    <xf numFmtId="0" fontId="43" fillId="0" borderId="22" xfId="63" applyFont="1" applyFill="1" applyBorder="1">
      <alignment/>
      <protection/>
    </xf>
    <xf numFmtId="0" fontId="44" fillId="0" borderId="22" xfId="63" applyFont="1" applyFill="1" applyBorder="1">
      <alignment/>
      <protection/>
    </xf>
    <xf numFmtId="0" fontId="13" fillId="0" borderId="23" xfId="63" applyFont="1" applyFill="1" applyBorder="1">
      <alignment/>
      <protection/>
    </xf>
    <xf numFmtId="0" fontId="13" fillId="0" borderId="24" xfId="63" applyFont="1" applyFill="1" applyBorder="1">
      <alignment/>
      <protection/>
    </xf>
    <xf numFmtId="0" fontId="13" fillId="0" borderId="25" xfId="63" applyFont="1" applyFill="1" applyBorder="1">
      <alignment/>
      <protection/>
    </xf>
    <xf numFmtId="0" fontId="45" fillId="0" borderId="23" xfId="63" applyFont="1" applyFill="1" applyBorder="1">
      <alignment/>
      <protection/>
    </xf>
    <xf numFmtId="0" fontId="45" fillId="0" borderId="24" xfId="63" applyFont="1" applyFill="1" applyBorder="1">
      <alignment/>
      <protection/>
    </xf>
    <xf numFmtId="0" fontId="45" fillId="0" borderId="25" xfId="63" applyFont="1" applyFill="1" applyBorder="1">
      <alignment/>
      <protection/>
    </xf>
    <xf numFmtId="0" fontId="46" fillId="0" borderId="22" xfId="63" applyFont="1" applyFill="1" applyBorder="1">
      <alignment/>
      <protection/>
    </xf>
    <xf numFmtId="0" fontId="47" fillId="0" borderId="22" xfId="63" applyFont="1" applyFill="1" applyBorder="1">
      <alignment/>
      <protection/>
    </xf>
    <xf numFmtId="7" fontId="48" fillId="0" borderId="22" xfId="63" applyNumberFormat="1" applyFont="1" applyBorder="1" applyAlignment="1">
      <alignment/>
      <protection/>
    </xf>
    <xf numFmtId="0" fontId="13" fillId="0" borderId="26" xfId="63" applyFont="1" applyFill="1" applyBorder="1" applyAlignment="1">
      <alignment horizontal="center"/>
      <protection/>
    </xf>
    <xf numFmtId="0" fontId="13" fillId="0" borderId="27" xfId="63" applyFont="1" applyBorder="1">
      <alignment/>
      <protection/>
    </xf>
    <xf numFmtId="0" fontId="13" fillId="0" borderId="27" xfId="63" applyFont="1" applyBorder="1" applyAlignment="1">
      <alignment horizontal="center"/>
      <protection/>
    </xf>
    <xf numFmtId="170" fontId="13" fillId="0" borderId="27" xfId="63" applyNumberFormat="1" applyFont="1" applyBorder="1">
      <alignment/>
      <protection/>
    </xf>
    <xf numFmtId="0" fontId="41" fillId="33" borderId="27" xfId="63" applyFont="1" applyFill="1" applyBorder="1">
      <alignment/>
      <protection/>
    </xf>
    <xf numFmtId="0" fontId="42" fillId="34" borderId="27" xfId="63" applyFont="1" applyFill="1" applyBorder="1">
      <alignment/>
      <protection/>
    </xf>
    <xf numFmtId="22" fontId="13" fillId="0" borderId="28" xfId="63" applyNumberFormat="1" applyFont="1" applyBorder="1" applyAlignment="1">
      <alignment horizontal="center"/>
      <protection/>
    </xf>
    <xf numFmtId="0" fontId="13" fillId="0" borderId="28" xfId="63" applyFont="1" applyBorder="1">
      <alignment/>
      <protection/>
    </xf>
    <xf numFmtId="0" fontId="43" fillId="35" borderId="27" xfId="63" applyFont="1" applyFill="1" applyBorder="1">
      <alignment/>
      <protection/>
    </xf>
    <xf numFmtId="0" fontId="44" fillId="36" borderId="28" xfId="63" applyFont="1" applyFill="1" applyBorder="1">
      <alignment/>
      <protection/>
    </xf>
    <xf numFmtId="168" fontId="49" fillId="37" borderId="29" xfId="63" applyNumberFormat="1" applyFont="1" applyFill="1" applyBorder="1" applyAlignment="1" applyProtection="1" quotePrefix="1">
      <alignment horizontal="center"/>
      <protection/>
    </xf>
    <xf numFmtId="168" fontId="49" fillId="37" borderId="30" xfId="63" applyNumberFormat="1" applyFont="1" applyFill="1" applyBorder="1" applyAlignment="1" applyProtection="1" quotePrefix="1">
      <alignment horizontal="center"/>
      <protection/>
    </xf>
    <xf numFmtId="4" fontId="49" fillId="37" borderId="28" xfId="63" applyNumberFormat="1" applyFont="1" applyFill="1" applyBorder="1" applyAlignment="1" applyProtection="1">
      <alignment horizontal="center"/>
      <protection/>
    </xf>
    <xf numFmtId="168" fontId="45" fillId="38" borderId="29" xfId="63" applyNumberFormat="1" applyFont="1" applyFill="1" applyBorder="1" applyAlignment="1" applyProtection="1" quotePrefix="1">
      <alignment horizontal="center"/>
      <protection/>
    </xf>
    <xf numFmtId="168" fontId="45" fillId="38" borderId="30" xfId="63" applyNumberFormat="1" applyFont="1" applyFill="1" applyBorder="1" applyAlignment="1" applyProtection="1" quotePrefix="1">
      <alignment horizontal="center"/>
      <protection/>
    </xf>
    <xf numFmtId="4" fontId="45" fillId="38" borderId="28" xfId="63" applyNumberFormat="1" applyFont="1" applyFill="1" applyBorder="1" applyAlignment="1" applyProtection="1">
      <alignment horizontal="center"/>
      <protection/>
    </xf>
    <xf numFmtId="4" fontId="46" fillId="39" borderId="27" xfId="63" applyNumberFormat="1" applyFont="1" applyFill="1" applyBorder="1" applyAlignment="1" applyProtection="1">
      <alignment horizontal="center"/>
      <protection/>
    </xf>
    <xf numFmtId="4" fontId="47" fillId="40" borderId="27" xfId="63" applyNumberFormat="1" applyFont="1" applyFill="1" applyBorder="1" applyAlignment="1" applyProtection="1">
      <alignment horizontal="center"/>
      <protection/>
    </xf>
    <xf numFmtId="0" fontId="48" fillId="0" borderId="28" xfId="63" applyFont="1" applyBorder="1">
      <alignment/>
      <protection/>
    </xf>
    <xf numFmtId="0" fontId="13" fillId="0" borderId="27" xfId="63" applyFont="1" applyFill="1" applyBorder="1" applyAlignment="1" applyProtection="1">
      <alignment horizontal="center"/>
      <protection locked="0"/>
    </xf>
    <xf numFmtId="164" fontId="13" fillId="0" borderId="27" xfId="63" applyNumberFormat="1" applyFont="1" applyFill="1" applyBorder="1" applyAlignment="1" applyProtection="1">
      <alignment horizontal="center"/>
      <protection locked="0"/>
    </xf>
    <xf numFmtId="170" fontId="13" fillId="0" borderId="27" xfId="63" applyNumberFormat="1" applyFont="1" applyFill="1" applyBorder="1" applyAlignment="1" applyProtection="1">
      <alignment horizontal="center"/>
      <protection locked="0"/>
    </xf>
    <xf numFmtId="0" fontId="41" fillId="33" borderId="27" xfId="63" applyFont="1" applyFill="1" applyBorder="1" applyAlignment="1" applyProtection="1">
      <alignment horizontal="center"/>
      <protection/>
    </xf>
    <xf numFmtId="174" fontId="42" fillId="34" borderId="27" xfId="63" applyNumberFormat="1" applyFont="1" applyFill="1" applyBorder="1" applyAlignment="1" applyProtection="1">
      <alignment horizontal="center"/>
      <protection/>
    </xf>
    <xf numFmtId="22" fontId="13" fillId="0" borderId="28" xfId="63" applyNumberFormat="1" applyFont="1" applyFill="1" applyBorder="1" applyAlignment="1" applyProtection="1">
      <alignment horizontal="center"/>
      <protection locked="0"/>
    </xf>
    <xf numFmtId="22" fontId="13" fillId="0" borderId="31" xfId="63" applyNumberFormat="1" applyFont="1" applyFill="1" applyBorder="1" applyAlignment="1" applyProtection="1">
      <alignment horizontal="center"/>
      <protection locked="0"/>
    </xf>
    <xf numFmtId="4" fontId="13" fillId="41" borderId="27" xfId="63" applyNumberFormat="1" applyFont="1" applyFill="1" applyBorder="1" applyAlignment="1" applyProtection="1" quotePrefix="1">
      <alignment horizontal="center"/>
      <protection/>
    </xf>
    <xf numFmtId="164" fontId="13" fillId="41" borderId="27" xfId="63" applyNumberFormat="1" applyFont="1" applyFill="1" applyBorder="1" applyAlignment="1" applyProtection="1" quotePrefix="1">
      <alignment horizontal="center"/>
      <protection/>
    </xf>
    <xf numFmtId="168" fontId="13" fillId="0" borderId="28" xfId="63" applyNumberFormat="1" applyFont="1" applyBorder="1" applyAlignment="1" applyProtection="1">
      <alignment horizontal="center"/>
      <protection locked="0"/>
    </xf>
    <xf numFmtId="173" fontId="13" fillId="0" borderId="27" xfId="63" applyNumberFormat="1" applyFont="1" applyBorder="1" applyAlignment="1" applyProtection="1" quotePrefix="1">
      <alignment horizontal="center"/>
      <protection/>
    </xf>
    <xf numFmtId="168" fontId="13" fillId="0" borderId="27" xfId="63" applyNumberFormat="1" applyFont="1" applyBorder="1" applyAlignment="1" applyProtection="1">
      <alignment horizontal="center"/>
      <protection/>
    </xf>
    <xf numFmtId="2" fontId="50" fillId="35" borderId="27" xfId="63" applyNumberFormat="1" applyFont="1" applyFill="1" applyBorder="1" applyAlignment="1" applyProtection="1">
      <alignment horizontal="center"/>
      <protection locked="0"/>
    </xf>
    <xf numFmtId="2" fontId="51" fillId="36" borderId="28" xfId="63" applyNumberFormat="1" applyFont="1" applyFill="1" applyBorder="1" applyAlignment="1" applyProtection="1">
      <alignment horizontal="center"/>
      <protection locked="0"/>
    </xf>
    <xf numFmtId="168" fontId="52" fillId="37" borderId="29" xfId="63" applyNumberFormat="1" applyFont="1" applyFill="1" applyBorder="1" applyAlignment="1" applyProtection="1" quotePrefix="1">
      <alignment horizontal="center"/>
      <protection locked="0"/>
    </xf>
    <xf numFmtId="168" fontId="52" fillId="37" borderId="30" xfId="63" applyNumberFormat="1" applyFont="1" applyFill="1" applyBorder="1" applyAlignment="1" applyProtection="1" quotePrefix="1">
      <alignment horizontal="center"/>
      <protection locked="0"/>
    </xf>
    <xf numFmtId="4" fontId="52" fillId="37" borderId="28" xfId="63" applyNumberFormat="1" applyFont="1" applyFill="1" applyBorder="1" applyAlignment="1" applyProtection="1">
      <alignment horizontal="center"/>
      <protection locked="0"/>
    </xf>
    <xf numFmtId="168" fontId="53" fillId="38" borderId="29" xfId="63" applyNumberFormat="1" applyFont="1" applyFill="1" applyBorder="1" applyAlignment="1" applyProtection="1" quotePrefix="1">
      <alignment horizontal="center"/>
      <protection locked="0"/>
    </xf>
    <xf numFmtId="168" fontId="53" fillId="38" borderId="30" xfId="63" applyNumberFormat="1" applyFont="1" applyFill="1" applyBorder="1" applyAlignment="1" applyProtection="1" quotePrefix="1">
      <alignment horizontal="center"/>
      <protection locked="0"/>
    </xf>
    <xf numFmtId="4" fontId="53" fillId="38" borderId="28" xfId="63" applyNumberFormat="1" applyFont="1" applyFill="1" applyBorder="1" applyAlignment="1" applyProtection="1">
      <alignment horizontal="center"/>
      <protection locked="0"/>
    </xf>
    <xf numFmtId="4" fontId="54" fillId="39" borderId="27" xfId="63" applyNumberFormat="1" applyFont="1" applyFill="1" applyBorder="1" applyAlignment="1" applyProtection="1">
      <alignment horizontal="center"/>
      <protection locked="0"/>
    </xf>
    <xf numFmtId="4" fontId="55" fillId="40" borderId="27" xfId="63" applyNumberFormat="1" applyFont="1" applyFill="1" applyBorder="1" applyAlignment="1" applyProtection="1">
      <alignment horizontal="center"/>
      <protection locked="0"/>
    </xf>
    <xf numFmtId="4" fontId="49" fillId="0" borderId="27" xfId="63" applyNumberFormat="1" applyFont="1" applyBorder="1" applyAlignment="1" applyProtection="1">
      <alignment horizontal="center"/>
      <protection/>
    </xf>
    <xf numFmtId="4" fontId="48" fillId="0" borderId="28" xfId="63" applyNumberFormat="1" applyFont="1" applyFill="1" applyBorder="1" applyAlignment="1">
      <alignment horizontal="right"/>
      <protection/>
    </xf>
    <xf numFmtId="2" fontId="13" fillId="0" borderId="14" xfId="63" applyNumberFormat="1" applyFont="1" applyFill="1" applyBorder="1" applyAlignment="1">
      <alignment horizontal="center"/>
      <protection/>
    </xf>
    <xf numFmtId="0" fontId="13" fillId="0" borderId="27" xfId="62" applyFont="1" applyFill="1" applyBorder="1" applyAlignment="1" applyProtection="1">
      <alignment horizontal="center"/>
      <protection locked="0"/>
    </xf>
    <xf numFmtId="164" fontId="13" fillId="0" borderId="27" xfId="62" applyNumberFormat="1" applyFont="1" applyFill="1" applyBorder="1" applyAlignment="1" applyProtection="1">
      <alignment horizontal="center"/>
      <protection locked="0"/>
    </xf>
    <xf numFmtId="170" fontId="13" fillId="0" borderId="27" xfId="62" applyNumberFormat="1" applyFont="1" applyFill="1" applyBorder="1" applyAlignment="1" applyProtection="1">
      <alignment horizontal="center"/>
      <protection locked="0"/>
    </xf>
    <xf numFmtId="22" fontId="13" fillId="0" borderId="28" xfId="62" applyNumberFormat="1" applyFont="1" applyFill="1" applyBorder="1" applyAlignment="1" applyProtection="1">
      <alignment horizontal="center"/>
      <protection locked="0"/>
    </xf>
    <xf numFmtId="22" fontId="13" fillId="0" borderId="32" xfId="62" applyNumberFormat="1" applyFont="1" applyFill="1" applyBorder="1" applyAlignment="1" applyProtection="1">
      <alignment horizontal="center"/>
      <protection locked="0"/>
    </xf>
    <xf numFmtId="0" fontId="13" fillId="0" borderId="27" xfId="63" applyFont="1" applyBorder="1" applyAlignment="1" applyProtection="1">
      <alignment horizontal="center"/>
      <protection locked="0"/>
    </xf>
    <xf numFmtId="164" fontId="13" fillId="0" borderId="27" xfId="63" applyNumberFormat="1" applyFont="1" applyBorder="1" applyAlignment="1" applyProtection="1">
      <alignment horizontal="center"/>
      <protection locked="0"/>
    </xf>
    <xf numFmtId="170" fontId="13" fillId="0" borderId="27" xfId="63" applyNumberFormat="1" applyFont="1" applyBorder="1" applyAlignment="1" applyProtection="1">
      <alignment horizontal="center"/>
      <protection locked="0"/>
    </xf>
    <xf numFmtId="22" fontId="13" fillId="0" borderId="28" xfId="63" applyNumberFormat="1" applyFont="1" applyBorder="1" applyAlignment="1" applyProtection="1">
      <alignment horizontal="center"/>
      <protection locked="0"/>
    </xf>
    <xf numFmtId="22" fontId="13" fillId="0" borderId="31" xfId="63" applyNumberFormat="1" applyFont="1" applyBorder="1" applyAlignment="1" applyProtection="1">
      <alignment horizontal="center"/>
      <protection locked="0"/>
    </xf>
    <xf numFmtId="22" fontId="13" fillId="0" borderId="32" xfId="63" applyNumberFormat="1" applyFont="1" applyBorder="1" applyAlignment="1" applyProtection="1">
      <alignment horizontal="center"/>
      <protection locked="0"/>
    </xf>
    <xf numFmtId="0" fontId="13" fillId="0" borderId="33" xfId="63" applyFont="1" applyFill="1" applyBorder="1" applyAlignment="1" applyProtection="1">
      <alignment horizontal="center"/>
      <protection locked="0"/>
    </xf>
    <xf numFmtId="0" fontId="13" fillId="0" borderId="34" xfId="63" applyFont="1" applyFill="1" applyBorder="1" applyAlignment="1" applyProtection="1">
      <alignment horizontal="center"/>
      <protection locked="0"/>
    </xf>
    <xf numFmtId="0" fontId="13" fillId="0" borderId="35" xfId="63" applyFont="1" applyBorder="1" applyAlignment="1" applyProtection="1">
      <alignment horizontal="center"/>
      <protection locked="0"/>
    </xf>
    <xf numFmtId="164" fontId="49" fillId="0" borderId="35" xfId="63" applyNumberFormat="1" applyFont="1" applyBorder="1" applyAlignment="1" applyProtection="1">
      <alignment horizontal="center"/>
      <protection locked="0"/>
    </xf>
    <xf numFmtId="170" fontId="13" fillId="0" borderId="35" xfId="63" applyNumberFormat="1" applyFont="1" applyBorder="1" applyAlignment="1" applyProtection="1">
      <alignment horizontal="center"/>
      <protection locked="0"/>
    </xf>
    <xf numFmtId="165" fontId="13" fillId="0" borderId="35" xfId="63" applyNumberFormat="1" applyFont="1" applyBorder="1" applyAlignment="1" applyProtection="1">
      <alignment horizontal="center"/>
      <protection locked="0"/>
    </xf>
    <xf numFmtId="0" fontId="41" fillId="33" borderId="35" xfId="63" applyFont="1" applyFill="1" applyBorder="1" applyAlignment="1" applyProtection="1">
      <alignment horizontal="center"/>
      <protection/>
    </xf>
    <xf numFmtId="174" fontId="42" fillId="34" borderId="35" xfId="63" applyNumberFormat="1" applyFont="1" applyFill="1" applyBorder="1" applyAlignment="1" applyProtection="1">
      <alignment horizontal="center"/>
      <protection/>
    </xf>
    <xf numFmtId="22" fontId="13" fillId="0" borderId="35" xfId="63" applyNumberFormat="1" applyFont="1" applyBorder="1" applyAlignment="1" applyProtection="1">
      <alignment horizontal="center"/>
      <protection locked="0"/>
    </xf>
    <xf numFmtId="168" fontId="13" fillId="0" borderId="35" xfId="63" applyNumberFormat="1" applyFont="1" applyBorder="1" applyAlignment="1" applyProtection="1">
      <alignment horizontal="center"/>
      <protection/>
    </xf>
    <xf numFmtId="168" fontId="13" fillId="0" borderId="35" xfId="63" applyNumberFormat="1" applyFont="1" applyBorder="1" applyAlignment="1" applyProtection="1">
      <alignment horizontal="center"/>
      <protection locked="0"/>
    </xf>
    <xf numFmtId="173" fontId="13" fillId="0" borderId="35" xfId="63" applyNumberFormat="1" applyFont="1" applyBorder="1" applyAlignment="1" applyProtection="1" quotePrefix="1">
      <alignment horizontal="center"/>
      <protection locked="0"/>
    </xf>
    <xf numFmtId="2" fontId="43" fillId="35" borderId="35" xfId="63" applyNumberFormat="1" applyFont="1" applyFill="1" applyBorder="1" applyAlignment="1" applyProtection="1">
      <alignment horizontal="center"/>
      <protection locked="0"/>
    </xf>
    <xf numFmtId="2" fontId="51" fillId="36" borderId="35" xfId="63" applyNumberFormat="1" applyFont="1" applyFill="1" applyBorder="1" applyAlignment="1" applyProtection="1">
      <alignment horizontal="center"/>
      <protection locked="0"/>
    </xf>
    <xf numFmtId="168" fontId="52" fillId="37" borderId="36" xfId="63" applyNumberFormat="1" applyFont="1" applyFill="1" applyBorder="1" applyAlignment="1" applyProtection="1" quotePrefix="1">
      <alignment horizontal="center"/>
      <protection locked="0"/>
    </xf>
    <xf numFmtId="168" fontId="52" fillId="37" borderId="37" xfId="63" applyNumberFormat="1" applyFont="1" applyFill="1" applyBorder="1" applyAlignment="1" applyProtection="1" quotePrefix="1">
      <alignment horizontal="center"/>
      <protection locked="0"/>
    </xf>
    <xf numFmtId="4" fontId="52" fillId="37" borderId="38" xfId="63" applyNumberFormat="1" applyFont="1" applyFill="1" applyBorder="1" applyAlignment="1" applyProtection="1">
      <alignment horizontal="center"/>
      <protection locked="0"/>
    </xf>
    <xf numFmtId="168" fontId="53" fillId="38" borderId="36" xfId="63" applyNumberFormat="1" applyFont="1" applyFill="1" applyBorder="1" applyAlignment="1" applyProtection="1" quotePrefix="1">
      <alignment horizontal="center"/>
      <protection locked="0"/>
    </xf>
    <xf numFmtId="168" fontId="53" fillId="38" borderId="37" xfId="63" applyNumberFormat="1" applyFont="1" applyFill="1" applyBorder="1" applyAlignment="1" applyProtection="1" quotePrefix="1">
      <alignment horizontal="center"/>
      <protection locked="0"/>
    </xf>
    <xf numFmtId="4" fontId="53" fillId="38" borderId="38" xfId="63" applyNumberFormat="1" applyFont="1" applyFill="1" applyBorder="1" applyAlignment="1" applyProtection="1">
      <alignment horizontal="center"/>
      <protection locked="0"/>
    </xf>
    <xf numFmtId="4" fontId="54" fillId="39" borderId="35" xfId="63" applyNumberFormat="1" applyFont="1" applyFill="1" applyBorder="1" applyAlignment="1" applyProtection="1">
      <alignment horizontal="center"/>
      <protection locked="0"/>
    </xf>
    <xf numFmtId="4" fontId="55" fillId="40" borderId="35" xfId="63" applyNumberFormat="1" applyFont="1" applyFill="1" applyBorder="1" applyAlignment="1" applyProtection="1">
      <alignment horizontal="center"/>
      <protection locked="0"/>
    </xf>
    <xf numFmtId="4" fontId="49" fillId="0" borderId="35" xfId="63" applyNumberFormat="1" applyFont="1" applyBorder="1" applyAlignment="1" applyProtection="1">
      <alignment horizontal="center"/>
      <protection locked="0"/>
    </xf>
    <xf numFmtId="2" fontId="48" fillId="0" borderId="39" xfId="63" applyNumberFormat="1" applyFont="1" applyFill="1" applyBorder="1" applyAlignment="1">
      <alignment horizontal="right"/>
      <protection/>
    </xf>
    <xf numFmtId="0" fontId="57" fillId="0" borderId="40" xfId="63" applyFont="1" applyBorder="1" applyAlignment="1">
      <alignment horizontal="center"/>
      <protection/>
    </xf>
    <xf numFmtId="0" fontId="57" fillId="0" borderId="40" xfId="63" applyFont="1" applyBorder="1" applyAlignment="1">
      <alignment horizontal="left"/>
      <protection/>
    </xf>
    <xf numFmtId="0" fontId="58" fillId="0" borderId="0" xfId="63" applyFont="1" applyBorder="1" applyAlignment="1" applyProtection="1">
      <alignment horizontal="left"/>
      <protection/>
    </xf>
    <xf numFmtId="164" fontId="49" fillId="0" borderId="0" xfId="63" applyNumberFormat="1" applyFont="1" applyBorder="1" applyAlignment="1" applyProtection="1">
      <alignment horizontal="center"/>
      <protection/>
    </xf>
    <xf numFmtId="0" fontId="13" fillId="0" borderId="0" xfId="63" applyFont="1" applyBorder="1" applyAlignment="1" applyProtection="1">
      <alignment horizontal="center"/>
      <protection/>
    </xf>
    <xf numFmtId="165" fontId="13" fillId="0" borderId="0" xfId="63" applyNumberFormat="1" applyFont="1" applyBorder="1" applyAlignment="1" applyProtection="1">
      <alignment horizontal="center"/>
      <protection/>
    </xf>
    <xf numFmtId="168" fontId="13" fillId="0" borderId="0" xfId="63" applyNumberFormat="1" applyFont="1" applyBorder="1" applyAlignment="1" applyProtection="1">
      <alignment horizontal="center"/>
      <protection/>
    </xf>
    <xf numFmtId="173" fontId="13" fillId="0" borderId="0" xfId="63" applyNumberFormat="1" applyFont="1" applyBorder="1" applyAlignment="1" applyProtection="1" quotePrefix="1">
      <alignment horizontal="center"/>
      <protection/>
    </xf>
    <xf numFmtId="2" fontId="50" fillId="35" borderId="20" xfId="63" applyNumberFormat="1" applyFont="1" applyFill="1" applyBorder="1" applyAlignment="1" applyProtection="1">
      <alignment horizontal="center"/>
      <protection/>
    </xf>
    <xf numFmtId="2" fontId="51" fillId="36" borderId="20" xfId="63" applyNumberFormat="1" applyFont="1" applyFill="1" applyBorder="1" applyAlignment="1" applyProtection="1">
      <alignment horizontal="center"/>
      <protection/>
    </xf>
    <xf numFmtId="2" fontId="52" fillId="37" borderId="20" xfId="63" applyNumberFormat="1" applyFont="1" applyFill="1" applyBorder="1" applyAlignment="1" applyProtection="1">
      <alignment horizontal="center"/>
      <protection/>
    </xf>
    <xf numFmtId="2" fontId="53" fillId="38" borderId="20" xfId="63" applyNumberFormat="1" applyFont="1" applyFill="1" applyBorder="1" applyAlignment="1" applyProtection="1">
      <alignment horizontal="center"/>
      <protection/>
    </xf>
    <xf numFmtId="2" fontId="54" fillId="39" borderId="20" xfId="63" applyNumberFormat="1" applyFont="1" applyFill="1" applyBorder="1" applyAlignment="1" applyProtection="1">
      <alignment horizontal="center"/>
      <protection/>
    </xf>
    <xf numFmtId="2" fontId="55" fillId="40" borderId="20" xfId="63" applyNumberFormat="1" applyFont="1" applyFill="1" applyBorder="1" applyAlignment="1" applyProtection="1">
      <alignment horizontal="center"/>
      <protection/>
    </xf>
    <xf numFmtId="2" fontId="59" fillId="0" borderId="41" xfId="63" applyNumberFormat="1" applyFont="1" applyBorder="1" applyAlignment="1" applyProtection="1">
      <alignment horizontal="center"/>
      <protection/>
    </xf>
    <xf numFmtId="7" fontId="4" fillId="0" borderId="20" xfId="63" applyNumberFormat="1" applyFont="1" applyFill="1" applyBorder="1" applyAlignment="1" applyProtection="1">
      <alignment horizontal="right"/>
      <protection/>
    </xf>
    <xf numFmtId="0" fontId="13" fillId="0" borderId="17" xfId="63" applyFont="1" applyBorder="1">
      <alignment/>
      <protection/>
    </xf>
    <xf numFmtId="0" fontId="13" fillId="0" borderId="18" xfId="63" applyFont="1" applyBorder="1">
      <alignment/>
      <protection/>
    </xf>
    <xf numFmtId="0" fontId="13" fillId="0" borderId="19" xfId="63" applyFont="1" applyBorder="1">
      <alignment/>
      <protection/>
    </xf>
    <xf numFmtId="0" fontId="3" fillId="0" borderId="0" xfId="63" applyBorder="1">
      <alignment/>
      <protection/>
    </xf>
    <xf numFmtId="0" fontId="16" fillId="0" borderId="0" xfId="63" applyFont="1" applyAlignment="1">
      <alignment vertical="top"/>
      <protection/>
    </xf>
    <xf numFmtId="0" fontId="16" fillId="0" borderId="13" xfId="63" applyFont="1" applyBorder="1" applyAlignment="1">
      <alignment vertical="top"/>
      <protection/>
    </xf>
    <xf numFmtId="0" fontId="16" fillId="0" borderId="0" xfId="63" applyFont="1" applyBorder="1" applyAlignment="1">
      <alignment vertical="top"/>
      <protection/>
    </xf>
    <xf numFmtId="0" fontId="20" fillId="0" borderId="0" xfId="63" applyFont="1" applyBorder="1" applyAlignment="1">
      <alignment vertical="top"/>
      <protection/>
    </xf>
    <xf numFmtId="0" fontId="16" fillId="0" borderId="14" xfId="63" applyFont="1" applyFill="1" applyBorder="1" applyAlignment="1">
      <alignment vertical="top"/>
      <protection/>
    </xf>
    <xf numFmtId="0" fontId="13" fillId="0" borderId="0" xfId="63" applyFont="1" applyAlignment="1">
      <alignment vertical="top"/>
      <protection/>
    </xf>
    <xf numFmtId="0" fontId="13" fillId="0" borderId="13" xfId="63" applyFont="1" applyBorder="1" applyAlignment="1">
      <alignment vertical="top"/>
      <protection/>
    </xf>
    <xf numFmtId="0" fontId="13" fillId="0" borderId="0" xfId="63" applyFont="1" applyBorder="1" applyAlignment="1">
      <alignment vertical="top"/>
      <protection/>
    </xf>
    <xf numFmtId="0" fontId="13" fillId="0" borderId="0" xfId="63" applyFont="1" applyBorder="1" applyAlignment="1" applyProtection="1">
      <alignment vertical="top"/>
      <protection/>
    </xf>
    <xf numFmtId="0" fontId="13" fillId="0" borderId="14" xfId="63" applyFont="1" applyFill="1" applyBorder="1" applyAlignment="1">
      <alignment vertical="top"/>
      <protection/>
    </xf>
    <xf numFmtId="0" fontId="13" fillId="0" borderId="27" xfId="63" applyFont="1" applyFill="1" applyBorder="1" applyAlignment="1">
      <alignment horizontal="center"/>
      <protection/>
    </xf>
    <xf numFmtId="2" fontId="50" fillId="35" borderId="27" xfId="63" applyNumberFormat="1" applyFont="1" applyFill="1" applyBorder="1" applyAlignment="1" applyProtection="1">
      <alignment horizontal="center"/>
      <protection/>
    </xf>
    <xf numFmtId="2" fontId="51" fillId="36" borderId="28" xfId="63" applyNumberFormat="1" applyFont="1" applyFill="1" applyBorder="1" applyAlignment="1" applyProtection="1">
      <alignment horizontal="center"/>
      <protection/>
    </xf>
    <xf numFmtId="168" fontId="52" fillId="37" borderId="29" xfId="63" applyNumberFormat="1" applyFont="1" applyFill="1" applyBorder="1" applyAlignment="1" applyProtection="1" quotePrefix="1">
      <alignment horizontal="center"/>
      <protection/>
    </xf>
    <xf numFmtId="168" fontId="52" fillId="37" borderId="30" xfId="63" applyNumberFormat="1" applyFont="1" applyFill="1" applyBorder="1" applyAlignment="1" applyProtection="1" quotePrefix="1">
      <alignment horizontal="center"/>
      <protection/>
    </xf>
    <xf numFmtId="4" fontId="52" fillId="37" borderId="28" xfId="63" applyNumberFormat="1" applyFont="1" applyFill="1" applyBorder="1" applyAlignment="1" applyProtection="1">
      <alignment horizontal="center"/>
      <protection/>
    </xf>
    <xf numFmtId="168" fontId="53" fillId="38" borderId="29" xfId="63" applyNumberFormat="1" applyFont="1" applyFill="1" applyBorder="1" applyAlignment="1" applyProtection="1" quotePrefix="1">
      <alignment horizontal="center"/>
      <protection/>
    </xf>
    <xf numFmtId="168" fontId="53" fillId="38" borderId="30" xfId="63" applyNumberFormat="1" applyFont="1" applyFill="1" applyBorder="1" applyAlignment="1" applyProtection="1" quotePrefix="1">
      <alignment horizontal="center"/>
      <protection/>
    </xf>
    <xf numFmtId="4" fontId="53" fillId="38" borderId="28" xfId="63" applyNumberFormat="1" applyFont="1" applyFill="1" applyBorder="1" applyAlignment="1" applyProtection="1">
      <alignment horizontal="center"/>
      <protection/>
    </xf>
    <xf numFmtId="4" fontId="54" fillId="39" borderId="27" xfId="63" applyNumberFormat="1" applyFont="1" applyFill="1" applyBorder="1" applyAlignment="1" applyProtection="1">
      <alignment horizontal="center"/>
      <protection/>
    </xf>
    <xf numFmtId="4" fontId="55" fillId="40" borderId="27" xfId="63" applyNumberFormat="1" applyFont="1" applyFill="1" applyBorder="1" applyAlignment="1" applyProtection="1">
      <alignment horizontal="center"/>
      <protection/>
    </xf>
    <xf numFmtId="4" fontId="13" fillId="0" borderId="27" xfId="63" applyNumberFormat="1" applyFont="1" applyBorder="1" applyAlignment="1" applyProtection="1">
      <alignment horizontal="center"/>
      <protection/>
    </xf>
    <xf numFmtId="0" fontId="13" fillId="0" borderId="0" xfId="63" applyFont="1" applyBorder="1" applyAlignment="1">
      <alignment horizontal="left"/>
      <protection/>
    </xf>
    <xf numFmtId="0" fontId="20" fillId="0" borderId="0" xfId="63" applyFont="1" applyBorder="1" applyAlignment="1">
      <alignment horizontal="left" vertical="top"/>
      <protection/>
    </xf>
    <xf numFmtId="0" fontId="63" fillId="37" borderId="27" xfId="63" applyFont="1" applyFill="1" applyBorder="1" applyAlignment="1" applyProtection="1">
      <alignment horizontal="center"/>
      <protection/>
    </xf>
    <xf numFmtId="173" fontId="13" fillId="0" borderId="28" xfId="63" applyNumberFormat="1" applyFont="1" applyBorder="1" applyAlignment="1" applyProtection="1" quotePrefix="1">
      <alignment horizontal="center"/>
      <protection/>
    </xf>
    <xf numFmtId="0" fontId="6" fillId="0" borderId="0" xfId="63" applyFont="1" applyFill="1" applyBorder="1" applyAlignment="1" applyProtection="1">
      <alignment horizontal="left"/>
      <protection/>
    </xf>
    <xf numFmtId="0" fontId="3" fillId="0" borderId="40" xfId="63" applyFont="1" applyBorder="1" applyAlignment="1" applyProtection="1">
      <alignment horizontal="center"/>
      <protection/>
    </xf>
    <xf numFmtId="174" fontId="0" fillId="0" borderId="40" xfId="63" applyNumberFormat="1" applyFont="1" applyBorder="1" applyAlignment="1">
      <alignment horizontal="centerContinuous"/>
      <protection/>
    </xf>
    <xf numFmtId="0" fontId="3" fillId="0" borderId="40" xfId="63" applyBorder="1" applyAlignment="1">
      <alignment horizontal="centerContinuous"/>
      <protection/>
    </xf>
    <xf numFmtId="0" fontId="57" fillId="0" borderId="0" xfId="63" applyFont="1" applyBorder="1" applyAlignment="1">
      <alignment horizontal="center"/>
      <protection/>
    </xf>
    <xf numFmtId="0" fontId="11" fillId="0" borderId="0" xfId="63" applyFont="1" applyFill="1" applyAlignment="1">
      <alignment horizontal="right" vertical="top"/>
      <protection/>
    </xf>
    <xf numFmtId="0" fontId="9" fillId="0" borderId="0" xfId="63" applyFont="1" applyFill="1" applyAlignment="1">
      <alignment horizontal="centerContinuous"/>
      <protection/>
    </xf>
    <xf numFmtId="0" fontId="6" fillId="0" borderId="0" xfId="63" applyFont="1" applyFill="1" applyAlignment="1">
      <alignment horizontal="centerContinuous"/>
      <protection/>
    </xf>
    <xf numFmtId="0" fontId="14" fillId="0" borderId="0" xfId="63" applyFont="1" applyFill="1" applyAlignment="1">
      <alignment horizontal="centerContinuous"/>
      <protection/>
    </xf>
    <xf numFmtId="0" fontId="14" fillId="0" borderId="0" xfId="63" applyFont="1" applyFill="1">
      <alignment/>
      <protection/>
    </xf>
    <xf numFmtId="0" fontId="13" fillId="0" borderId="10" xfId="63" applyFont="1" applyFill="1" applyBorder="1">
      <alignment/>
      <protection/>
    </xf>
    <xf numFmtId="0" fontId="13" fillId="0" borderId="11" xfId="63" applyFont="1" applyFill="1" applyBorder="1">
      <alignment/>
      <protection/>
    </xf>
    <xf numFmtId="0" fontId="16" fillId="0" borderId="0" xfId="63" applyFont="1" applyFill="1">
      <alignment/>
      <protection/>
    </xf>
    <xf numFmtId="0" fontId="16" fillId="0" borderId="13" xfId="63" applyFont="1" applyFill="1" applyBorder="1">
      <alignment/>
      <protection/>
    </xf>
    <xf numFmtId="0" fontId="16" fillId="0" borderId="0" xfId="63" applyFont="1" applyFill="1" applyBorder="1">
      <alignment/>
      <protection/>
    </xf>
    <xf numFmtId="0" fontId="20" fillId="0" borderId="0" xfId="63" applyFont="1" applyFill="1" applyBorder="1" applyAlignment="1">
      <alignment horizontal="left"/>
      <protection/>
    </xf>
    <xf numFmtId="0" fontId="16" fillId="0" borderId="0" xfId="63" applyFont="1" applyFill="1" applyBorder="1" applyAlignment="1" applyProtection="1">
      <alignment horizontal="left"/>
      <protection/>
    </xf>
    <xf numFmtId="0" fontId="13" fillId="0" borderId="13" xfId="63" applyFont="1" applyFill="1" applyBorder="1">
      <alignment/>
      <protection/>
    </xf>
    <xf numFmtId="0" fontId="5" fillId="0" borderId="0" xfId="63" applyFont="1" applyFill="1" applyBorder="1" applyAlignment="1">
      <alignment horizontal="left"/>
      <protection/>
    </xf>
    <xf numFmtId="0" fontId="16" fillId="0" borderId="0" xfId="63" applyFont="1" applyFill="1" applyAlignment="1">
      <alignment vertical="center"/>
      <protection/>
    </xf>
    <xf numFmtId="0" fontId="16" fillId="0" borderId="13" xfId="63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20" fillId="0" borderId="0" xfId="63" applyFont="1" applyFill="1" applyBorder="1" applyAlignment="1">
      <alignment horizontal="left" vertical="center"/>
      <protection/>
    </xf>
    <xf numFmtId="0" fontId="20" fillId="0" borderId="0" xfId="63" applyFont="1" applyFill="1" applyBorder="1" applyAlignment="1">
      <alignment vertical="center"/>
      <protection/>
    </xf>
    <xf numFmtId="0" fontId="16" fillId="0" borderId="14" xfId="63" applyFont="1" applyFill="1" applyBorder="1" applyAlignment="1">
      <alignment vertical="center"/>
      <protection/>
    </xf>
    <xf numFmtId="0" fontId="16" fillId="0" borderId="0" xfId="63" applyFont="1" applyAlignment="1">
      <alignment vertical="center"/>
      <protection/>
    </xf>
    <xf numFmtId="0" fontId="13" fillId="0" borderId="0" xfId="63" applyFont="1" applyFill="1" applyAlignment="1">
      <alignment vertical="center"/>
      <protection/>
    </xf>
    <xf numFmtId="0" fontId="13" fillId="0" borderId="13" xfId="63" applyFont="1" applyFill="1" applyBorder="1" applyAlignment="1">
      <alignment vertical="center"/>
      <protection/>
    </xf>
    <xf numFmtId="0" fontId="13" fillId="0" borderId="0" xfId="63" applyFont="1" applyFill="1" applyBorder="1" applyAlignment="1">
      <alignment vertical="center"/>
      <protection/>
    </xf>
    <xf numFmtId="0" fontId="13" fillId="0" borderId="0" xfId="63" applyFont="1" applyAlignment="1">
      <alignment vertical="center"/>
      <protection/>
    </xf>
    <xf numFmtId="0" fontId="13" fillId="0" borderId="14" xfId="63" applyFont="1" applyFill="1" applyBorder="1" applyAlignment="1">
      <alignment vertical="center"/>
      <protection/>
    </xf>
    <xf numFmtId="0" fontId="20" fillId="0" borderId="0" xfId="63" applyFont="1" applyFill="1" applyAlignment="1">
      <alignment vertical="center"/>
      <protection/>
    </xf>
    <xf numFmtId="0" fontId="25" fillId="0" borderId="0" xfId="63" applyFont="1" applyFill="1" applyBorder="1" applyAlignment="1">
      <alignment vertical="center"/>
      <protection/>
    </xf>
    <xf numFmtId="0" fontId="13" fillId="0" borderId="0" xfId="63" applyFont="1" applyFill="1" applyBorder="1" applyAlignment="1">
      <alignment horizontal="center"/>
      <protection/>
    </xf>
    <xf numFmtId="0" fontId="23" fillId="0" borderId="0" xfId="63" applyFont="1" applyFill="1">
      <alignment/>
      <protection/>
    </xf>
    <xf numFmtId="0" fontId="24" fillId="0" borderId="0" xfId="63" applyFont="1" applyFill="1" applyAlignment="1">
      <alignment horizontal="centerContinuous"/>
      <protection/>
    </xf>
    <xf numFmtId="0" fontId="24" fillId="0" borderId="0" xfId="63" applyFont="1" applyFill="1" applyBorder="1" applyAlignment="1">
      <alignment horizontal="centerContinuous"/>
      <protection/>
    </xf>
    <xf numFmtId="0" fontId="26" fillId="0" borderId="14" xfId="63" applyFont="1" applyFill="1" applyBorder="1" applyAlignment="1">
      <alignment horizontal="centerContinuous"/>
      <protection/>
    </xf>
    <xf numFmtId="0" fontId="13" fillId="0" borderId="15" xfId="63" applyFont="1" applyFill="1" applyBorder="1" applyAlignment="1" applyProtection="1">
      <alignment horizontal="left"/>
      <protection/>
    </xf>
    <xf numFmtId="0" fontId="13" fillId="0" borderId="40" xfId="63" applyFont="1" applyFill="1" applyBorder="1" applyAlignment="1" applyProtection="1">
      <alignment horizontal="center"/>
      <protection/>
    </xf>
    <xf numFmtId="0" fontId="13" fillId="0" borderId="20" xfId="63" applyFont="1" applyFill="1" applyBorder="1" applyAlignment="1">
      <alignment horizontal="center"/>
      <protection/>
    </xf>
    <xf numFmtId="0" fontId="3" fillId="0" borderId="15" xfId="63" applyFont="1" applyFill="1" applyBorder="1" applyAlignment="1" applyProtection="1" quotePrefix="1">
      <alignment horizontal="left"/>
      <protection/>
    </xf>
    <xf numFmtId="0" fontId="3" fillId="0" borderId="21" xfId="63" applyFont="1" applyFill="1" applyBorder="1" applyAlignment="1" applyProtection="1">
      <alignment horizontal="center"/>
      <protection/>
    </xf>
    <xf numFmtId="164" fontId="3" fillId="0" borderId="20" xfId="63" applyNumberFormat="1" applyFont="1" applyFill="1" applyBorder="1" applyAlignment="1" applyProtection="1">
      <alignment horizontal="center"/>
      <protection/>
    </xf>
    <xf numFmtId="22" fontId="13" fillId="0" borderId="0" xfId="63" applyNumberFormat="1" applyFont="1" applyFill="1" applyBorder="1">
      <alignment/>
      <protection/>
    </xf>
    <xf numFmtId="0" fontId="29" fillId="0" borderId="0" xfId="63" applyFont="1" applyFill="1" applyBorder="1">
      <alignment/>
      <protection/>
    </xf>
    <xf numFmtId="0" fontId="30" fillId="0" borderId="20" xfId="63" applyFont="1" applyFill="1" applyBorder="1" applyAlignment="1">
      <alignment horizontal="center" vertical="center"/>
      <protection/>
    </xf>
    <xf numFmtId="0" fontId="30" fillId="0" borderId="20" xfId="63" applyFont="1" applyFill="1" applyBorder="1" applyAlignment="1" applyProtection="1">
      <alignment horizontal="center" vertical="center" wrapText="1"/>
      <protection/>
    </xf>
    <xf numFmtId="0" fontId="30" fillId="0" borderId="20" xfId="63" applyFont="1" applyFill="1" applyBorder="1" applyAlignment="1" applyProtection="1">
      <alignment horizontal="center" vertical="center"/>
      <protection/>
    </xf>
    <xf numFmtId="0" fontId="30" fillId="0" borderId="20" xfId="63" applyFont="1" applyFill="1" applyBorder="1" applyAlignment="1" applyProtection="1" quotePrefix="1">
      <alignment horizontal="center" vertical="center" wrapText="1"/>
      <protection/>
    </xf>
    <xf numFmtId="0" fontId="30" fillId="0" borderId="20" xfId="63" applyFont="1" applyFill="1" applyBorder="1" applyAlignment="1">
      <alignment horizontal="center" vertical="center" wrapText="1"/>
      <protection/>
    </xf>
    <xf numFmtId="0" fontId="60" fillId="37" borderId="20" xfId="63" applyFont="1" applyFill="1" applyBorder="1" applyAlignment="1" applyProtection="1">
      <alignment horizontal="center" vertical="center"/>
      <protection/>
    </xf>
    <xf numFmtId="0" fontId="30" fillId="0" borderId="15" xfId="63" applyFont="1" applyFill="1" applyBorder="1" applyAlignment="1" applyProtection="1">
      <alignment horizontal="center" vertical="center"/>
      <protection/>
    </xf>
    <xf numFmtId="0" fontId="62" fillId="42" borderId="20" xfId="63" applyFont="1" applyFill="1" applyBorder="1" applyAlignment="1" applyProtection="1">
      <alignment horizontal="center" vertical="center"/>
      <protection/>
    </xf>
    <xf numFmtId="0" fontId="66" fillId="39" borderId="20" xfId="63" applyFont="1" applyFill="1" applyBorder="1" applyAlignment="1">
      <alignment horizontal="center" vertical="center" wrapText="1"/>
      <protection/>
    </xf>
    <xf numFmtId="0" fontId="67" fillId="36" borderId="20" xfId="63" applyFont="1" applyFill="1" applyBorder="1" applyAlignment="1">
      <alignment horizontal="center" vertical="center" wrapText="1"/>
      <protection/>
    </xf>
    <xf numFmtId="0" fontId="68" fillId="43" borderId="15" xfId="63" applyFont="1" applyFill="1" applyBorder="1" applyAlignment="1" applyProtection="1">
      <alignment horizontal="centerContinuous" vertical="center" wrapText="1"/>
      <protection/>
    </xf>
    <xf numFmtId="0" fontId="68" fillId="43" borderId="16" xfId="63" applyFont="1" applyFill="1" applyBorder="1" applyAlignment="1">
      <alignment horizontal="centerContinuous" vertical="center"/>
      <protection/>
    </xf>
    <xf numFmtId="0" fontId="34" fillId="44" borderId="20" xfId="63" applyFont="1" applyFill="1" applyBorder="1" applyAlignment="1">
      <alignment horizontal="center" vertical="center" wrapText="1"/>
      <protection/>
    </xf>
    <xf numFmtId="0" fontId="69" fillId="39" borderId="20" xfId="63" applyFont="1" applyFill="1" applyBorder="1" applyAlignment="1">
      <alignment horizontal="center" vertical="center" wrapText="1"/>
      <protection/>
    </xf>
    <xf numFmtId="0" fontId="13" fillId="0" borderId="42" xfId="63" applyFont="1" applyFill="1" applyBorder="1" applyAlignment="1">
      <alignment horizontal="center"/>
      <protection/>
    </xf>
    <xf numFmtId="164" fontId="13" fillId="0" borderId="42" xfId="63" applyNumberFormat="1" applyFont="1" applyFill="1" applyBorder="1" applyAlignment="1" applyProtection="1">
      <alignment horizontal="center"/>
      <protection/>
    </xf>
    <xf numFmtId="0" fontId="63" fillId="37" borderId="42" xfId="63" applyFont="1" applyFill="1" applyBorder="1" applyAlignment="1">
      <alignment horizontal="center"/>
      <protection/>
    </xf>
    <xf numFmtId="0" fontId="13" fillId="0" borderId="43" xfId="63" applyFont="1" applyFill="1" applyBorder="1" applyAlignment="1">
      <alignment horizontal="center"/>
      <protection/>
    </xf>
    <xf numFmtId="0" fontId="29" fillId="42" borderId="42" xfId="63" applyFont="1" applyFill="1" applyBorder="1" applyAlignment="1">
      <alignment horizontal="center"/>
      <protection/>
    </xf>
    <xf numFmtId="0" fontId="70" fillId="39" borderId="42" xfId="63" applyFont="1" applyFill="1" applyBorder="1" applyAlignment="1">
      <alignment horizontal="center"/>
      <protection/>
    </xf>
    <xf numFmtId="0" fontId="71" fillId="36" borderId="42" xfId="63" applyFont="1" applyFill="1" applyBorder="1" applyAlignment="1">
      <alignment horizontal="center"/>
      <protection/>
    </xf>
    <xf numFmtId="0" fontId="52" fillId="37" borderId="23" xfId="63" applyFont="1" applyFill="1" applyBorder="1" applyAlignment="1">
      <alignment horizontal="center"/>
      <protection/>
    </xf>
    <xf numFmtId="0" fontId="52" fillId="37" borderId="25" xfId="63" applyFont="1" applyFill="1" applyBorder="1" applyAlignment="1">
      <alignment horizontal="center"/>
      <protection/>
    </xf>
    <xf numFmtId="0" fontId="72" fillId="43" borderId="44" xfId="63" applyFont="1" applyFill="1" applyBorder="1" applyAlignment="1">
      <alignment horizontal="center"/>
      <protection/>
    </xf>
    <xf numFmtId="0" fontId="72" fillId="43" borderId="45" xfId="63" applyFont="1" applyFill="1" applyBorder="1" applyAlignment="1">
      <alignment horizontal="center"/>
      <protection/>
    </xf>
    <xf numFmtId="0" fontId="50" fillId="44" borderId="42" xfId="63" applyFont="1" applyFill="1" applyBorder="1" applyAlignment="1">
      <alignment horizontal="center"/>
      <protection/>
    </xf>
    <xf numFmtId="0" fontId="73" fillId="39" borderId="42" xfId="63" applyFont="1" applyFill="1" applyBorder="1" applyAlignment="1">
      <alignment horizontal="center"/>
      <protection/>
    </xf>
    <xf numFmtId="7" fontId="48" fillId="0" borderId="43" xfId="63" applyNumberFormat="1" applyFont="1" applyFill="1" applyBorder="1" applyAlignment="1">
      <alignment/>
      <protection/>
    </xf>
    <xf numFmtId="164" fontId="13" fillId="0" borderId="26" xfId="63" applyNumberFormat="1" applyFont="1" applyFill="1" applyBorder="1" applyAlignment="1" applyProtection="1">
      <alignment horizontal="center"/>
      <protection/>
    </xf>
    <xf numFmtId="0" fontId="63" fillId="37" borderId="26" xfId="63" applyFont="1" applyFill="1" applyBorder="1" applyAlignment="1">
      <alignment horizontal="center"/>
      <protection/>
    </xf>
    <xf numFmtId="0" fontId="13" fillId="0" borderId="46" xfId="63" applyFont="1" applyFill="1" applyBorder="1" applyAlignment="1">
      <alignment horizontal="center"/>
      <protection/>
    </xf>
    <xf numFmtId="0" fontId="29" fillId="42" borderId="26" xfId="63" applyFont="1" applyFill="1" applyBorder="1" applyAlignment="1">
      <alignment horizontal="center"/>
      <protection/>
    </xf>
    <xf numFmtId="0" fontId="70" fillId="39" borderId="26" xfId="63" applyFont="1" applyFill="1" applyBorder="1" applyAlignment="1">
      <alignment horizontal="center"/>
      <protection/>
    </xf>
    <xf numFmtId="0" fontId="71" fillId="36" borderId="26" xfId="63" applyFont="1" applyFill="1" applyBorder="1" applyAlignment="1">
      <alignment horizontal="center"/>
      <protection/>
    </xf>
    <xf numFmtId="0" fontId="52" fillId="37" borderId="47" xfId="63" applyFont="1" applyFill="1" applyBorder="1" applyAlignment="1">
      <alignment horizontal="center"/>
      <protection/>
    </xf>
    <xf numFmtId="0" fontId="52" fillId="37" borderId="48" xfId="63" applyFont="1" applyFill="1" applyBorder="1" applyAlignment="1">
      <alignment horizontal="center"/>
      <protection/>
    </xf>
    <xf numFmtId="0" fontId="72" fillId="43" borderId="47" xfId="63" applyFont="1" applyFill="1" applyBorder="1" applyAlignment="1">
      <alignment horizontal="center"/>
      <protection/>
    </xf>
    <xf numFmtId="0" fontId="72" fillId="43" borderId="48" xfId="63" applyFont="1" applyFill="1" applyBorder="1" applyAlignment="1">
      <alignment horizontal="center"/>
      <protection/>
    </xf>
    <xf numFmtId="0" fontId="50" fillId="44" borderId="26" xfId="63" applyFont="1" applyFill="1" applyBorder="1" applyAlignment="1">
      <alignment horizontal="center"/>
      <protection/>
    </xf>
    <xf numFmtId="0" fontId="73" fillId="39" borderId="26" xfId="63" applyFont="1" applyFill="1" applyBorder="1" applyAlignment="1">
      <alignment horizontal="center"/>
      <protection/>
    </xf>
    <xf numFmtId="0" fontId="48" fillId="0" borderId="46" xfId="63" applyFont="1" applyFill="1" applyBorder="1" applyAlignment="1">
      <alignment horizontal="center"/>
      <protection/>
    </xf>
    <xf numFmtId="0" fontId="13" fillId="0" borderId="26" xfId="63" applyFont="1" applyBorder="1" applyAlignment="1" applyProtection="1">
      <alignment horizontal="center"/>
      <protection locked="0"/>
    </xf>
    <xf numFmtId="0" fontId="13" fillId="0" borderId="31" xfId="63" applyFont="1" applyBorder="1" applyAlignment="1" applyProtection="1">
      <alignment horizontal="center"/>
      <protection locked="0"/>
    </xf>
    <xf numFmtId="164" fontId="13" fillId="0" borderId="26" xfId="63" applyNumberFormat="1" applyFont="1" applyBorder="1" applyAlignment="1" applyProtection="1">
      <alignment horizontal="center"/>
      <protection locked="0"/>
    </xf>
    <xf numFmtId="1" fontId="13" fillId="0" borderId="48" xfId="63" applyNumberFormat="1" applyFont="1" applyBorder="1" applyAlignment="1" applyProtection="1" quotePrefix="1">
      <alignment horizontal="center"/>
      <protection locked="0"/>
    </xf>
    <xf numFmtId="174" fontId="63" fillId="37" borderId="27" xfId="63" applyNumberFormat="1" applyFont="1" applyFill="1" applyBorder="1" applyAlignment="1" applyProtection="1">
      <alignment horizontal="center"/>
      <protection/>
    </xf>
    <xf numFmtId="22" fontId="13" fillId="0" borderId="27" xfId="63" applyNumberFormat="1" applyFont="1" applyFill="1" applyBorder="1" applyAlignment="1" applyProtection="1">
      <alignment horizontal="center"/>
      <protection locked="0"/>
    </xf>
    <xf numFmtId="4" fontId="13" fillId="0" borderId="27" xfId="63" applyNumberFormat="1" applyFont="1" applyFill="1" applyBorder="1" applyAlignment="1" applyProtection="1">
      <alignment horizontal="center"/>
      <protection/>
    </xf>
    <xf numFmtId="3" fontId="13" fillId="0" borderId="27" xfId="63" applyNumberFormat="1" applyFont="1" applyFill="1" applyBorder="1" applyAlignment="1" applyProtection="1">
      <alignment horizontal="center"/>
      <protection/>
    </xf>
    <xf numFmtId="168" fontId="13" fillId="0" borderId="27" xfId="63" applyNumberFormat="1" applyFont="1" applyFill="1" applyBorder="1" applyAlignment="1" applyProtection="1">
      <alignment horizontal="center"/>
      <protection locked="0"/>
    </xf>
    <xf numFmtId="168" fontId="13" fillId="0" borderId="27" xfId="63" applyNumberFormat="1" applyFont="1" applyBorder="1" applyAlignment="1" applyProtection="1" quotePrefix="1">
      <alignment horizontal="center"/>
      <protection/>
    </xf>
    <xf numFmtId="164" fontId="29" fillId="42" borderId="27" xfId="63" applyNumberFormat="1" applyFont="1" applyFill="1" applyBorder="1" applyAlignment="1" applyProtection="1">
      <alignment horizontal="center"/>
      <protection/>
    </xf>
    <xf numFmtId="2" fontId="70" fillId="39" borderId="27" xfId="63" applyNumberFormat="1" applyFont="1" applyFill="1" applyBorder="1" applyAlignment="1">
      <alignment horizontal="center"/>
      <protection/>
    </xf>
    <xf numFmtId="2" fontId="71" fillId="36" borderId="27" xfId="63" applyNumberFormat="1" applyFont="1" applyFill="1" applyBorder="1" applyAlignment="1">
      <alignment horizontal="center"/>
      <protection/>
    </xf>
    <xf numFmtId="168" fontId="52" fillId="37" borderId="47" xfId="63" applyNumberFormat="1" applyFont="1" applyFill="1" applyBorder="1" applyAlignment="1" applyProtection="1" quotePrefix="1">
      <alignment horizontal="center"/>
      <protection/>
    </xf>
    <xf numFmtId="168" fontId="52" fillId="37" borderId="48" xfId="63" applyNumberFormat="1" applyFont="1" applyFill="1" applyBorder="1" applyAlignment="1" applyProtection="1" quotePrefix="1">
      <alignment horizontal="center"/>
      <protection/>
    </xf>
    <xf numFmtId="168" fontId="72" fillId="43" borderId="47" xfId="63" applyNumberFormat="1" applyFont="1" applyFill="1" applyBorder="1" applyAlignment="1" applyProtection="1" quotePrefix="1">
      <alignment horizontal="center"/>
      <protection/>
    </xf>
    <xf numFmtId="168" fontId="72" fillId="43" borderId="48" xfId="63" applyNumberFormat="1" applyFont="1" applyFill="1" applyBorder="1" applyAlignment="1" applyProtection="1" quotePrefix="1">
      <alignment horizontal="center"/>
      <protection/>
    </xf>
    <xf numFmtId="168" fontId="50" fillId="44" borderId="27" xfId="63" applyNumberFormat="1" applyFont="1" applyFill="1" applyBorder="1" applyAlignment="1" applyProtection="1" quotePrefix="1">
      <alignment horizontal="center"/>
      <protection/>
    </xf>
    <xf numFmtId="168" fontId="73" fillId="39" borderId="26" xfId="63" applyNumberFormat="1" applyFont="1" applyFill="1" applyBorder="1" applyAlignment="1" applyProtection="1" quotePrefix="1">
      <alignment horizontal="center"/>
      <protection/>
    </xf>
    <xf numFmtId="168" fontId="13" fillId="0" borderId="28" xfId="63" applyNumberFormat="1" applyFont="1" applyFill="1" applyBorder="1" applyAlignment="1">
      <alignment horizontal="center"/>
      <protection/>
    </xf>
    <xf numFmtId="0" fontId="13" fillId="0" borderId="46" xfId="63" applyFont="1" applyBorder="1" applyAlignment="1" applyProtection="1">
      <alignment horizontal="center"/>
      <protection locked="0"/>
    </xf>
    <xf numFmtId="0" fontId="74" fillId="0" borderId="35" xfId="63" applyFont="1" applyFill="1" applyBorder="1" applyAlignment="1" applyProtection="1">
      <alignment horizontal="center"/>
      <protection locked="0"/>
    </xf>
    <xf numFmtId="0" fontId="74" fillId="0" borderId="35" xfId="63" applyFont="1" applyFill="1" applyBorder="1" applyAlignment="1" applyProtection="1" quotePrefix="1">
      <alignment horizontal="center"/>
      <protection locked="0"/>
    </xf>
    <xf numFmtId="164" fontId="49" fillId="0" borderId="33" xfId="63" applyNumberFormat="1" applyFont="1" applyFill="1" applyBorder="1" applyAlignment="1" applyProtection="1">
      <alignment horizontal="center"/>
      <protection locked="0"/>
    </xf>
    <xf numFmtId="168" fontId="63" fillId="37" borderId="35" xfId="63" applyNumberFormat="1" applyFont="1" applyFill="1" applyBorder="1" applyAlignment="1" applyProtection="1">
      <alignment horizontal="center"/>
      <protection/>
    </xf>
    <xf numFmtId="0" fontId="13" fillId="0" borderId="35" xfId="63" applyFont="1" applyFill="1" applyBorder="1" applyAlignment="1" applyProtection="1">
      <alignment horizontal="center"/>
      <protection locked="0"/>
    </xf>
    <xf numFmtId="38" fontId="13" fillId="0" borderId="35" xfId="63" applyNumberFormat="1" applyFont="1" applyFill="1" applyBorder="1" applyAlignment="1" applyProtection="1">
      <alignment horizontal="center"/>
      <protection locked="0"/>
    </xf>
    <xf numFmtId="38" fontId="13" fillId="0" borderId="35" xfId="63" applyNumberFormat="1" applyFont="1" applyFill="1" applyBorder="1" applyAlignment="1" applyProtection="1">
      <alignment horizontal="center"/>
      <protection/>
    </xf>
    <xf numFmtId="164" fontId="13" fillId="0" borderId="35" xfId="63" applyNumberFormat="1" applyFont="1" applyFill="1" applyBorder="1" applyAlignment="1" applyProtection="1" quotePrefix="1">
      <alignment horizontal="center"/>
      <protection/>
    </xf>
    <xf numFmtId="168" fontId="13" fillId="0" borderId="35" xfId="63" applyNumberFormat="1" applyFont="1" applyFill="1" applyBorder="1" applyAlignment="1" applyProtection="1">
      <alignment horizontal="center"/>
      <protection locked="0"/>
    </xf>
    <xf numFmtId="168" fontId="13" fillId="0" borderId="49" xfId="63" applyNumberFormat="1" applyFont="1" applyFill="1" applyBorder="1" applyAlignment="1" applyProtection="1">
      <alignment horizontal="center"/>
      <protection locked="0"/>
    </xf>
    <xf numFmtId="164" fontId="29" fillId="42" borderId="35" xfId="63" applyNumberFormat="1" applyFont="1" applyFill="1" applyBorder="1" applyAlignment="1" applyProtection="1">
      <alignment horizontal="center"/>
      <protection/>
    </xf>
    <xf numFmtId="2" fontId="70" fillId="39" borderId="35" xfId="63" applyNumberFormat="1" applyFont="1" applyFill="1" applyBorder="1" applyAlignment="1">
      <alignment horizontal="center"/>
      <protection/>
    </xf>
    <xf numFmtId="2" fontId="71" fillId="36" borderId="35" xfId="63" applyNumberFormat="1" applyFont="1" applyFill="1" applyBorder="1" applyAlignment="1">
      <alignment horizontal="center"/>
      <protection/>
    </xf>
    <xf numFmtId="168" fontId="52" fillId="37" borderId="50" xfId="63" applyNumberFormat="1" applyFont="1" applyFill="1" applyBorder="1" applyAlignment="1" applyProtection="1" quotePrefix="1">
      <alignment horizontal="center"/>
      <protection/>
    </xf>
    <xf numFmtId="168" fontId="52" fillId="37" borderId="51" xfId="63" applyNumberFormat="1" applyFont="1" applyFill="1" applyBorder="1" applyAlignment="1" applyProtection="1" quotePrefix="1">
      <alignment horizontal="center"/>
      <protection/>
    </xf>
    <xf numFmtId="168" fontId="72" fillId="43" borderId="36" xfId="63" applyNumberFormat="1" applyFont="1" applyFill="1" applyBorder="1" applyAlignment="1" applyProtection="1" quotePrefix="1">
      <alignment horizontal="center"/>
      <protection/>
    </xf>
    <xf numFmtId="168" fontId="72" fillId="43" borderId="38" xfId="63" applyNumberFormat="1" applyFont="1" applyFill="1" applyBorder="1" applyAlignment="1" applyProtection="1" quotePrefix="1">
      <alignment horizontal="center"/>
      <protection/>
    </xf>
    <xf numFmtId="168" fontId="50" fillId="44" borderId="35" xfId="63" applyNumberFormat="1" applyFont="1" applyFill="1" applyBorder="1" applyAlignment="1" applyProtection="1" quotePrefix="1">
      <alignment horizontal="center"/>
      <protection/>
    </xf>
    <xf numFmtId="168" fontId="73" fillId="39" borderId="35" xfId="63" applyNumberFormat="1" applyFont="1" applyFill="1" applyBorder="1" applyAlignment="1" applyProtection="1" quotePrefix="1">
      <alignment horizontal="center"/>
      <protection/>
    </xf>
    <xf numFmtId="168" fontId="75" fillId="0" borderId="49" xfId="63" applyNumberFormat="1" applyFont="1" applyFill="1" applyBorder="1" applyAlignment="1">
      <alignment horizontal="center"/>
      <protection/>
    </xf>
    <xf numFmtId="168" fontId="65" fillId="0" borderId="52" xfId="63" applyNumberFormat="1" applyFont="1" applyFill="1" applyBorder="1" applyAlignment="1">
      <alignment horizontal="center"/>
      <protection/>
    </xf>
    <xf numFmtId="4" fontId="70" fillId="39" borderId="20" xfId="63" applyNumberFormat="1" applyFont="1" applyFill="1" applyBorder="1" applyAlignment="1">
      <alignment horizontal="center"/>
      <protection/>
    </xf>
    <xf numFmtId="4" fontId="71" fillId="36" borderId="20" xfId="63" applyNumberFormat="1" applyFont="1" applyFill="1" applyBorder="1" applyAlignment="1">
      <alignment horizontal="center"/>
      <protection/>
    </xf>
    <xf numFmtId="4" fontId="52" fillId="37" borderId="53" xfId="63" applyNumberFormat="1" applyFont="1" applyFill="1" applyBorder="1" applyAlignment="1">
      <alignment horizontal="center"/>
      <protection/>
    </xf>
    <xf numFmtId="4" fontId="52" fillId="37" borderId="16" xfId="63" applyNumberFormat="1" applyFont="1" applyFill="1" applyBorder="1" applyAlignment="1">
      <alignment horizontal="center"/>
      <protection/>
    </xf>
    <xf numFmtId="4" fontId="72" fillId="43" borderId="53" xfId="63" applyNumberFormat="1" applyFont="1" applyFill="1" applyBorder="1" applyAlignment="1">
      <alignment horizontal="center"/>
      <protection/>
    </xf>
    <xf numFmtId="4" fontId="72" fillId="43" borderId="54" xfId="63" applyNumberFormat="1" applyFont="1" applyFill="1" applyBorder="1" applyAlignment="1">
      <alignment horizontal="center"/>
      <protection/>
    </xf>
    <xf numFmtId="4" fontId="50" fillId="44" borderId="20" xfId="63" applyNumberFormat="1" applyFont="1" applyFill="1" applyBorder="1" applyAlignment="1">
      <alignment horizontal="center"/>
      <protection/>
    </xf>
    <xf numFmtId="4" fontId="73" fillId="39" borderId="20" xfId="63" applyNumberFormat="1" applyFont="1" applyFill="1" applyBorder="1" applyAlignment="1">
      <alignment horizontal="center"/>
      <protection/>
    </xf>
    <xf numFmtId="7" fontId="76" fillId="0" borderId="20" xfId="63" applyNumberFormat="1" applyFont="1" applyFill="1" applyBorder="1" applyAlignment="1">
      <alignment horizontal="right"/>
      <protection/>
    </xf>
    <xf numFmtId="0" fontId="13" fillId="0" borderId="17" xfId="63" applyFont="1" applyFill="1" applyBorder="1">
      <alignment/>
      <protection/>
    </xf>
    <xf numFmtId="0" fontId="13" fillId="0" borderId="18" xfId="63" applyFont="1" applyFill="1" applyBorder="1">
      <alignment/>
      <protection/>
    </xf>
    <xf numFmtId="0" fontId="13" fillId="0" borderId="19" xfId="63" applyFont="1" applyFill="1" applyBorder="1">
      <alignment/>
      <protection/>
    </xf>
    <xf numFmtId="0" fontId="3" fillId="0" borderId="0" xfId="63" applyFill="1">
      <alignment/>
      <protection/>
    </xf>
    <xf numFmtId="0" fontId="0" fillId="0" borderId="0" xfId="63" applyFont="1">
      <alignment/>
      <protection/>
    </xf>
    <xf numFmtId="0" fontId="20" fillId="0" borderId="0" xfId="63" applyFont="1" applyFill="1" applyBorder="1" applyAlignment="1">
      <alignment horizontal="left" vertical="top"/>
      <protection/>
    </xf>
    <xf numFmtId="0" fontId="13" fillId="0" borderId="0" xfId="63" applyFont="1" applyFill="1" applyAlignment="1">
      <alignment vertical="top"/>
      <protection/>
    </xf>
    <xf numFmtId="0" fontId="13" fillId="0" borderId="13" xfId="63" applyFont="1" applyFill="1" applyBorder="1" applyAlignment="1">
      <alignment vertical="top"/>
      <protection/>
    </xf>
    <xf numFmtId="0" fontId="13" fillId="0" borderId="0" xfId="63" applyFont="1" applyFill="1" applyBorder="1" applyAlignment="1">
      <alignment vertical="top"/>
      <protection/>
    </xf>
    <xf numFmtId="0" fontId="13" fillId="0" borderId="0" xfId="63" applyFont="1" applyFill="1" applyBorder="1" applyAlignment="1">
      <alignment horizontal="center" vertical="top"/>
      <protection/>
    </xf>
    <xf numFmtId="0" fontId="63" fillId="37" borderId="34" xfId="63" applyFont="1" applyFill="1" applyBorder="1" applyAlignment="1">
      <alignment horizontal="center"/>
      <protection/>
    </xf>
    <xf numFmtId="164" fontId="29" fillId="42" borderId="26" xfId="63" applyNumberFormat="1" applyFont="1" applyFill="1" applyBorder="1" applyAlignment="1" applyProtection="1">
      <alignment horizontal="center"/>
      <protection/>
    </xf>
    <xf numFmtId="168" fontId="13" fillId="0" borderId="26" xfId="63" applyNumberFormat="1" applyFont="1" applyBorder="1" applyAlignment="1" applyProtection="1" quotePrefix="1">
      <alignment horizontal="center"/>
      <protection/>
    </xf>
    <xf numFmtId="168" fontId="13" fillId="0" borderId="26" xfId="63" applyNumberFormat="1" applyFont="1" applyBorder="1" applyAlignment="1" applyProtection="1">
      <alignment horizontal="center"/>
      <protection/>
    </xf>
    <xf numFmtId="2" fontId="70" fillId="39" borderId="27" xfId="63" applyNumberFormat="1" applyFont="1" applyFill="1" applyBorder="1" applyAlignment="1" applyProtection="1">
      <alignment horizontal="center"/>
      <protection/>
    </xf>
    <xf numFmtId="2" fontId="71" fillId="36" borderId="27" xfId="63" applyNumberFormat="1" applyFont="1" applyFill="1" applyBorder="1" applyAlignment="1" applyProtection="1">
      <alignment horizontal="center"/>
      <protection/>
    </xf>
    <xf numFmtId="168" fontId="13" fillId="0" borderId="46" xfId="63" applyNumberFormat="1" applyFont="1" applyFill="1" applyBorder="1" applyAlignment="1" applyProtection="1">
      <alignment horizontal="center"/>
      <protection/>
    </xf>
    <xf numFmtId="2" fontId="70" fillId="39" borderId="35" xfId="63" applyNumberFormat="1" applyFont="1" applyFill="1" applyBorder="1" applyAlignment="1" applyProtection="1">
      <alignment horizontal="center"/>
      <protection locked="0"/>
    </xf>
    <xf numFmtId="2" fontId="71" fillId="36" borderId="35" xfId="63" applyNumberFormat="1" applyFont="1" applyFill="1" applyBorder="1" applyAlignment="1" applyProtection="1">
      <alignment horizontal="center"/>
      <protection locked="0"/>
    </xf>
    <xf numFmtId="168" fontId="52" fillId="37" borderId="50" xfId="63" applyNumberFormat="1" applyFont="1" applyFill="1" applyBorder="1" applyAlignment="1" applyProtection="1" quotePrefix="1">
      <alignment horizontal="center"/>
      <protection locked="0"/>
    </xf>
    <xf numFmtId="168" fontId="52" fillId="37" borderId="51" xfId="63" applyNumberFormat="1" applyFont="1" applyFill="1" applyBorder="1" applyAlignment="1" applyProtection="1" quotePrefix="1">
      <alignment horizontal="center"/>
      <protection locked="0"/>
    </xf>
    <xf numFmtId="168" fontId="72" fillId="43" borderId="36" xfId="63" applyNumberFormat="1" applyFont="1" applyFill="1" applyBorder="1" applyAlignment="1" applyProtection="1" quotePrefix="1">
      <alignment horizontal="center"/>
      <protection locked="0"/>
    </xf>
    <xf numFmtId="168" fontId="72" fillId="43" borderId="38" xfId="63" applyNumberFormat="1" applyFont="1" applyFill="1" applyBorder="1" applyAlignment="1" applyProtection="1" quotePrefix="1">
      <alignment horizontal="center"/>
      <protection locked="0"/>
    </xf>
    <xf numFmtId="168" fontId="50" fillId="44" borderId="35" xfId="63" applyNumberFormat="1" applyFont="1" applyFill="1" applyBorder="1" applyAlignment="1" applyProtection="1" quotePrefix="1">
      <alignment horizontal="center"/>
      <protection locked="0"/>
    </xf>
    <xf numFmtId="168" fontId="73" fillId="39" borderId="35" xfId="63" applyNumberFormat="1" applyFont="1" applyFill="1" applyBorder="1" applyAlignment="1" applyProtection="1" quotePrefix="1">
      <alignment horizontal="center"/>
      <protection locked="0"/>
    </xf>
    <xf numFmtId="168" fontId="75" fillId="0" borderId="49" xfId="63" applyNumberFormat="1" applyFont="1" applyFill="1" applyBorder="1" applyAlignment="1" applyProtection="1">
      <alignment horizontal="center"/>
      <protection locked="0"/>
    </xf>
    <xf numFmtId="0" fontId="13" fillId="0" borderId="0" xfId="63" applyFont="1" applyFill="1" applyBorder="1" applyAlignment="1">
      <alignment horizontal="left"/>
      <protection/>
    </xf>
    <xf numFmtId="0" fontId="16" fillId="0" borderId="0" xfId="63" applyFont="1" applyFill="1" applyAlignment="1">
      <alignment vertical="top"/>
      <protection/>
    </xf>
    <xf numFmtId="0" fontId="16" fillId="0" borderId="13" xfId="63" applyFont="1" applyFill="1" applyBorder="1" applyAlignment="1">
      <alignment vertical="top"/>
      <protection/>
    </xf>
    <xf numFmtId="0" fontId="16" fillId="0" borderId="0" xfId="63" applyFont="1" applyFill="1" applyBorder="1" applyAlignment="1">
      <alignment vertical="top"/>
      <protection/>
    </xf>
    <xf numFmtId="0" fontId="20" fillId="0" borderId="0" xfId="63" applyFont="1" applyFill="1" applyBorder="1" applyAlignment="1">
      <alignment vertical="top"/>
      <protection/>
    </xf>
    <xf numFmtId="168" fontId="13" fillId="0" borderId="28" xfId="63" applyNumberFormat="1" applyFont="1" applyFill="1" applyBorder="1" applyAlignment="1" applyProtection="1">
      <alignment horizontal="center"/>
      <protection/>
    </xf>
    <xf numFmtId="4" fontId="77" fillId="0" borderId="28" xfId="63" applyNumberFormat="1" applyFont="1" applyFill="1" applyBorder="1" applyAlignment="1">
      <alignment horizontal="right"/>
      <protection/>
    </xf>
    <xf numFmtId="164" fontId="29" fillId="42" borderId="35" xfId="63" applyNumberFormat="1" applyFont="1" applyFill="1" applyBorder="1" applyAlignment="1" applyProtection="1">
      <alignment horizontal="center"/>
      <protection locked="0"/>
    </xf>
    <xf numFmtId="0" fontId="13" fillId="0" borderId="55" xfId="63" applyFont="1" applyFill="1" applyBorder="1" applyAlignment="1">
      <alignment horizontal="center"/>
      <protection/>
    </xf>
    <xf numFmtId="0" fontId="29" fillId="42" borderId="22" xfId="63" applyFont="1" applyFill="1" applyBorder="1" applyAlignment="1">
      <alignment horizontal="center"/>
      <protection/>
    </xf>
    <xf numFmtId="0" fontId="70" fillId="39" borderId="22" xfId="63" applyFont="1" applyFill="1" applyBorder="1" applyAlignment="1">
      <alignment horizontal="center"/>
      <protection/>
    </xf>
    <xf numFmtId="0" fontId="71" fillId="36" borderId="22" xfId="63" applyFont="1" applyFill="1" applyBorder="1" applyAlignment="1">
      <alignment horizontal="center"/>
      <protection/>
    </xf>
    <xf numFmtId="0" fontId="72" fillId="43" borderId="23" xfId="63" applyFont="1" applyFill="1" applyBorder="1" applyAlignment="1">
      <alignment horizontal="center"/>
      <protection/>
    </xf>
    <xf numFmtId="0" fontId="72" fillId="43" borderId="25" xfId="63" applyFont="1" applyFill="1" applyBorder="1" applyAlignment="1">
      <alignment horizontal="center"/>
      <protection/>
    </xf>
    <xf numFmtId="0" fontId="50" fillId="44" borderId="22" xfId="63" applyFont="1" applyFill="1" applyBorder="1" applyAlignment="1">
      <alignment horizontal="center"/>
      <protection/>
    </xf>
    <xf numFmtId="0" fontId="73" fillId="39" borderId="22" xfId="63" applyFont="1" applyFill="1" applyBorder="1" applyAlignment="1">
      <alignment horizontal="center"/>
      <protection/>
    </xf>
    <xf numFmtId="7" fontId="48" fillId="0" borderId="55" xfId="63" applyNumberFormat="1" applyFont="1" applyFill="1" applyBorder="1" applyAlignment="1">
      <alignment/>
      <protection/>
    </xf>
    <xf numFmtId="173" fontId="13" fillId="0" borderId="26" xfId="63" applyNumberFormat="1" applyFont="1" applyBorder="1" applyAlignment="1" applyProtection="1" quotePrefix="1">
      <alignment horizontal="center"/>
      <protection/>
    </xf>
    <xf numFmtId="2" fontId="70" fillId="39" borderId="26" xfId="63" applyNumberFormat="1" applyFont="1" applyFill="1" applyBorder="1" applyAlignment="1" applyProtection="1">
      <alignment horizontal="center"/>
      <protection/>
    </xf>
    <xf numFmtId="2" fontId="71" fillId="36" borderId="26" xfId="63" applyNumberFormat="1" applyFont="1" applyFill="1" applyBorder="1" applyAlignment="1" applyProtection="1">
      <alignment horizontal="center"/>
      <protection/>
    </xf>
    <xf numFmtId="168" fontId="50" fillId="44" borderId="26" xfId="63" applyNumberFormat="1" applyFont="1" applyFill="1" applyBorder="1" applyAlignment="1" applyProtection="1" quotePrefix="1">
      <alignment horizontal="center"/>
      <protection/>
    </xf>
    <xf numFmtId="0" fontId="13" fillId="0" borderId="12" xfId="63" applyFont="1" applyBorder="1">
      <alignment/>
      <protection/>
    </xf>
    <xf numFmtId="0" fontId="20" fillId="0" borderId="0" xfId="63" applyFont="1" applyFill="1" applyBorder="1">
      <alignment/>
      <protection/>
    </xf>
    <xf numFmtId="0" fontId="16" fillId="0" borderId="14" xfId="63" applyFont="1" applyBorder="1">
      <alignment/>
      <protection/>
    </xf>
    <xf numFmtId="0" fontId="20" fillId="0" borderId="0" xfId="63" applyFont="1" applyFill="1">
      <alignment/>
      <protection/>
    </xf>
    <xf numFmtId="0" fontId="78" fillId="0" borderId="0" xfId="63" applyFont="1" applyFill="1">
      <alignment/>
      <protection/>
    </xf>
    <xf numFmtId="0" fontId="16" fillId="0" borderId="0" xfId="63" applyFont="1" applyFill="1" applyBorder="1" applyProtection="1">
      <alignment/>
      <protection/>
    </xf>
    <xf numFmtId="0" fontId="5" fillId="0" borderId="0" xfId="63" applyFont="1" applyFill="1">
      <alignment/>
      <protection/>
    </xf>
    <xf numFmtId="0" fontId="13" fillId="0" borderId="0" xfId="63" applyFont="1" applyFill="1" applyBorder="1" applyProtection="1">
      <alignment/>
      <protection/>
    </xf>
    <xf numFmtId="0" fontId="24" fillId="0" borderId="0" xfId="63" applyFont="1" applyBorder="1" applyAlignment="1" applyProtection="1">
      <alignment horizontal="centerContinuous"/>
      <protection/>
    </xf>
    <xf numFmtId="0" fontId="24" fillId="0" borderId="14" xfId="63" applyFont="1" applyBorder="1" applyAlignment="1">
      <alignment horizontal="centerContinuous"/>
      <protection/>
    </xf>
    <xf numFmtId="0" fontId="25" fillId="0" borderId="13" xfId="63" applyFont="1" applyBorder="1" applyAlignment="1">
      <alignment horizontal="centerContinuous"/>
      <protection/>
    </xf>
    <xf numFmtId="0" fontId="25" fillId="0" borderId="0" xfId="63" applyFont="1" applyBorder="1" applyAlignment="1">
      <alignment horizontal="centerContinuous"/>
      <protection/>
    </xf>
    <xf numFmtId="0" fontId="25" fillId="0" borderId="0" xfId="63" applyFont="1" applyBorder="1" applyAlignment="1" applyProtection="1">
      <alignment horizontal="centerContinuous"/>
      <protection/>
    </xf>
    <xf numFmtId="0" fontId="25" fillId="0" borderId="14" xfId="63" applyFont="1" applyBorder="1" applyAlignment="1">
      <alignment horizontal="centerContinuous"/>
      <protection/>
    </xf>
    <xf numFmtId="0" fontId="3" fillId="0" borderId="0" xfId="63" applyFont="1" applyBorder="1">
      <alignment/>
      <protection/>
    </xf>
    <xf numFmtId="0" fontId="3" fillId="0" borderId="20" xfId="63" applyFont="1" applyBorder="1" applyAlignment="1">
      <alignment horizontal="center"/>
      <protection/>
    </xf>
    <xf numFmtId="0" fontId="3" fillId="0" borderId="15" xfId="63" applyFont="1" applyBorder="1" applyAlignment="1" applyProtection="1">
      <alignment horizontal="left" vertical="center"/>
      <protection/>
    </xf>
    <xf numFmtId="174" fontId="3" fillId="0" borderId="16" xfId="63" applyNumberFormat="1" applyFont="1" applyBorder="1" applyAlignment="1" applyProtection="1">
      <alignment horizontal="center"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vertical="center"/>
      <protection/>
    </xf>
    <xf numFmtId="174" fontId="3" fillId="0" borderId="16" xfId="63" applyNumberFormat="1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left" vertical="center"/>
      <protection/>
    </xf>
    <xf numFmtId="0" fontId="30" fillId="0" borderId="16" xfId="63" applyFont="1" applyBorder="1" applyAlignment="1" applyProtection="1">
      <alignment horizontal="center" vertical="center"/>
      <protection/>
    </xf>
    <xf numFmtId="0" fontId="30" fillId="0" borderId="21" xfId="63" applyFont="1" applyBorder="1" applyAlignment="1">
      <alignment horizontal="center" vertical="center" wrapText="1"/>
      <protection/>
    </xf>
    <xf numFmtId="0" fontId="30" fillId="0" borderId="16" xfId="63" applyFont="1" applyBorder="1" applyAlignment="1" applyProtection="1">
      <alignment horizontal="center" vertical="center" wrapText="1"/>
      <protection/>
    </xf>
    <xf numFmtId="0" fontId="62" fillId="34" borderId="20" xfId="63" applyFont="1" applyFill="1" applyBorder="1" applyAlignment="1" applyProtection="1">
      <alignment horizontal="center" vertical="center"/>
      <protection/>
    </xf>
    <xf numFmtId="0" fontId="68" fillId="43" borderId="20" xfId="63" applyFont="1" applyFill="1" applyBorder="1" applyAlignment="1">
      <alignment horizontal="center" vertical="center" wrapText="1"/>
      <protection/>
    </xf>
    <xf numFmtId="0" fontId="35" fillId="36" borderId="15" xfId="63" applyFont="1" applyFill="1" applyBorder="1" applyAlignment="1" applyProtection="1">
      <alignment horizontal="centerContinuous" vertical="center" wrapText="1"/>
      <protection/>
    </xf>
    <xf numFmtId="0" fontId="35" fillId="36" borderId="16" xfId="63" applyFont="1" applyFill="1" applyBorder="1" applyAlignment="1">
      <alignment horizontal="centerContinuous" vertical="center"/>
      <protection/>
    </xf>
    <xf numFmtId="0" fontId="62" fillId="35" borderId="20" xfId="63" applyFont="1" applyFill="1" applyBorder="1" applyAlignment="1">
      <alignment horizontal="center" vertical="center" wrapText="1"/>
      <protection/>
    </xf>
    <xf numFmtId="0" fontId="74" fillId="0" borderId="27" xfId="63" applyFont="1" applyBorder="1" applyAlignment="1" applyProtection="1">
      <alignment horizontal="center"/>
      <protection/>
    </xf>
    <xf numFmtId="0" fontId="29" fillId="34" borderId="22" xfId="63" applyFont="1" applyFill="1" applyBorder="1" applyAlignment="1" applyProtection="1">
      <alignment horizontal="center"/>
      <protection/>
    </xf>
    <xf numFmtId="0" fontId="72" fillId="43" borderId="22" xfId="63" applyFont="1" applyFill="1" applyBorder="1" applyAlignment="1" applyProtection="1">
      <alignment horizontal="center"/>
      <protection/>
    </xf>
    <xf numFmtId="168" fontId="51" fillId="36" borderId="23" xfId="63" applyNumberFormat="1" applyFont="1" applyFill="1" applyBorder="1" applyAlignment="1" applyProtection="1" quotePrefix="1">
      <alignment horizontal="center"/>
      <protection/>
    </xf>
    <xf numFmtId="168" fontId="51" fillId="36" borderId="25" xfId="63" applyNumberFormat="1" applyFont="1" applyFill="1" applyBorder="1" applyAlignment="1" applyProtection="1" quotePrefix="1">
      <alignment horizontal="center"/>
      <protection/>
    </xf>
    <xf numFmtId="168" fontId="64" fillId="35" borderId="22" xfId="63" applyNumberFormat="1" applyFont="1" applyFill="1" applyBorder="1" applyAlignment="1" applyProtection="1" quotePrefix="1">
      <alignment horizontal="center"/>
      <protection/>
    </xf>
    <xf numFmtId="7" fontId="79" fillId="0" borderId="27" xfId="63" applyNumberFormat="1" applyFont="1" applyBorder="1" applyAlignment="1" applyProtection="1">
      <alignment/>
      <protection/>
    </xf>
    <xf numFmtId="0" fontId="74" fillId="0" borderId="32" xfId="63" applyFont="1" applyBorder="1" applyAlignment="1" applyProtection="1">
      <alignment horizontal="center"/>
      <protection/>
    </xf>
    <xf numFmtId="0" fontId="63" fillId="37" borderId="32" xfId="63" applyFont="1" applyFill="1" applyBorder="1" applyAlignment="1" applyProtection="1">
      <alignment horizontal="center"/>
      <protection/>
    </xf>
    <xf numFmtId="0" fontId="29" fillId="34" borderId="27" xfId="63" applyFont="1" applyFill="1" applyBorder="1" applyAlignment="1" applyProtection="1">
      <alignment horizontal="center"/>
      <protection/>
    </xf>
    <xf numFmtId="0" fontId="72" fillId="43" borderId="27" xfId="63" applyFont="1" applyFill="1" applyBorder="1" applyAlignment="1" applyProtection="1">
      <alignment horizontal="center"/>
      <protection/>
    </xf>
    <xf numFmtId="168" fontId="51" fillId="36" borderId="29" xfId="63" applyNumberFormat="1" applyFont="1" applyFill="1" applyBorder="1" applyAlignment="1" applyProtection="1" quotePrefix="1">
      <alignment horizontal="center"/>
      <protection/>
    </xf>
    <xf numFmtId="168" fontId="51" fillId="36" borderId="56" xfId="63" applyNumberFormat="1" applyFont="1" applyFill="1" applyBorder="1" applyAlignment="1" applyProtection="1" quotePrefix="1">
      <alignment horizontal="center"/>
      <protection/>
    </xf>
    <xf numFmtId="168" fontId="64" fillId="35" borderId="27" xfId="63" applyNumberFormat="1" applyFont="1" applyFill="1" applyBorder="1" applyAlignment="1" applyProtection="1" quotePrefix="1">
      <alignment horizontal="center"/>
      <protection/>
    </xf>
    <xf numFmtId="168" fontId="77" fillId="0" borderId="27" xfId="63" applyNumberFormat="1" applyFont="1" applyFill="1" applyBorder="1" applyAlignment="1">
      <alignment horizontal="center"/>
      <protection/>
    </xf>
    <xf numFmtId="0" fontId="74" fillId="0" borderId="32" xfId="63" applyFont="1" applyBorder="1" applyAlignment="1" applyProtection="1">
      <alignment horizontal="center"/>
      <protection locked="0"/>
    </xf>
    <xf numFmtId="164" fontId="49" fillId="0" borderId="27" xfId="63" applyNumberFormat="1" applyFont="1" applyBorder="1" applyAlignment="1" applyProtection="1" quotePrefix="1">
      <alignment horizontal="center"/>
      <protection locked="0"/>
    </xf>
    <xf numFmtId="168" fontId="63" fillId="37" borderId="27" xfId="63" applyNumberFormat="1" applyFont="1" applyFill="1" applyBorder="1" applyAlignment="1" applyProtection="1">
      <alignment horizontal="center"/>
      <protection/>
    </xf>
    <xf numFmtId="22" fontId="13" fillId="0" borderId="29" xfId="63" applyNumberFormat="1" applyFont="1" applyBorder="1" applyAlignment="1" applyProtection="1">
      <alignment horizontal="center"/>
      <protection locked="0"/>
    </xf>
    <xf numFmtId="22" fontId="13" fillId="0" borderId="27" xfId="63" applyNumberFormat="1" applyFont="1" applyBorder="1" applyAlignment="1" applyProtection="1">
      <alignment horizontal="center"/>
      <protection locked="0"/>
    </xf>
    <xf numFmtId="2" fontId="13" fillId="0" borderId="27" xfId="63" applyNumberFormat="1" applyFont="1" applyFill="1" applyBorder="1" applyAlignment="1" applyProtection="1" quotePrefix="1">
      <alignment horizontal="center"/>
      <protection/>
    </xf>
    <xf numFmtId="164" fontId="13" fillId="0" borderId="27" xfId="63" applyNumberFormat="1" applyFont="1" applyFill="1" applyBorder="1" applyAlignment="1" applyProtection="1" quotePrefix="1">
      <alignment horizontal="center"/>
      <protection/>
    </xf>
    <xf numFmtId="164" fontId="29" fillId="34" borderId="27" xfId="63" applyNumberFormat="1" applyFont="1" applyFill="1" applyBorder="1" applyAlignment="1" applyProtection="1">
      <alignment horizontal="center"/>
      <protection/>
    </xf>
    <xf numFmtId="2" fontId="72" fillId="43" borderId="27" xfId="63" applyNumberFormat="1" applyFont="1" applyFill="1" applyBorder="1" applyAlignment="1" applyProtection="1">
      <alignment horizontal="center"/>
      <protection/>
    </xf>
    <xf numFmtId="4" fontId="77" fillId="0" borderId="27" xfId="63" applyNumberFormat="1" applyFont="1" applyFill="1" applyBorder="1" applyAlignment="1">
      <alignment horizontal="right"/>
      <protection/>
    </xf>
    <xf numFmtId="168" fontId="13" fillId="0" borderId="49" xfId="63" applyNumberFormat="1" applyFont="1" applyBorder="1" applyAlignment="1" applyProtection="1">
      <alignment horizontal="center"/>
      <protection locked="0"/>
    </xf>
    <xf numFmtId="168" fontId="13" fillId="0" borderId="49" xfId="63" applyNumberFormat="1" applyFont="1" applyBorder="1" applyAlignment="1" applyProtection="1">
      <alignment horizontal="center"/>
      <protection/>
    </xf>
    <xf numFmtId="164" fontId="29" fillId="34" borderId="35" xfId="63" applyNumberFormat="1" applyFont="1" applyFill="1" applyBorder="1" applyAlignment="1" applyProtection="1">
      <alignment horizontal="center"/>
      <protection locked="0"/>
    </xf>
    <xf numFmtId="2" fontId="72" fillId="43" borderId="35" xfId="63" applyNumberFormat="1" applyFont="1" applyFill="1" applyBorder="1" applyAlignment="1" applyProtection="1">
      <alignment horizontal="center"/>
      <protection locked="0"/>
    </xf>
    <xf numFmtId="168" fontId="51" fillId="36" borderId="36" xfId="63" applyNumberFormat="1" applyFont="1" applyFill="1" applyBorder="1" applyAlignment="1" applyProtection="1" quotePrefix="1">
      <alignment horizontal="center"/>
      <protection locked="0"/>
    </xf>
    <xf numFmtId="168" fontId="51" fillId="36" borderId="38" xfId="63" applyNumberFormat="1" applyFont="1" applyFill="1" applyBorder="1" applyAlignment="1" applyProtection="1" quotePrefix="1">
      <alignment horizontal="center"/>
      <protection locked="0"/>
    </xf>
    <xf numFmtId="168" fontId="64" fillId="35" borderId="35" xfId="63" applyNumberFormat="1" applyFont="1" applyFill="1" applyBorder="1" applyAlignment="1" applyProtection="1" quotePrefix="1">
      <alignment horizontal="center"/>
      <protection locked="0"/>
    </xf>
    <xf numFmtId="7" fontId="65" fillId="0" borderId="39" xfId="63" applyNumberFormat="1" applyFont="1" applyFill="1" applyBorder="1" applyAlignment="1">
      <alignment horizontal="right"/>
      <protection/>
    </xf>
    <xf numFmtId="4" fontId="72" fillId="43" borderId="20" xfId="63" applyNumberFormat="1" applyFont="1" applyFill="1" applyBorder="1" applyAlignment="1">
      <alignment horizontal="center"/>
      <protection/>
    </xf>
    <xf numFmtId="4" fontId="51" fillId="36" borderId="53" xfId="63" applyNumberFormat="1" applyFont="1" applyFill="1" applyBorder="1" applyAlignment="1">
      <alignment horizontal="center"/>
      <protection/>
    </xf>
    <xf numFmtId="4" fontId="51" fillId="36" borderId="54" xfId="63" applyNumberFormat="1" applyFont="1" applyFill="1" applyBorder="1" applyAlignment="1">
      <alignment horizontal="center"/>
      <protection/>
    </xf>
    <xf numFmtId="4" fontId="64" fillId="35" borderId="20" xfId="63" applyNumberFormat="1" applyFont="1" applyFill="1" applyBorder="1" applyAlignment="1">
      <alignment horizontal="center"/>
      <protection/>
    </xf>
    <xf numFmtId="4" fontId="19" fillId="0" borderId="0" xfId="63" applyNumberFormat="1" applyFont="1" applyFill="1" applyBorder="1" applyAlignment="1">
      <alignment horizontal="center"/>
      <protection/>
    </xf>
    <xf numFmtId="7" fontId="4" fillId="0" borderId="20" xfId="63" applyNumberFormat="1" applyFont="1" applyFill="1" applyBorder="1" applyAlignment="1">
      <alignment horizontal="right"/>
      <protection/>
    </xf>
    <xf numFmtId="0" fontId="9" fillId="0" borderId="0" xfId="63" applyFont="1" applyAlignment="1">
      <alignment horizontal="centerContinuous"/>
      <protection/>
    </xf>
    <xf numFmtId="0" fontId="20" fillId="0" borderId="0" xfId="63" applyFont="1" applyBorder="1" applyAlignment="1">
      <alignment horizontal="centerContinuous"/>
      <protection/>
    </xf>
    <xf numFmtId="0" fontId="16" fillId="0" borderId="14" xfId="63" applyFont="1" applyBorder="1" applyAlignment="1">
      <alignment horizontal="centerContinuous"/>
      <protection/>
    </xf>
    <xf numFmtId="0" fontId="20" fillId="0" borderId="0" xfId="63" applyFont="1">
      <alignment/>
      <protection/>
    </xf>
    <xf numFmtId="0" fontId="16" fillId="0" borderId="0" xfId="63" applyFont="1" applyBorder="1" applyProtection="1">
      <alignment/>
      <protection/>
    </xf>
    <xf numFmtId="0" fontId="5" fillId="0" borderId="0" xfId="63" applyFont="1" applyBorder="1">
      <alignment/>
      <protection/>
    </xf>
    <xf numFmtId="0" fontId="24" fillId="0" borderId="0" xfId="63" applyFont="1" applyBorder="1" applyAlignment="1">
      <alignment horizontal="centerContinuous"/>
      <protection/>
    </xf>
    <xf numFmtId="0" fontId="24" fillId="0" borderId="0" xfId="63" applyFont="1" applyBorder="1" applyAlignment="1" applyProtection="1">
      <alignment horizontal="centerContinuous"/>
      <protection/>
    </xf>
    <xf numFmtId="0" fontId="24" fillId="0" borderId="14" xfId="63" applyFont="1" applyBorder="1" applyAlignment="1">
      <alignment horizontal="centerContinuous"/>
      <protection/>
    </xf>
    <xf numFmtId="0" fontId="3" fillId="0" borderId="15" xfId="63" applyFont="1" applyBorder="1" applyAlignment="1" applyProtection="1">
      <alignment horizontal="left"/>
      <protection/>
    </xf>
    <xf numFmtId="0" fontId="3" fillId="0" borderId="15" xfId="63" applyFont="1" applyBorder="1" applyAlignment="1" applyProtection="1" quotePrefix="1">
      <alignment horizontal="left"/>
      <protection/>
    </xf>
    <xf numFmtId="0" fontId="3" fillId="0" borderId="21" xfId="63" applyFont="1" applyBorder="1" applyAlignment="1" applyProtection="1">
      <alignment horizontal="center"/>
      <protection/>
    </xf>
    <xf numFmtId="164" fontId="3" fillId="0" borderId="20" xfId="63" applyNumberFormat="1" applyFont="1" applyBorder="1" applyAlignment="1" applyProtection="1">
      <alignment horizontal="center"/>
      <protection/>
    </xf>
    <xf numFmtId="0" fontId="30" fillId="0" borderId="20" xfId="63" applyFont="1" applyBorder="1" applyAlignment="1" applyProtection="1" quotePrefix="1">
      <alignment horizontal="center" vertical="center" wrapText="1"/>
      <protection/>
    </xf>
    <xf numFmtId="0" fontId="61" fillId="39" borderId="20" xfId="63" applyFont="1" applyFill="1" applyBorder="1" applyAlignment="1">
      <alignment horizontal="center" vertical="center" wrapText="1"/>
      <protection/>
    </xf>
    <xf numFmtId="0" fontId="34" fillId="45" borderId="15" xfId="63" applyFont="1" applyFill="1" applyBorder="1" applyAlignment="1" applyProtection="1">
      <alignment horizontal="centerContinuous" vertical="center" wrapText="1"/>
      <protection/>
    </xf>
    <xf numFmtId="0" fontId="34" fillId="45" borderId="16" xfId="63" applyFont="1" applyFill="1" applyBorder="1" applyAlignment="1">
      <alignment horizontal="centerContinuous" vertical="center"/>
      <protection/>
    </xf>
    <xf numFmtId="0" fontId="37" fillId="36" borderId="20" xfId="63" applyFont="1" applyFill="1" applyBorder="1" applyAlignment="1">
      <alignment horizontal="center" vertical="center" wrapText="1"/>
      <protection/>
    </xf>
    <xf numFmtId="0" fontId="61" fillId="0" borderId="20" xfId="63" applyFont="1" applyFill="1" applyBorder="1" applyAlignment="1">
      <alignment horizontal="center" vertical="center" wrapText="1"/>
      <protection/>
    </xf>
    <xf numFmtId="0" fontId="13" fillId="0" borderId="57" xfId="63" applyFont="1" applyBorder="1" applyAlignment="1">
      <alignment horizontal="center"/>
      <protection/>
    </xf>
    <xf numFmtId="0" fontId="13" fillId="0" borderId="58" xfId="63" applyFont="1" applyBorder="1" applyAlignment="1">
      <alignment horizontal="center"/>
      <protection/>
    </xf>
    <xf numFmtId="0" fontId="13" fillId="0" borderId="34" xfId="63" applyFont="1" applyBorder="1" applyAlignment="1">
      <alignment horizontal="center"/>
      <protection/>
    </xf>
    <xf numFmtId="0" fontId="63" fillId="37" borderId="0" xfId="63" applyFont="1" applyFill="1" applyBorder="1" applyAlignment="1">
      <alignment horizontal="center"/>
      <protection/>
    </xf>
    <xf numFmtId="0" fontId="80" fillId="39" borderId="42" xfId="63" applyFont="1" applyFill="1" applyBorder="1" applyAlignment="1">
      <alignment horizontal="center"/>
      <protection/>
    </xf>
    <xf numFmtId="0" fontId="50" fillId="45" borderId="23" xfId="63" applyFont="1" applyFill="1" applyBorder="1" applyAlignment="1">
      <alignment horizontal="center"/>
      <protection/>
    </xf>
    <xf numFmtId="0" fontId="50" fillId="45" borderId="25" xfId="63" applyFont="1" applyFill="1" applyBorder="1" applyAlignment="1">
      <alignment horizontal="center"/>
      <protection/>
    </xf>
    <xf numFmtId="0" fontId="53" fillId="36" borderId="42" xfId="63" applyFont="1" applyFill="1" applyBorder="1" applyAlignment="1">
      <alignment horizontal="center"/>
      <protection/>
    </xf>
    <xf numFmtId="0" fontId="13" fillId="0" borderId="42" xfId="63" applyFont="1" applyBorder="1" applyAlignment="1">
      <alignment horizontal="center"/>
      <protection/>
    </xf>
    <xf numFmtId="7" fontId="77" fillId="0" borderId="42" xfId="63" applyNumberFormat="1" applyFont="1" applyFill="1" applyBorder="1" applyAlignment="1">
      <alignment horizontal="center"/>
      <protection/>
    </xf>
    <xf numFmtId="0" fontId="74" fillId="0" borderId="31" xfId="63" applyFont="1" applyBorder="1" applyAlignment="1" applyProtection="1">
      <alignment horizontal="center"/>
      <protection/>
    </xf>
    <xf numFmtId="0" fontId="74" fillId="0" borderId="59" xfId="63" applyFont="1" applyBorder="1" applyAlignment="1" applyProtection="1">
      <alignment horizontal="center"/>
      <protection/>
    </xf>
    <xf numFmtId="0" fontId="74" fillId="0" borderId="26" xfId="63" applyFont="1" applyBorder="1" applyAlignment="1" applyProtection="1">
      <alignment horizontal="center"/>
      <protection/>
    </xf>
    <xf numFmtId="168" fontId="63" fillId="37" borderId="26" xfId="63" applyNumberFormat="1" applyFont="1" applyFill="1" applyBorder="1" applyAlignment="1" applyProtection="1">
      <alignment horizontal="center"/>
      <protection/>
    </xf>
    <xf numFmtId="22" fontId="13" fillId="0" borderId="47" xfId="63" applyNumberFormat="1" applyFont="1" applyBorder="1" applyAlignment="1">
      <alignment horizontal="center"/>
      <protection/>
    </xf>
    <xf numFmtId="22" fontId="13" fillId="0" borderId="59" xfId="63" applyNumberFormat="1" applyFont="1" applyBorder="1" applyAlignment="1" applyProtection="1">
      <alignment horizontal="center"/>
      <protection/>
    </xf>
    <xf numFmtId="2" fontId="13" fillId="0" borderId="26" xfId="63" applyNumberFormat="1" applyFont="1" applyFill="1" applyBorder="1" applyAlignment="1" applyProtection="1" quotePrefix="1">
      <alignment horizontal="center"/>
      <protection/>
    </xf>
    <xf numFmtId="164" fontId="13" fillId="0" borderId="26" xfId="63" applyNumberFormat="1" applyFont="1" applyFill="1" applyBorder="1" applyAlignment="1" applyProtection="1" quotePrefix="1">
      <alignment horizontal="center"/>
      <protection/>
    </xf>
    <xf numFmtId="168" fontId="13" fillId="0" borderId="46" xfId="63" applyNumberFormat="1" applyFont="1" applyBorder="1" applyAlignment="1" applyProtection="1">
      <alignment horizontal="center"/>
      <protection/>
    </xf>
    <xf numFmtId="164" fontId="63" fillId="37" borderId="31" xfId="63" applyNumberFormat="1" applyFont="1" applyFill="1" applyBorder="1" applyAlignment="1" applyProtection="1">
      <alignment horizontal="center"/>
      <protection/>
    </xf>
    <xf numFmtId="2" fontId="80" fillId="39" borderId="26" xfId="63" applyNumberFormat="1" applyFont="1" applyFill="1" applyBorder="1" applyAlignment="1">
      <alignment horizontal="center"/>
      <protection/>
    </xf>
    <xf numFmtId="168" fontId="50" fillId="45" borderId="47" xfId="63" applyNumberFormat="1" applyFont="1" applyFill="1" applyBorder="1" applyAlignment="1" applyProtection="1" quotePrefix="1">
      <alignment horizontal="center"/>
      <protection/>
    </xf>
    <xf numFmtId="168" fontId="50" fillId="45" borderId="48" xfId="63" applyNumberFormat="1" applyFont="1" applyFill="1" applyBorder="1" applyAlignment="1" applyProtection="1" quotePrefix="1">
      <alignment horizontal="center"/>
      <protection/>
    </xf>
    <xf numFmtId="168" fontId="53" fillId="36" borderId="26" xfId="63" applyNumberFormat="1" applyFont="1" applyFill="1" applyBorder="1" applyAlignment="1" applyProtection="1" quotePrefix="1">
      <alignment horizontal="center"/>
      <protection/>
    </xf>
    <xf numFmtId="168" fontId="77" fillId="0" borderId="26" xfId="63" applyNumberFormat="1" applyFont="1" applyFill="1" applyBorder="1" applyAlignment="1">
      <alignment horizontal="center"/>
      <protection/>
    </xf>
    <xf numFmtId="0" fontId="74" fillId="0" borderId="60" xfId="63" applyFont="1" applyBorder="1" applyAlignment="1" applyProtection="1">
      <alignment horizontal="center"/>
      <protection locked="0"/>
    </xf>
    <xf numFmtId="0" fontId="74" fillId="0" borderId="27" xfId="63" applyFont="1" applyBorder="1" applyAlignment="1" applyProtection="1">
      <alignment horizontal="center"/>
      <protection locked="0"/>
    </xf>
    <xf numFmtId="164" fontId="63" fillId="37" borderId="60" xfId="63" applyNumberFormat="1" applyFont="1" applyFill="1" applyBorder="1" applyAlignment="1" applyProtection="1">
      <alignment horizontal="center"/>
      <protection/>
    </xf>
    <xf numFmtId="2" fontId="80" fillId="39" borderId="27" xfId="63" applyNumberFormat="1" applyFont="1" applyFill="1" applyBorder="1" applyAlignment="1" applyProtection="1">
      <alignment horizontal="center"/>
      <protection/>
    </xf>
    <xf numFmtId="2" fontId="13" fillId="0" borderId="61" xfId="63" applyNumberFormat="1" applyFont="1" applyFill="1" applyBorder="1" applyAlignment="1" applyProtection="1" quotePrefix="1">
      <alignment horizontal="center"/>
      <protection/>
    </xf>
    <xf numFmtId="0" fontId="74" fillId="0" borderId="35" xfId="63" applyFont="1" applyBorder="1" applyAlignment="1" applyProtection="1">
      <alignment horizontal="center"/>
      <protection locked="0"/>
    </xf>
    <xf numFmtId="164" fontId="63" fillId="37" borderId="62" xfId="63" applyNumberFormat="1" applyFont="1" applyFill="1" applyBorder="1" applyAlignment="1" applyProtection="1">
      <alignment horizontal="center"/>
      <protection locked="0"/>
    </xf>
    <xf numFmtId="2" fontId="80" fillId="39" borderId="35" xfId="63" applyNumberFormat="1" applyFont="1" applyFill="1" applyBorder="1" applyAlignment="1" applyProtection="1">
      <alignment horizontal="center"/>
      <protection locked="0"/>
    </xf>
    <xf numFmtId="168" fontId="50" fillId="45" borderId="50" xfId="63" applyNumberFormat="1" applyFont="1" applyFill="1" applyBorder="1" applyAlignment="1" applyProtection="1" quotePrefix="1">
      <alignment horizontal="center"/>
      <protection locked="0"/>
    </xf>
    <xf numFmtId="168" fontId="50" fillId="45" borderId="51" xfId="63" applyNumberFormat="1" applyFont="1" applyFill="1" applyBorder="1" applyAlignment="1" applyProtection="1" quotePrefix="1">
      <alignment horizontal="center"/>
      <protection locked="0"/>
    </xf>
    <xf numFmtId="168" fontId="53" fillId="36" borderId="35" xfId="63" applyNumberFormat="1" applyFont="1" applyFill="1" applyBorder="1" applyAlignment="1" applyProtection="1" quotePrefix="1">
      <alignment horizontal="center"/>
      <protection locked="0"/>
    </xf>
    <xf numFmtId="168" fontId="77" fillId="0" borderId="39" xfId="63" applyNumberFormat="1" applyFont="1" applyFill="1" applyBorder="1" applyAlignment="1">
      <alignment horizontal="center"/>
      <protection/>
    </xf>
    <xf numFmtId="4" fontId="80" fillId="39" borderId="20" xfId="63" applyNumberFormat="1" applyFont="1" applyFill="1" applyBorder="1" applyAlignment="1">
      <alignment horizontal="center"/>
      <protection/>
    </xf>
    <xf numFmtId="4" fontId="50" fillId="45" borderId="53" xfId="63" applyNumberFormat="1" applyFont="1" applyFill="1" applyBorder="1" applyAlignment="1">
      <alignment horizontal="center"/>
      <protection/>
    </xf>
    <xf numFmtId="4" fontId="50" fillId="45" borderId="16" xfId="63" applyNumberFormat="1" applyFont="1" applyFill="1" applyBorder="1" applyAlignment="1">
      <alignment horizontal="center"/>
      <protection/>
    </xf>
    <xf numFmtId="4" fontId="53" fillId="36" borderId="20" xfId="63" applyNumberFormat="1" applyFont="1" applyFill="1" applyBorder="1" applyAlignment="1">
      <alignment horizontal="center"/>
      <protection/>
    </xf>
    <xf numFmtId="0" fontId="13" fillId="0" borderId="63" xfId="63" applyFont="1" applyBorder="1">
      <alignment/>
      <protection/>
    </xf>
    <xf numFmtId="0" fontId="0" fillId="0" borderId="0" xfId="63" applyFont="1" applyBorder="1">
      <alignment/>
      <protection/>
    </xf>
    <xf numFmtId="168" fontId="13" fillId="0" borderId="28" xfId="63" applyNumberFormat="1" applyFont="1" applyBorder="1" applyAlignment="1" applyProtection="1">
      <alignment horizontal="center"/>
      <protection/>
    </xf>
    <xf numFmtId="22" fontId="13" fillId="0" borderId="29" xfId="63" applyNumberFormat="1" applyFont="1" applyBorder="1" applyAlignment="1">
      <alignment horizontal="center"/>
      <protection/>
    </xf>
    <xf numFmtId="0" fontId="13" fillId="0" borderId="26" xfId="63" applyFont="1" applyBorder="1" applyAlignment="1">
      <alignment horizontal="center"/>
      <protection/>
    </xf>
    <xf numFmtId="0" fontId="81" fillId="37" borderId="64" xfId="63" applyFont="1" applyFill="1" applyBorder="1">
      <alignment/>
      <protection/>
    </xf>
    <xf numFmtId="0" fontId="81" fillId="0" borderId="0" xfId="63" applyFont="1">
      <alignment/>
      <protection/>
    </xf>
    <xf numFmtId="0" fontId="81" fillId="0" borderId="0" xfId="63" applyFont="1" applyFill="1">
      <alignment/>
      <protection/>
    </xf>
    <xf numFmtId="0" fontId="81" fillId="0" borderId="64" xfId="63" applyFont="1" applyBorder="1">
      <alignment/>
      <protection/>
    </xf>
    <xf numFmtId="0" fontId="81" fillId="0" borderId="64" xfId="63" applyFont="1" applyBorder="1" quotePrefix="1">
      <alignment/>
      <protection/>
    </xf>
    <xf numFmtId="0" fontId="82" fillId="0" borderId="0" xfId="56" applyFont="1" applyFill="1" applyAlignment="1">
      <alignment/>
      <protection/>
    </xf>
    <xf numFmtId="0" fontId="81" fillId="37" borderId="64" xfId="63" applyFont="1" applyFill="1" applyBorder="1" applyAlignment="1">
      <alignment horizontal="center"/>
      <protection/>
    </xf>
    <xf numFmtId="0" fontId="81" fillId="46" borderId="0" xfId="63" applyFont="1" applyFill="1">
      <alignment/>
      <protection/>
    </xf>
    <xf numFmtId="0" fontId="81" fillId="46" borderId="0" xfId="63" applyNumberFormat="1" applyFont="1" applyFill="1">
      <alignment/>
      <protection/>
    </xf>
    <xf numFmtId="0" fontId="81" fillId="0" borderId="64" xfId="63" applyFont="1" applyFill="1" applyBorder="1" applyAlignment="1">
      <alignment horizontal="center"/>
      <protection/>
    </xf>
    <xf numFmtId="0" fontId="81" fillId="46" borderId="0" xfId="56" applyFont="1" applyFill="1" applyAlignment="1">
      <alignment/>
      <protection/>
    </xf>
    <xf numFmtId="0" fontId="83" fillId="0" borderId="64" xfId="63" applyFont="1" applyBorder="1">
      <alignment/>
      <protection/>
    </xf>
    <xf numFmtId="0" fontId="83" fillId="0" borderId="64" xfId="63" applyFont="1" applyFill="1" applyBorder="1">
      <alignment/>
      <protection/>
    </xf>
    <xf numFmtId="0" fontId="83" fillId="0" borderId="65" xfId="63" applyFont="1" applyBorder="1">
      <alignment/>
      <protection/>
    </xf>
    <xf numFmtId="0" fontId="83" fillId="0" borderId="65" xfId="63" applyFont="1" applyFill="1" applyBorder="1">
      <alignment/>
      <protection/>
    </xf>
    <xf numFmtId="0" fontId="84" fillId="0" borderId="64" xfId="63" applyFont="1" applyFill="1" applyBorder="1">
      <alignment/>
      <protection/>
    </xf>
    <xf numFmtId="0" fontId="84" fillId="0" borderId="64" xfId="63" applyFont="1" applyBorder="1">
      <alignment/>
      <protection/>
    </xf>
    <xf numFmtId="0" fontId="83" fillId="0" borderId="0" xfId="63" applyFont="1" applyFill="1">
      <alignment/>
      <protection/>
    </xf>
    <xf numFmtId="0" fontId="84" fillId="0" borderId="65" xfId="63" applyFont="1" applyBorder="1">
      <alignment/>
      <protection/>
    </xf>
    <xf numFmtId="0" fontId="84" fillId="0" borderId="65" xfId="63" applyFont="1" applyFill="1" applyBorder="1">
      <alignment/>
      <protection/>
    </xf>
    <xf numFmtId="0" fontId="85" fillId="0" borderId="64" xfId="63" applyFont="1" applyFill="1" applyBorder="1">
      <alignment/>
      <protection/>
    </xf>
    <xf numFmtId="0" fontId="85" fillId="0" borderId="65" xfId="63" applyFont="1" applyFill="1" applyBorder="1">
      <alignment/>
      <protection/>
    </xf>
    <xf numFmtId="0" fontId="85" fillId="47" borderId="64" xfId="63" applyFont="1" applyFill="1" applyBorder="1">
      <alignment/>
      <protection/>
    </xf>
    <xf numFmtId="0" fontId="3" fillId="0" borderId="0" xfId="63" quotePrefix="1">
      <alignment/>
      <protection/>
    </xf>
    <xf numFmtId="1" fontId="13" fillId="0" borderId="48" xfId="63" applyNumberFormat="1" applyFont="1" applyBorder="1" applyAlignment="1" applyProtection="1">
      <alignment horizontal="center"/>
      <protection locked="0"/>
    </xf>
    <xf numFmtId="164" fontId="49" fillId="0" borderId="27" xfId="63" applyNumberFormat="1" applyFont="1" applyBorder="1" applyAlignment="1" applyProtection="1">
      <alignment horizontal="center"/>
      <protection locked="0"/>
    </xf>
    <xf numFmtId="0" fontId="13" fillId="0" borderId="60" xfId="63" applyFont="1" applyBorder="1" applyAlignment="1" applyProtection="1">
      <alignment horizontal="center"/>
      <protection locked="0"/>
    </xf>
    <xf numFmtId="0" fontId="13" fillId="0" borderId="32" xfId="63" applyFont="1" applyBorder="1" applyAlignment="1" applyProtection="1">
      <alignment horizontal="center"/>
      <protection locked="0"/>
    </xf>
    <xf numFmtId="0" fontId="13" fillId="0" borderId="32" xfId="63" applyFont="1" applyBorder="1" applyAlignment="1" applyProtection="1">
      <alignment horizontal="center"/>
      <protection/>
    </xf>
    <xf numFmtId="0" fontId="13" fillId="0" borderId="27" xfId="63" applyFont="1" applyBorder="1" applyAlignment="1" applyProtection="1">
      <alignment horizontal="center"/>
      <protection/>
    </xf>
    <xf numFmtId="22" fontId="13" fillId="0" borderId="32" xfId="63" applyNumberFormat="1" applyFont="1" applyBorder="1" applyAlignment="1" applyProtection="1">
      <alignment horizontal="center"/>
      <protection/>
    </xf>
    <xf numFmtId="0" fontId="89" fillId="0" borderId="40" xfId="63" applyFont="1" applyBorder="1" applyAlignment="1">
      <alignment horizontal="center"/>
      <protection/>
    </xf>
    <xf numFmtId="0" fontId="89" fillId="0" borderId="0" xfId="63" applyFont="1" applyBorder="1" applyAlignment="1">
      <alignment horizontal="left"/>
      <protection/>
    </xf>
    <xf numFmtId="0" fontId="13" fillId="0" borderId="34" xfId="63" applyFont="1" applyBorder="1">
      <alignment/>
      <protection/>
    </xf>
    <xf numFmtId="0" fontId="50" fillId="45" borderId="44" xfId="63" applyFont="1" applyFill="1" applyBorder="1" applyAlignment="1">
      <alignment horizontal="center"/>
      <protection/>
    </xf>
    <xf numFmtId="0" fontId="50" fillId="45" borderId="45" xfId="63" applyFont="1" applyFill="1" applyBorder="1" applyAlignment="1">
      <alignment horizontal="center"/>
      <protection/>
    </xf>
    <xf numFmtId="0" fontId="13" fillId="0" borderId="26" xfId="63" applyFont="1" applyBorder="1">
      <alignment/>
      <protection/>
    </xf>
    <xf numFmtId="0" fontId="80" fillId="39" borderId="26" xfId="63" applyFont="1" applyFill="1" applyBorder="1" applyAlignment="1">
      <alignment horizontal="center"/>
      <protection/>
    </xf>
    <xf numFmtId="0" fontId="50" fillId="45" borderId="26" xfId="63" applyFont="1" applyFill="1" applyBorder="1" applyAlignment="1">
      <alignment horizontal="center"/>
      <protection/>
    </xf>
    <xf numFmtId="0" fontId="72" fillId="43" borderId="26" xfId="63" applyFont="1" applyFill="1" applyBorder="1" applyAlignment="1">
      <alignment horizontal="center"/>
      <protection/>
    </xf>
    <xf numFmtId="0" fontId="53" fillId="36" borderId="26" xfId="63" applyFont="1" applyFill="1" applyBorder="1" applyAlignment="1">
      <alignment horizontal="center"/>
      <protection/>
    </xf>
    <xf numFmtId="7" fontId="77" fillId="0" borderId="26" xfId="63" applyNumberFormat="1" applyFont="1" applyFill="1" applyBorder="1" applyAlignment="1">
      <alignment horizontal="center"/>
      <protection/>
    </xf>
    <xf numFmtId="4" fontId="80" fillId="39" borderId="0" xfId="63" applyNumberFormat="1" applyFont="1" applyFill="1" applyBorder="1" applyAlignment="1">
      <alignment horizontal="center"/>
      <protection/>
    </xf>
    <xf numFmtId="4" fontId="50" fillId="45" borderId="0" xfId="63" applyNumberFormat="1" applyFont="1" applyFill="1" applyBorder="1" applyAlignment="1">
      <alignment horizontal="center"/>
      <protection/>
    </xf>
    <xf numFmtId="4" fontId="72" fillId="43" borderId="0" xfId="63" applyNumberFormat="1" applyFont="1" applyFill="1" applyBorder="1" applyAlignment="1">
      <alignment horizontal="center"/>
      <protection/>
    </xf>
    <xf numFmtId="4" fontId="53" fillId="36" borderId="0" xfId="63" applyNumberFormat="1" applyFont="1" applyFill="1" applyBorder="1" applyAlignment="1">
      <alignment horizontal="center"/>
      <protection/>
    </xf>
    <xf numFmtId="7" fontId="4" fillId="0" borderId="0" xfId="63" applyNumberFormat="1" applyFont="1" applyFill="1" applyBorder="1" applyAlignment="1">
      <alignment horizontal="right"/>
      <protection/>
    </xf>
    <xf numFmtId="0" fontId="90" fillId="0" borderId="0" xfId="63" applyFont="1">
      <alignment/>
      <protection/>
    </xf>
    <xf numFmtId="221" fontId="0" fillId="0" borderId="15" xfId="63" applyNumberFormat="1" applyFont="1" applyBorder="1" applyAlignment="1">
      <alignment horizontal="centerContinuous"/>
      <protection/>
    </xf>
    <xf numFmtId="22" fontId="13" fillId="0" borderId="60" xfId="63" applyNumberFormat="1" applyFont="1" applyFill="1" applyBorder="1" applyAlignment="1" applyProtection="1">
      <alignment horizontal="center"/>
      <protection locked="0"/>
    </xf>
    <xf numFmtId="0" fontId="89" fillId="0" borderId="40" xfId="64" applyFont="1" applyBorder="1" applyAlignment="1">
      <alignment horizontal="center"/>
      <protection/>
    </xf>
    <xf numFmtId="0" fontId="89" fillId="0" borderId="0" xfId="64" applyFont="1" applyBorder="1" applyAlignment="1">
      <alignment horizontal="left"/>
      <protection/>
    </xf>
    <xf numFmtId="0" fontId="20" fillId="0" borderId="0" xfId="63" applyFont="1" applyFill="1" applyAlignment="1">
      <alignment vertical="top"/>
      <protection/>
    </xf>
    <xf numFmtId="0" fontId="78" fillId="0" borderId="0" xfId="63" applyFont="1" applyFill="1" applyAlignment="1">
      <alignment vertical="top"/>
      <protection/>
    </xf>
    <xf numFmtId="0" fontId="16" fillId="0" borderId="0" xfId="63" applyFont="1" applyFill="1" applyBorder="1" applyAlignment="1" applyProtection="1">
      <alignment vertical="top"/>
      <protection/>
    </xf>
    <xf numFmtId="0" fontId="16" fillId="0" borderId="14" xfId="63" applyFont="1" applyBorder="1" applyAlignment="1">
      <alignment vertical="top"/>
      <protection/>
    </xf>
    <xf numFmtId="0" fontId="5" fillId="0" borderId="0" xfId="63" applyFont="1" applyFill="1" applyAlignment="1">
      <alignment vertical="top"/>
      <protection/>
    </xf>
    <xf numFmtId="0" fontId="13" fillId="0" borderId="0" xfId="63" applyFont="1" applyFill="1" applyBorder="1" applyAlignment="1" applyProtection="1">
      <alignment vertical="top"/>
      <protection/>
    </xf>
    <xf numFmtId="0" fontId="25" fillId="0" borderId="0" xfId="63" applyFont="1" applyBorder="1" applyAlignment="1">
      <alignment vertical="top"/>
      <protection/>
    </xf>
    <xf numFmtId="0" fontId="13" fillId="0" borderId="14" xfId="63" applyFont="1" applyBorder="1" applyAlignment="1">
      <alignment vertical="top"/>
      <protection/>
    </xf>
    <xf numFmtId="174" fontId="3" fillId="0" borderId="16" xfId="63" applyNumberFormat="1" applyFont="1" applyBorder="1" applyAlignment="1" applyProtection="1">
      <alignment horizontal="center" vertical="center"/>
      <protection locked="0"/>
    </xf>
    <xf numFmtId="164" fontId="13" fillId="0" borderId="27" xfId="63" applyNumberFormat="1" applyFont="1" applyBorder="1" applyAlignment="1" applyProtection="1" quotePrefix="1">
      <alignment horizontal="center"/>
      <protection locked="0"/>
    </xf>
    <xf numFmtId="0" fontId="8" fillId="0" borderId="0" xfId="58" applyFont="1" applyFill="1">
      <alignment/>
      <protection/>
    </xf>
    <xf numFmtId="0" fontId="8" fillId="0" borderId="0" xfId="58" applyFont="1">
      <alignment/>
      <protection/>
    </xf>
    <xf numFmtId="0" fontId="11" fillId="0" borderId="0" xfId="58" applyFont="1" applyAlignment="1">
      <alignment horizontal="right" vertical="top"/>
      <protection/>
    </xf>
    <xf numFmtId="0" fontId="9" fillId="0" borderId="0" xfId="58" applyFont="1" applyAlignment="1">
      <alignment horizontal="centerContinuous"/>
      <protection/>
    </xf>
    <xf numFmtId="0" fontId="13" fillId="0" borderId="0" xfId="58" applyFont="1" applyFill="1">
      <alignment/>
      <protection/>
    </xf>
    <xf numFmtId="0" fontId="13" fillId="0" borderId="0" xfId="58" applyFont="1">
      <alignment/>
      <protection/>
    </xf>
    <xf numFmtId="0" fontId="6" fillId="0" borderId="0" xfId="58" applyFont="1" applyFill="1" applyBorder="1" applyAlignment="1" applyProtection="1">
      <alignment horizontal="centerContinuous"/>
      <protection/>
    </xf>
    <xf numFmtId="0" fontId="14" fillId="0" borderId="0" xfId="58" applyFont="1" applyAlignment="1">
      <alignment horizontal="centerContinuous"/>
      <protection/>
    </xf>
    <xf numFmtId="0" fontId="14" fillId="0" borderId="0" xfId="58" applyFont="1">
      <alignment/>
      <protection/>
    </xf>
    <xf numFmtId="0" fontId="13" fillId="0" borderId="10" xfId="58" applyFont="1" applyBorder="1">
      <alignment/>
      <protection/>
    </xf>
    <xf numFmtId="0" fontId="13" fillId="0" borderId="11" xfId="58" applyFont="1" applyBorder="1">
      <alignment/>
      <protection/>
    </xf>
    <xf numFmtId="0" fontId="13" fillId="0" borderId="12" xfId="58" applyFont="1" applyBorder="1">
      <alignment/>
      <protection/>
    </xf>
    <xf numFmtId="0" fontId="16" fillId="0" borderId="0" xfId="58" applyFont="1">
      <alignment/>
      <protection/>
    </xf>
    <xf numFmtId="0" fontId="16" fillId="0" borderId="13" xfId="58" applyFont="1" applyBorder="1">
      <alignment/>
      <protection/>
    </xf>
    <xf numFmtId="0" fontId="16" fillId="0" borderId="0" xfId="58" applyFont="1" applyBorder="1">
      <alignment/>
      <protection/>
    </xf>
    <xf numFmtId="0" fontId="20" fillId="0" borderId="0" xfId="58" applyFont="1" applyFill="1" applyBorder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14" xfId="58" applyFont="1" applyBorder="1">
      <alignment/>
      <protection/>
    </xf>
    <xf numFmtId="0" fontId="13" fillId="0" borderId="13" xfId="58" applyFont="1" applyBorder="1">
      <alignment/>
      <protection/>
    </xf>
    <xf numFmtId="0" fontId="13" fillId="0" borderId="0" xfId="58" applyFont="1" applyBorder="1">
      <alignment/>
      <protection/>
    </xf>
    <xf numFmtId="0" fontId="13" fillId="0" borderId="0" xfId="58" applyFont="1" applyFill="1" applyBorder="1">
      <alignment/>
      <protection/>
    </xf>
    <xf numFmtId="0" fontId="13" fillId="0" borderId="14" xfId="58" applyFont="1" applyBorder="1">
      <alignment/>
      <protection/>
    </xf>
    <xf numFmtId="0" fontId="20" fillId="0" borderId="0" xfId="58" applyFont="1" applyFill="1">
      <alignment/>
      <protection/>
    </xf>
    <xf numFmtId="0" fontId="78" fillId="0" borderId="0" xfId="58" applyFont="1" applyFill="1">
      <alignment/>
      <protection/>
    </xf>
    <xf numFmtId="0" fontId="16" fillId="0" borderId="0" xfId="58" applyFont="1" applyFill="1" applyBorder="1" applyProtection="1">
      <alignment/>
      <protection/>
    </xf>
    <xf numFmtId="0" fontId="5" fillId="0" borderId="0" xfId="58" applyFont="1" applyFill="1">
      <alignment/>
      <protection/>
    </xf>
    <xf numFmtId="0" fontId="13" fillId="0" borderId="0" xfId="58" applyFont="1" applyFill="1" applyBorder="1" applyProtection="1">
      <alignment/>
      <protection/>
    </xf>
    <xf numFmtId="0" fontId="25" fillId="0" borderId="0" xfId="58" applyFont="1" applyBorder="1">
      <alignment/>
      <protection/>
    </xf>
    <xf numFmtId="0" fontId="24" fillId="0" borderId="13" xfId="58" applyFont="1" applyBorder="1" applyAlignment="1">
      <alignment horizontal="centerContinuous"/>
      <protection/>
    </xf>
    <xf numFmtId="0" fontId="24" fillId="0" borderId="0" xfId="58" applyFont="1" applyBorder="1" applyAlignment="1">
      <alignment horizontal="centerContinuous"/>
      <protection/>
    </xf>
    <xf numFmtId="0" fontId="24" fillId="0" borderId="0" xfId="58" applyFont="1" applyBorder="1" applyAlignment="1" applyProtection="1">
      <alignment horizontal="centerContinuous"/>
      <protection/>
    </xf>
    <xf numFmtId="0" fontId="24" fillId="0" borderId="14" xfId="58" applyFont="1" applyBorder="1" applyAlignment="1">
      <alignment horizontal="centerContinuous"/>
      <protection/>
    </xf>
    <xf numFmtId="0" fontId="25" fillId="0" borderId="13" xfId="58" applyFont="1" applyBorder="1" applyAlignment="1">
      <alignment horizontal="centerContinuous"/>
      <protection/>
    </xf>
    <xf numFmtId="0" fontId="25" fillId="0" borderId="0" xfId="58" applyFont="1" applyBorder="1" applyAlignment="1">
      <alignment horizontal="centerContinuous"/>
      <protection/>
    </xf>
    <xf numFmtId="0" fontId="25" fillId="0" borderId="0" xfId="58" applyFont="1" applyBorder="1" applyAlignment="1" applyProtection="1">
      <alignment horizontal="centerContinuous"/>
      <protection/>
    </xf>
    <xf numFmtId="0" fontId="25" fillId="0" borderId="14" xfId="58" applyFont="1" applyBorder="1" applyAlignment="1">
      <alignment horizontal="centerContinuous"/>
      <protection/>
    </xf>
    <xf numFmtId="0" fontId="3" fillId="0" borderId="0" xfId="58" applyFont="1" applyBorder="1">
      <alignment/>
      <protection/>
    </xf>
    <xf numFmtId="0" fontId="3" fillId="0" borderId="20" xfId="58" applyFont="1" applyBorder="1" applyAlignment="1">
      <alignment horizontal="center"/>
      <protection/>
    </xf>
    <xf numFmtId="0" fontId="3" fillId="0" borderId="15" xfId="58" applyFont="1" applyBorder="1" applyAlignment="1" applyProtection="1">
      <alignment horizontal="left" vertical="center"/>
      <protection/>
    </xf>
    <xf numFmtId="174" fontId="3" fillId="0" borderId="16" xfId="58" applyNumberFormat="1" applyFont="1" applyBorder="1" applyAlignment="1" applyProtection="1">
      <alignment horizontal="center" vertical="center"/>
      <protection/>
    </xf>
    <xf numFmtId="0" fontId="3" fillId="0" borderId="20" xfId="58" applyFont="1" applyBorder="1" applyAlignment="1">
      <alignment horizontal="center" vertical="center"/>
      <protection/>
    </xf>
    <xf numFmtId="22" fontId="13" fillId="0" borderId="0" xfId="58" applyNumberFormat="1" applyFont="1" applyBorder="1">
      <alignment/>
      <protection/>
    </xf>
    <xf numFmtId="0" fontId="3" fillId="0" borderId="15" xfId="58" applyFont="1" applyBorder="1" applyAlignment="1">
      <alignment vertical="center"/>
      <protection/>
    </xf>
    <xf numFmtId="174" fontId="3" fillId="0" borderId="16" xfId="58" applyNumberFormat="1" applyFont="1" applyBorder="1" applyAlignment="1">
      <alignment horizontal="center" vertical="center"/>
      <protection/>
    </xf>
    <xf numFmtId="0" fontId="3" fillId="0" borderId="15" xfId="58" applyFont="1" applyBorder="1" applyAlignment="1">
      <alignment horizontal="left" vertical="center"/>
      <protection/>
    </xf>
    <xf numFmtId="0" fontId="3" fillId="0" borderId="0" xfId="58" applyFont="1" applyBorder="1" applyAlignment="1" applyProtection="1">
      <alignment horizontal="center"/>
      <protection/>
    </xf>
    <xf numFmtId="174" fontId="3" fillId="0" borderId="0" xfId="58" applyNumberFormat="1" applyFont="1" applyBorder="1" applyAlignment="1">
      <alignment horizontal="centerContinuous"/>
      <protection/>
    </xf>
    <xf numFmtId="0" fontId="29" fillId="0" borderId="0" xfId="58" applyFont="1" applyBorder="1">
      <alignment/>
      <protection/>
    </xf>
    <xf numFmtId="0" fontId="30" fillId="0" borderId="20" xfId="58" applyFont="1" applyFill="1" applyBorder="1" applyAlignment="1">
      <alignment horizontal="center" vertical="center"/>
      <protection/>
    </xf>
    <xf numFmtId="0" fontId="30" fillId="0" borderId="20" xfId="58" applyFont="1" applyBorder="1" applyAlignment="1">
      <alignment horizontal="center" vertical="center"/>
      <protection/>
    </xf>
    <xf numFmtId="0" fontId="30" fillId="0" borderId="20" xfId="58" applyFont="1" applyBorder="1" applyAlignment="1" applyProtection="1">
      <alignment horizontal="center" vertical="center" wrapText="1"/>
      <protection/>
    </xf>
    <xf numFmtId="0" fontId="30" fillId="0" borderId="16" xfId="58" applyFont="1" applyBorder="1" applyAlignment="1" applyProtection="1">
      <alignment horizontal="center" vertical="center"/>
      <protection/>
    </xf>
    <xf numFmtId="0" fontId="30" fillId="0" borderId="21" xfId="58" applyFont="1" applyBorder="1" applyAlignment="1">
      <alignment horizontal="center" vertical="center" wrapText="1"/>
      <protection/>
    </xf>
    <xf numFmtId="0" fontId="60" fillId="37" borderId="20" xfId="58" applyFont="1" applyFill="1" applyBorder="1" applyAlignment="1" applyProtection="1">
      <alignment horizontal="center" vertical="center"/>
      <protection/>
    </xf>
    <xf numFmtId="0" fontId="30" fillId="0" borderId="20" xfId="58" applyFont="1" applyBorder="1" applyAlignment="1" applyProtection="1">
      <alignment horizontal="center" vertical="center"/>
      <protection/>
    </xf>
    <xf numFmtId="0" fontId="30" fillId="0" borderId="16" xfId="58" applyFont="1" applyBorder="1" applyAlignment="1" applyProtection="1">
      <alignment horizontal="center" vertical="center" wrapText="1"/>
      <protection/>
    </xf>
    <xf numFmtId="0" fontId="30" fillId="0" borderId="15" xfId="58" applyFont="1" applyBorder="1" applyAlignment="1" applyProtection="1">
      <alignment horizontal="center" vertical="center" wrapText="1"/>
      <protection/>
    </xf>
    <xf numFmtId="0" fontId="30" fillId="0" borderId="15" xfId="58" applyFont="1" applyBorder="1" applyAlignment="1" applyProtection="1">
      <alignment horizontal="center" vertical="center"/>
      <protection/>
    </xf>
    <xf numFmtId="0" fontId="62" fillId="34" borderId="20" xfId="58" applyFont="1" applyFill="1" applyBorder="1" applyAlignment="1" applyProtection="1">
      <alignment horizontal="center" vertical="center"/>
      <protection/>
    </xf>
    <xf numFmtId="0" fontId="68" fillId="43" borderId="20" xfId="58" applyFont="1" applyFill="1" applyBorder="1" applyAlignment="1">
      <alignment horizontal="center" vertical="center" wrapText="1"/>
      <protection/>
    </xf>
    <xf numFmtId="0" fontId="35" fillId="36" borderId="15" xfId="58" applyFont="1" applyFill="1" applyBorder="1" applyAlignment="1" applyProtection="1">
      <alignment horizontal="centerContinuous" vertical="center" wrapText="1"/>
      <protection/>
    </xf>
    <xf numFmtId="0" fontId="35" fillId="36" borderId="16" xfId="58" applyFont="1" applyFill="1" applyBorder="1" applyAlignment="1">
      <alignment horizontal="centerContinuous" vertical="center"/>
      <protection/>
    </xf>
    <xf numFmtId="0" fontId="62" fillId="35" borderId="20" xfId="58" applyFont="1" applyFill="1" applyBorder="1" applyAlignment="1">
      <alignment horizontal="center" vertical="center" wrapText="1"/>
      <protection/>
    </xf>
    <xf numFmtId="0" fontId="30" fillId="0" borderId="20" xfId="58" applyFont="1" applyBorder="1" applyAlignment="1">
      <alignment horizontal="center" vertical="center" wrapText="1"/>
      <protection/>
    </xf>
    <xf numFmtId="0" fontId="30" fillId="0" borderId="20" xfId="58" applyFont="1" applyFill="1" applyBorder="1" applyAlignment="1">
      <alignment horizontal="center" vertical="center" wrapText="1"/>
      <protection/>
    </xf>
    <xf numFmtId="0" fontId="13" fillId="0" borderId="42" xfId="58" applyFont="1" applyFill="1" applyBorder="1" applyAlignment="1">
      <alignment horizontal="center"/>
      <protection/>
    </xf>
    <xf numFmtId="0" fontId="74" fillId="0" borderId="27" xfId="58" applyFont="1" applyBorder="1" applyAlignment="1" applyProtection="1">
      <alignment horizontal="center"/>
      <protection/>
    </xf>
    <xf numFmtId="0" fontId="63" fillId="37" borderId="27" xfId="58" applyFont="1" applyFill="1" applyBorder="1" applyAlignment="1" applyProtection="1">
      <alignment horizontal="center"/>
      <protection/>
    </xf>
    <xf numFmtId="0" fontId="29" fillId="34" borderId="22" xfId="58" applyFont="1" applyFill="1" applyBorder="1" applyAlignment="1" applyProtection="1">
      <alignment horizontal="center"/>
      <protection/>
    </xf>
    <xf numFmtId="0" fontId="72" fillId="43" borderId="22" xfId="58" applyFont="1" applyFill="1" applyBorder="1" applyAlignment="1" applyProtection="1">
      <alignment horizontal="center"/>
      <protection/>
    </xf>
    <xf numFmtId="168" fontId="51" fillId="36" borderId="23" xfId="58" applyNumberFormat="1" applyFont="1" applyFill="1" applyBorder="1" applyAlignment="1" applyProtection="1" quotePrefix="1">
      <alignment horizontal="center"/>
      <protection/>
    </xf>
    <xf numFmtId="168" fontId="51" fillId="36" borderId="25" xfId="58" applyNumberFormat="1" applyFont="1" applyFill="1" applyBorder="1" applyAlignment="1" applyProtection="1" quotePrefix="1">
      <alignment horizontal="center"/>
      <protection/>
    </xf>
    <xf numFmtId="168" fontId="64" fillId="35" borderId="22" xfId="58" applyNumberFormat="1" applyFont="1" applyFill="1" applyBorder="1" applyAlignment="1" applyProtection="1" quotePrefix="1">
      <alignment horizontal="center"/>
      <protection/>
    </xf>
    <xf numFmtId="7" fontId="79" fillId="0" borderId="27" xfId="58" applyNumberFormat="1" applyFont="1" applyBorder="1" applyAlignment="1" applyProtection="1">
      <alignment/>
      <protection/>
    </xf>
    <xf numFmtId="0" fontId="13" fillId="0" borderId="26" xfId="58" applyFont="1" applyFill="1" applyBorder="1" applyAlignment="1">
      <alignment horizontal="center"/>
      <protection/>
    </xf>
    <xf numFmtId="0" fontId="74" fillId="0" borderId="32" xfId="58" applyFont="1" applyBorder="1" applyAlignment="1" applyProtection="1">
      <alignment horizontal="center"/>
      <protection/>
    </xf>
    <xf numFmtId="0" fontId="63" fillId="37" borderId="32" xfId="58" applyFont="1" applyFill="1" applyBorder="1" applyAlignment="1" applyProtection="1">
      <alignment horizontal="center"/>
      <protection/>
    </xf>
    <xf numFmtId="0" fontId="29" fillId="34" borderId="27" xfId="58" applyFont="1" applyFill="1" applyBorder="1" applyAlignment="1" applyProtection="1">
      <alignment horizontal="center"/>
      <protection/>
    </xf>
    <xf numFmtId="0" fontId="72" fillId="43" borderId="27" xfId="58" applyFont="1" applyFill="1" applyBorder="1" applyAlignment="1" applyProtection="1">
      <alignment horizontal="center"/>
      <protection/>
    </xf>
    <xf numFmtId="168" fontId="51" fillId="36" borderId="29" xfId="58" applyNumberFormat="1" applyFont="1" applyFill="1" applyBorder="1" applyAlignment="1" applyProtection="1" quotePrefix="1">
      <alignment horizontal="center"/>
      <protection/>
    </xf>
    <xf numFmtId="168" fontId="51" fillId="36" borderId="56" xfId="58" applyNumberFormat="1" applyFont="1" applyFill="1" applyBorder="1" applyAlignment="1" applyProtection="1" quotePrefix="1">
      <alignment horizontal="center"/>
      <protection/>
    </xf>
    <xf numFmtId="168" fontId="64" fillId="35" borderId="27" xfId="58" applyNumberFormat="1" applyFont="1" applyFill="1" applyBorder="1" applyAlignment="1" applyProtection="1" quotePrefix="1">
      <alignment horizontal="center"/>
      <protection/>
    </xf>
    <xf numFmtId="168" fontId="77" fillId="0" borderId="27" xfId="58" applyNumberFormat="1" applyFont="1" applyFill="1" applyBorder="1" applyAlignment="1">
      <alignment horizontal="center"/>
      <protection/>
    </xf>
    <xf numFmtId="0" fontId="13" fillId="41" borderId="26" xfId="58" applyFont="1" applyFill="1" applyBorder="1" applyAlignment="1">
      <alignment horizontal="center"/>
      <protection/>
    </xf>
    <xf numFmtId="168" fontId="63" fillId="37" borderId="27" xfId="58" applyNumberFormat="1" applyFont="1" applyFill="1" applyBorder="1" applyAlignment="1" applyProtection="1">
      <alignment horizontal="center"/>
      <protection/>
    </xf>
    <xf numFmtId="22" fontId="13" fillId="0" borderId="29" xfId="58" applyNumberFormat="1" applyFont="1" applyBorder="1" applyAlignment="1" applyProtection="1">
      <alignment horizontal="center"/>
      <protection locked="0"/>
    </xf>
    <xf numFmtId="22" fontId="13" fillId="0" borderId="27" xfId="58" applyNumberFormat="1" applyFont="1" applyBorder="1" applyAlignment="1" applyProtection="1">
      <alignment horizontal="center"/>
      <protection locked="0"/>
    </xf>
    <xf numFmtId="2" fontId="13" fillId="0" borderId="27" xfId="58" applyNumberFormat="1" applyFont="1" applyFill="1" applyBorder="1" applyAlignment="1" applyProtection="1" quotePrefix="1">
      <alignment horizontal="center"/>
      <protection/>
    </xf>
    <xf numFmtId="164" fontId="13" fillId="0" borderId="27" xfId="58" applyNumberFormat="1" applyFont="1" applyFill="1" applyBorder="1" applyAlignment="1" applyProtection="1" quotePrefix="1">
      <alignment horizontal="center"/>
      <protection/>
    </xf>
    <xf numFmtId="168" fontId="13" fillId="0" borderId="28" xfId="58" applyNumberFormat="1" applyFont="1" applyBorder="1" applyAlignment="1" applyProtection="1">
      <alignment horizontal="center"/>
      <protection locked="0"/>
    </xf>
    <xf numFmtId="168" fontId="13" fillId="0" borderId="27" xfId="58" applyNumberFormat="1" applyFont="1" applyBorder="1" applyAlignment="1" applyProtection="1">
      <alignment horizontal="center"/>
      <protection/>
    </xf>
    <xf numFmtId="164" fontId="29" fillId="34" borderId="27" xfId="58" applyNumberFormat="1" applyFont="1" applyFill="1" applyBorder="1" applyAlignment="1" applyProtection="1">
      <alignment horizontal="center"/>
      <protection/>
    </xf>
    <xf numFmtId="2" fontId="72" fillId="43" borderId="27" xfId="58" applyNumberFormat="1" applyFont="1" applyFill="1" applyBorder="1" applyAlignment="1" applyProtection="1">
      <alignment horizontal="center"/>
      <protection/>
    </xf>
    <xf numFmtId="4" fontId="77" fillId="0" borderId="27" xfId="58" applyNumberFormat="1" applyFont="1" applyFill="1" applyBorder="1" applyAlignment="1">
      <alignment horizontal="right"/>
      <protection/>
    </xf>
    <xf numFmtId="0" fontId="74" fillId="0" borderId="32" xfId="58" applyFont="1" applyBorder="1" applyAlignment="1" applyProtection="1">
      <alignment horizontal="center"/>
      <protection locked="0"/>
    </xf>
    <xf numFmtId="164" fontId="49" fillId="0" borderId="27" xfId="58" applyNumberFormat="1" applyFont="1" applyBorder="1" applyAlignment="1" applyProtection="1" quotePrefix="1">
      <alignment horizontal="center"/>
      <protection locked="0"/>
    </xf>
    <xf numFmtId="0" fontId="13" fillId="0" borderId="33" xfId="58" applyFont="1" applyFill="1" applyBorder="1" applyAlignment="1">
      <alignment horizontal="center"/>
      <protection/>
    </xf>
    <xf numFmtId="0" fontId="74" fillId="0" borderId="66" xfId="58" applyFont="1" applyBorder="1" applyAlignment="1" applyProtection="1">
      <alignment horizontal="center"/>
      <protection locked="0"/>
    </xf>
    <xf numFmtId="164" fontId="49" fillId="0" borderId="35" xfId="58" applyNumberFormat="1" applyFont="1" applyBorder="1" applyAlignment="1" applyProtection="1">
      <alignment horizontal="center"/>
      <protection locked="0"/>
    </xf>
    <xf numFmtId="168" fontId="63" fillId="37" borderId="35" xfId="58" applyNumberFormat="1" applyFont="1" applyFill="1" applyBorder="1" applyAlignment="1" applyProtection="1">
      <alignment horizontal="center"/>
      <protection/>
    </xf>
    <xf numFmtId="168" fontId="13" fillId="0" borderId="49" xfId="58" applyNumberFormat="1" applyFont="1" applyBorder="1" applyAlignment="1" applyProtection="1">
      <alignment horizontal="center"/>
      <protection locked="0"/>
    </xf>
    <xf numFmtId="168" fontId="13" fillId="0" borderId="49" xfId="58" applyNumberFormat="1" applyFont="1" applyBorder="1" applyAlignment="1" applyProtection="1">
      <alignment horizontal="center"/>
      <protection/>
    </xf>
    <xf numFmtId="168" fontId="13" fillId="0" borderId="35" xfId="58" applyNumberFormat="1" applyFont="1" applyBorder="1" applyAlignment="1" applyProtection="1">
      <alignment horizontal="center"/>
      <protection locked="0"/>
    </xf>
    <xf numFmtId="164" fontId="29" fillId="34" borderId="35" xfId="58" applyNumberFormat="1" applyFont="1" applyFill="1" applyBorder="1" applyAlignment="1" applyProtection="1">
      <alignment horizontal="center"/>
      <protection locked="0"/>
    </xf>
    <xf numFmtId="2" fontId="72" fillId="43" borderId="35" xfId="58" applyNumberFormat="1" applyFont="1" applyFill="1" applyBorder="1" applyAlignment="1" applyProtection="1">
      <alignment horizontal="center"/>
      <protection locked="0"/>
    </xf>
    <xf numFmtId="168" fontId="51" fillId="36" borderId="36" xfId="58" applyNumberFormat="1" applyFont="1" applyFill="1" applyBorder="1" applyAlignment="1" applyProtection="1" quotePrefix="1">
      <alignment horizontal="center"/>
      <protection locked="0"/>
    </xf>
    <xf numFmtId="168" fontId="51" fillId="36" borderId="38" xfId="58" applyNumberFormat="1" applyFont="1" applyFill="1" applyBorder="1" applyAlignment="1" applyProtection="1" quotePrefix="1">
      <alignment horizontal="center"/>
      <protection locked="0"/>
    </xf>
    <xf numFmtId="168" fontId="64" fillId="35" borderId="35" xfId="58" applyNumberFormat="1" applyFont="1" applyFill="1" applyBorder="1" applyAlignment="1" applyProtection="1" quotePrefix="1">
      <alignment horizontal="center"/>
      <protection locked="0"/>
    </xf>
    <xf numFmtId="7" fontId="65" fillId="0" borderId="39" xfId="58" applyNumberFormat="1" applyFont="1" applyFill="1" applyBorder="1" applyAlignment="1">
      <alignment horizontal="right"/>
      <protection/>
    </xf>
    <xf numFmtId="0" fontId="89" fillId="0" borderId="40" xfId="58" applyFont="1" applyBorder="1" applyAlignment="1">
      <alignment horizontal="center"/>
      <protection/>
    </xf>
    <xf numFmtId="0" fontId="91" fillId="0" borderId="0" xfId="58" applyFont="1" applyBorder="1" applyAlignment="1" applyProtection="1">
      <alignment horizontal="left"/>
      <protection/>
    </xf>
    <xf numFmtId="0" fontId="57" fillId="0" borderId="40" xfId="58" applyFont="1" applyBorder="1" applyAlignment="1">
      <alignment horizontal="center"/>
      <protection/>
    </xf>
    <xf numFmtId="0" fontId="58" fillId="0" borderId="0" xfId="58" applyFont="1" applyBorder="1" applyAlignment="1" applyProtection="1">
      <alignment horizontal="left"/>
      <protection/>
    </xf>
    <xf numFmtId="0" fontId="3" fillId="0" borderId="0" xfId="58">
      <alignment/>
      <protection/>
    </xf>
    <xf numFmtId="4" fontId="72" fillId="43" borderId="20" xfId="58" applyNumberFormat="1" applyFont="1" applyFill="1" applyBorder="1" applyAlignment="1">
      <alignment horizontal="center"/>
      <protection/>
    </xf>
    <xf numFmtId="4" fontId="51" fillId="36" borderId="53" xfId="58" applyNumberFormat="1" applyFont="1" applyFill="1" applyBorder="1" applyAlignment="1">
      <alignment horizontal="center"/>
      <protection/>
    </xf>
    <xf numFmtId="4" fontId="51" fillId="36" borderId="54" xfId="58" applyNumberFormat="1" applyFont="1" applyFill="1" applyBorder="1" applyAlignment="1">
      <alignment horizontal="center"/>
      <protection/>
    </xf>
    <xf numFmtId="4" fontId="64" fillId="35" borderId="20" xfId="58" applyNumberFormat="1" applyFont="1" applyFill="1" applyBorder="1" applyAlignment="1">
      <alignment horizontal="center"/>
      <protection/>
    </xf>
    <xf numFmtId="4" fontId="19" fillId="0" borderId="0" xfId="58" applyNumberFormat="1" applyFont="1" applyFill="1" applyBorder="1" applyAlignment="1">
      <alignment horizontal="center"/>
      <protection/>
    </xf>
    <xf numFmtId="7" fontId="4" fillId="0" borderId="20" xfId="58" applyNumberFormat="1" applyFont="1" applyFill="1" applyBorder="1" applyAlignment="1">
      <alignment horizontal="right"/>
      <protection/>
    </xf>
    <xf numFmtId="0" fontId="13" fillId="0" borderId="17" xfId="58" applyFont="1" applyBorder="1">
      <alignment/>
      <protection/>
    </xf>
    <xf numFmtId="0" fontId="13" fillId="0" borderId="18" xfId="58" applyFont="1" applyBorder="1">
      <alignment/>
      <protection/>
    </xf>
    <xf numFmtId="0" fontId="13" fillId="0" borderId="19" xfId="58" applyFont="1" applyBorder="1">
      <alignment/>
      <protection/>
    </xf>
    <xf numFmtId="0" fontId="0" fillId="0" borderId="0" xfId="58" applyFont="1">
      <alignment/>
      <protection/>
    </xf>
    <xf numFmtId="0" fontId="89" fillId="0" borderId="40" xfId="59" applyFont="1" applyBorder="1" applyAlignment="1">
      <alignment horizontal="center"/>
      <protection/>
    </xf>
    <xf numFmtId="0" fontId="89" fillId="0" borderId="0" xfId="59" applyFont="1" applyBorder="1" applyAlignment="1">
      <alignment horizontal="left"/>
      <protection/>
    </xf>
    <xf numFmtId="0" fontId="74" fillId="0" borderId="66" xfId="63" applyFont="1" applyBorder="1" applyAlignment="1" applyProtection="1">
      <alignment horizontal="center"/>
      <protection locked="0"/>
    </xf>
    <xf numFmtId="0" fontId="89" fillId="0" borderId="40" xfId="63" applyFont="1" applyBorder="1" applyAlignment="1">
      <alignment horizontal="left"/>
      <protection/>
    </xf>
    <xf numFmtId="170" fontId="13" fillId="0" borderId="27" xfId="63" applyNumberFormat="1" applyFont="1" applyFill="1" applyBorder="1">
      <alignment/>
      <protection/>
    </xf>
    <xf numFmtId="0" fontId="13" fillId="0" borderId="27" xfId="63" applyFont="1" applyFill="1" applyBorder="1">
      <alignment/>
      <protection/>
    </xf>
    <xf numFmtId="0" fontId="41" fillId="0" borderId="27" xfId="63" applyFont="1" applyFill="1" applyBorder="1">
      <alignment/>
      <protection/>
    </xf>
    <xf numFmtId="0" fontId="42" fillId="0" borderId="27" xfId="63" applyFont="1" applyFill="1" applyBorder="1">
      <alignment/>
      <protection/>
    </xf>
    <xf numFmtId="22" fontId="13" fillId="0" borderId="28" xfId="63" applyNumberFormat="1" applyFont="1" applyFill="1" applyBorder="1">
      <alignment/>
      <protection/>
    </xf>
    <xf numFmtId="22" fontId="13" fillId="0" borderId="60" xfId="63" applyNumberFormat="1" applyFont="1" applyFill="1" applyBorder="1">
      <alignment/>
      <protection/>
    </xf>
    <xf numFmtId="0" fontId="13" fillId="0" borderId="28" xfId="63" applyFont="1" applyFill="1" applyBorder="1">
      <alignment/>
      <protection/>
    </xf>
    <xf numFmtId="0" fontId="43" fillId="0" borderId="27" xfId="63" applyFont="1" applyFill="1" applyBorder="1">
      <alignment/>
      <protection/>
    </xf>
    <xf numFmtId="0" fontId="44" fillId="0" borderId="28" xfId="63" applyFont="1" applyFill="1" applyBorder="1">
      <alignment/>
      <protection/>
    </xf>
    <xf numFmtId="0" fontId="13" fillId="0" borderId="29" xfId="63" applyFont="1" applyFill="1" applyBorder="1">
      <alignment/>
      <protection/>
    </xf>
    <xf numFmtId="0" fontId="13" fillId="0" borderId="30" xfId="63" applyFont="1" applyFill="1" applyBorder="1">
      <alignment/>
      <protection/>
    </xf>
    <xf numFmtId="0" fontId="45" fillId="0" borderId="29" xfId="63" applyFont="1" applyFill="1" applyBorder="1">
      <alignment/>
      <protection/>
    </xf>
    <xf numFmtId="0" fontId="45" fillId="0" borderId="30" xfId="63" applyFont="1" applyFill="1" applyBorder="1">
      <alignment/>
      <protection/>
    </xf>
    <xf numFmtId="0" fontId="45" fillId="0" borderId="28" xfId="63" applyFont="1" applyFill="1" applyBorder="1">
      <alignment/>
      <protection/>
    </xf>
    <xf numFmtId="0" fontId="46" fillId="0" borderId="27" xfId="63" applyFont="1" applyFill="1" applyBorder="1">
      <alignment/>
      <protection/>
    </xf>
    <xf numFmtId="0" fontId="47" fillId="0" borderId="27" xfId="63" applyFont="1" applyFill="1" applyBorder="1">
      <alignment/>
      <protection/>
    </xf>
    <xf numFmtId="7" fontId="48" fillId="0" borderId="28" xfId="63" applyNumberFormat="1" applyFont="1" applyBorder="1" applyAlignment="1">
      <alignment/>
      <protection/>
    </xf>
    <xf numFmtId="7" fontId="23" fillId="0" borderId="0" xfId="63" applyNumberFormat="1" applyFont="1" applyBorder="1">
      <alignment/>
      <protection/>
    </xf>
    <xf numFmtId="0" fontId="13" fillId="0" borderId="48" xfId="63" applyNumberFormat="1" applyFont="1" applyBorder="1" applyAlignment="1" applyProtection="1">
      <alignment horizontal="center"/>
      <protection locked="0"/>
    </xf>
    <xf numFmtId="0" fontId="13" fillId="0" borderId="0" xfId="59" applyFont="1">
      <alignment/>
      <protection/>
    </xf>
    <xf numFmtId="0" fontId="92" fillId="0" borderId="0" xfId="59" applyFont="1" applyAlignment="1">
      <alignment horizontal="right" vertical="top"/>
      <protection/>
    </xf>
    <xf numFmtId="0" fontId="13" fillId="0" borderId="0" xfId="59" applyFont="1" applyAlignment="1">
      <alignment/>
      <protection/>
    </xf>
    <xf numFmtId="0" fontId="8" fillId="0" borderId="0" xfId="59" applyFont="1">
      <alignment/>
      <protection/>
    </xf>
    <xf numFmtId="0" fontId="9" fillId="0" borderId="0" xfId="59" applyFont="1" applyAlignment="1">
      <alignment horizontal="centerContinuous"/>
      <protection/>
    </xf>
    <xf numFmtId="0" fontId="8" fillId="0" borderId="0" xfId="59" applyFont="1" applyAlignment="1">
      <alignment/>
      <protection/>
    </xf>
    <xf numFmtId="0" fontId="6" fillId="0" borderId="0" xfId="59" applyFont="1" applyFill="1" applyBorder="1" applyAlignment="1" applyProtection="1">
      <alignment horizontal="centerContinuous"/>
      <protection/>
    </xf>
    <xf numFmtId="0" fontId="14" fillId="0" borderId="0" xfId="59" applyFont="1" applyAlignment="1">
      <alignment horizontal="centerContinuous"/>
      <protection/>
    </xf>
    <xf numFmtId="0" fontId="14" fillId="0" borderId="0" xfId="59" applyFont="1">
      <alignment/>
      <protection/>
    </xf>
    <xf numFmtId="0" fontId="14" fillId="0" borderId="0" xfId="59" applyFont="1" applyAlignment="1">
      <alignment/>
      <protection/>
    </xf>
    <xf numFmtId="0" fontId="13" fillId="0" borderId="0" xfId="59" applyFont="1" applyAlignment="1">
      <alignment horizontal="centerContinuous"/>
      <protection/>
    </xf>
    <xf numFmtId="0" fontId="93" fillId="0" borderId="0" xfId="59" applyFont="1">
      <alignment/>
      <protection/>
    </xf>
    <xf numFmtId="0" fontId="93" fillId="0" borderId="0" xfId="59" applyFont="1" applyAlignment="1">
      <alignment horizontal="centerContinuous"/>
      <protection/>
    </xf>
    <xf numFmtId="0" fontId="94" fillId="0" borderId="0" xfId="59" applyFont="1" applyAlignment="1">
      <alignment horizontal="centerContinuous"/>
      <protection/>
    </xf>
    <xf numFmtId="0" fontId="93" fillId="0" borderId="0" xfId="59" applyFont="1" applyAlignment="1">
      <alignment/>
      <protection/>
    </xf>
    <xf numFmtId="0" fontId="21" fillId="0" borderId="0" xfId="59" applyFont="1">
      <alignment/>
      <protection/>
    </xf>
    <xf numFmtId="0" fontId="21" fillId="0" borderId="0" xfId="59" applyFont="1" applyAlignment="1">
      <alignment horizontal="centerContinuous"/>
      <protection/>
    </xf>
    <xf numFmtId="0" fontId="21" fillId="0" borderId="0" xfId="59" applyFont="1" applyAlignment="1">
      <alignment/>
      <protection/>
    </xf>
    <xf numFmtId="0" fontId="94" fillId="0" borderId="0" xfId="59" applyFont="1">
      <alignment/>
      <protection/>
    </xf>
    <xf numFmtId="0" fontId="94" fillId="0" borderId="0" xfId="59" applyFont="1" applyAlignment="1">
      <alignment/>
      <protection/>
    </xf>
    <xf numFmtId="0" fontId="21" fillId="0" borderId="10" xfId="59" applyFont="1" applyBorder="1" applyAlignment="1">
      <alignment horizontal="centerContinuous"/>
      <protection/>
    </xf>
    <xf numFmtId="0" fontId="21" fillId="0" borderId="11" xfId="59" applyFont="1" applyBorder="1" applyAlignment="1">
      <alignment horizontal="centerContinuous"/>
      <protection/>
    </xf>
    <xf numFmtId="0" fontId="21" fillId="0" borderId="12" xfId="59" applyFont="1" applyBorder="1" applyAlignment="1">
      <alignment horizontal="centerContinuous"/>
      <protection/>
    </xf>
    <xf numFmtId="0" fontId="24" fillId="0" borderId="13" xfId="59" applyFont="1" applyBorder="1" applyAlignment="1">
      <alignment horizontal="centerContinuous"/>
      <protection/>
    </xf>
    <xf numFmtId="0" fontId="21" fillId="0" borderId="0" xfId="59" applyFont="1" applyBorder="1" applyAlignment="1">
      <alignment horizontal="centerContinuous"/>
      <protection/>
    </xf>
    <xf numFmtId="0" fontId="21" fillId="0" borderId="14" xfId="59" applyFont="1" applyBorder="1" applyAlignment="1">
      <alignment/>
      <protection/>
    </xf>
    <xf numFmtId="0" fontId="21" fillId="0" borderId="13" xfId="59" applyFont="1" applyBorder="1">
      <alignment/>
      <protection/>
    </xf>
    <xf numFmtId="0" fontId="21" fillId="0" borderId="0" xfId="59" applyFont="1" applyBorder="1">
      <alignment/>
      <protection/>
    </xf>
    <xf numFmtId="0" fontId="21" fillId="0" borderId="14" xfId="59" applyFont="1" applyBorder="1">
      <alignment/>
      <protection/>
    </xf>
    <xf numFmtId="0" fontId="30" fillId="0" borderId="0" xfId="59" applyFont="1" applyAlignment="1">
      <alignment horizontal="center" vertical="center"/>
      <protection/>
    </xf>
    <xf numFmtId="0" fontId="30" fillId="0" borderId="13" xfId="59" applyFont="1" applyBorder="1" applyAlignment="1">
      <alignment horizontal="center" vertical="center"/>
      <protection/>
    </xf>
    <xf numFmtId="0" fontId="30" fillId="0" borderId="20" xfId="59" applyFont="1" applyBorder="1" applyAlignment="1">
      <alignment horizontal="center" vertical="center"/>
      <protection/>
    </xf>
    <xf numFmtId="0" fontId="30" fillId="0" borderId="20" xfId="59" applyFont="1" applyBorder="1" applyAlignment="1">
      <alignment horizontal="center" vertical="center" wrapText="1"/>
      <protection/>
    </xf>
    <xf numFmtId="17" fontId="30" fillId="0" borderId="20" xfId="59" applyNumberFormat="1" applyFont="1" applyBorder="1" applyAlignment="1">
      <alignment horizontal="center" vertical="center"/>
      <protection/>
    </xf>
    <xf numFmtId="0" fontId="30" fillId="0" borderId="14" xfId="59" applyFont="1" applyBorder="1" applyAlignment="1">
      <alignment horizontal="center" vertical="center"/>
      <protection/>
    </xf>
    <xf numFmtId="0" fontId="95" fillId="0" borderId="0" xfId="59" applyFont="1" applyAlignment="1">
      <alignment vertical="center"/>
      <protection/>
    </xf>
    <xf numFmtId="0" fontId="95" fillId="0" borderId="13" xfId="59" applyFont="1" applyBorder="1" applyAlignment="1">
      <alignment vertical="center"/>
      <protection/>
    </xf>
    <xf numFmtId="0" fontId="95" fillId="0" borderId="32" xfId="59" applyFont="1" applyBorder="1" applyAlignment="1">
      <alignment vertical="center"/>
      <protection/>
    </xf>
    <xf numFmtId="0" fontId="95" fillId="0" borderId="27" xfId="59" applyFont="1" applyBorder="1" applyAlignment="1">
      <alignment vertical="center"/>
      <protection/>
    </xf>
    <xf numFmtId="0" fontId="95" fillId="0" borderId="27" xfId="59" applyFont="1" applyFill="1" applyBorder="1" applyAlignment="1">
      <alignment vertical="center"/>
      <protection/>
    </xf>
    <xf numFmtId="0" fontId="95" fillId="0" borderId="42" xfId="59" applyFont="1" applyBorder="1" applyAlignment="1">
      <alignment vertical="center"/>
      <protection/>
    </xf>
    <xf numFmtId="0" fontId="95" fillId="0" borderId="14" xfId="59" applyFont="1" applyBorder="1" applyAlignment="1">
      <alignment vertical="center"/>
      <protection/>
    </xf>
    <xf numFmtId="0" fontId="95" fillId="1" borderId="29" xfId="59" applyFont="1" applyFill="1" applyBorder="1" applyAlignment="1">
      <alignment horizontal="center" vertical="center"/>
      <protection/>
    </xf>
    <xf numFmtId="0" fontId="95" fillId="48" borderId="26" xfId="59" applyFont="1" applyFill="1" applyBorder="1" applyAlignment="1">
      <alignment horizontal="center" vertical="center"/>
      <protection/>
    </xf>
    <xf numFmtId="0" fontId="95" fillId="0" borderId="34" xfId="59" applyFont="1" applyBorder="1" applyAlignment="1">
      <alignment vertical="center"/>
      <protection/>
    </xf>
    <xf numFmtId="0" fontId="95" fillId="0" borderId="50" xfId="59" applyFont="1" applyFill="1" applyBorder="1" applyAlignment="1">
      <alignment horizontal="center" vertical="center"/>
      <protection/>
    </xf>
    <xf numFmtId="0" fontId="95" fillId="0" borderId="33" xfId="59" applyFont="1" applyFill="1" applyBorder="1" applyAlignment="1">
      <alignment horizontal="center" vertical="center"/>
      <protection/>
    </xf>
    <xf numFmtId="0" fontId="95" fillId="1" borderId="33" xfId="59" applyFont="1" applyFill="1" applyBorder="1" applyAlignment="1">
      <alignment horizontal="center" vertical="center"/>
      <protection/>
    </xf>
    <xf numFmtId="0" fontId="95" fillId="0" borderId="26" xfId="59" applyFont="1" applyFill="1" applyBorder="1" applyAlignment="1">
      <alignment horizontal="center" vertical="center"/>
      <protection/>
    </xf>
    <xf numFmtId="0" fontId="95" fillId="0" borderId="0" xfId="59" applyFont="1" applyFill="1" applyBorder="1" applyAlignment="1">
      <alignment horizontal="center" vertical="center"/>
      <protection/>
    </xf>
    <xf numFmtId="0" fontId="95" fillId="0" borderId="0" xfId="59" applyFont="1" applyFill="1" applyBorder="1" applyAlignment="1">
      <alignment vertical="center"/>
      <protection/>
    </xf>
    <xf numFmtId="0" fontId="96" fillId="0" borderId="0" xfId="59" applyFont="1" applyFill="1" applyBorder="1" applyAlignment="1">
      <alignment horizontal="right" vertical="center"/>
      <protection/>
    </xf>
    <xf numFmtId="0" fontId="95" fillId="0" borderId="15" xfId="59" applyFont="1" applyFill="1" applyBorder="1" applyAlignment="1">
      <alignment horizontal="center" vertical="center"/>
      <protection/>
    </xf>
    <xf numFmtId="0" fontId="95" fillId="0" borderId="21" xfId="59" applyFont="1" applyFill="1" applyBorder="1" applyAlignment="1">
      <alignment horizontal="center" vertical="center"/>
      <protection/>
    </xf>
    <xf numFmtId="0" fontId="95" fillId="0" borderId="0" xfId="59" applyFont="1" applyBorder="1" applyAlignment="1">
      <alignment horizontal="center" vertical="center"/>
      <protection/>
    </xf>
    <xf numFmtId="0" fontId="95" fillId="0" borderId="0" xfId="59" applyFont="1" applyBorder="1" applyAlignment="1">
      <alignment vertical="center"/>
      <protection/>
    </xf>
    <xf numFmtId="0" fontId="95" fillId="0" borderId="0" xfId="59" applyFont="1" applyBorder="1" applyAlignment="1">
      <alignment horizontal="right" vertical="center"/>
      <protection/>
    </xf>
    <xf numFmtId="0" fontId="96" fillId="0" borderId="0" xfId="59" applyFont="1" applyBorder="1" applyAlignment="1">
      <alignment horizontal="right" vertical="center"/>
      <protection/>
    </xf>
    <xf numFmtId="0" fontId="95" fillId="0" borderId="20" xfId="59" applyFont="1" applyBorder="1" applyAlignment="1">
      <alignment horizontal="center" vertical="center"/>
      <protection/>
    </xf>
    <xf numFmtId="0" fontId="95" fillId="0" borderId="35" xfId="59" applyFont="1" applyBorder="1" applyAlignment="1">
      <alignment vertical="center"/>
      <protection/>
    </xf>
    <xf numFmtId="2" fontId="96" fillId="48" borderId="20" xfId="59" applyNumberFormat="1" applyFont="1" applyFill="1" applyBorder="1" applyAlignment="1">
      <alignment horizontal="center" vertical="center"/>
      <protection/>
    </xf>
    <xf numFmtId="0" fontId="3" fillId="0" borderId="0" xfId="59">
      <alignment/>
      <protection/>
    </xf>
    <xf numFmtId="0" fontId="13" fillId="0" borderId="0" xfId="60" applyFont="1" applyBorder="1" applyAlignment="1">
      <alignment horizontal="left" vertical="center"/>
      <protection/>
    </xf>
    <xf numFmtId="0" fontId="13" fillId="0" borderId="0" xfId="59" applyFont="1" applyBorder="1" applyAlignment="1">
      <alignment horizontal="right" vertical="center"/>
      <protection/>
    </xf>
    <xf numFmtId="0" fontId="5" fillId="0" borderId="0" xfId="59" applyFont="1" applyBorder="1" applyAlignment="1">
      <alignment horizontal="right" vertical="center"/>
      <protection/>
    </xf>
    <xf numFmtId="2" fontId="5" fillId="0" borderId="0" xfId="59" applyNumberFormat="1" applyFont="1" applyFill="1" applyBorder="1" applyAlignment="1">
      <alignment horizontal="center" vertical="center"/>
      <protection/>
    </xf>
    <xf numFmtId="0" fontId="13" fillId="0" borderId="0" xfId="59" applyFont="1" applyFill="1" applyBorder="1">
      <alignment/>
      <protection/>
    </xf>
    <xf numFmtId="0" fontId="13" fillId="0" borderId="0" xfId="59" applyFont="1" applyBorder="1">
      <alignment/>
      <protection/>
    </xf>
    <xf numFmtId="0" fontId="13" fillId="0" borderId="0" xfId="59" applyFont="1" applyBorder="1" applyAlignment="1">
      <alignment horizontal="center"/>
      <protection/>
    </xf>
    <xf numFmtId="0" fontId="13" fillId="0" borderId="15" xfId="59" applyFont="1" applyBorder="1">
      <alignment/>
      <protection/>
    </xf>
    <xf numFmtId="0" fontId="13" fillId="0" borderId="21" xfId="59" applyFont="1" applyBorder="1" applyAlignment="1">
      <alignment horizontal="center"/>
      <protection/>
    </xf>
    <xf numFmtId="2" fontId="10" fillId="0" borderId="21" xfId="59" applyNumberFormat="1" applyFont="1" applyBorder="1" applyAlignment="1">
      <alignment horizontal="center"/>
      <protection/>
    </xf>
    <xf numFmtId="0" fontId="21" fillId="0" borderId="21" xfId="59" applyFont="1" applyBorder="1">
      <alignment/>
      <protection/>
    </xf>
    <xf numFmtId="0" fontId="13" fillId="0" borderId="21" xfId="59" applyFont="1" applyBorder="1">
      <alignment/>
      <protection/>
    </xf>
    <xf numFmtId="0" fontId="3" fillId="0" borderId="16" xfId="59" applyBorder="1">
      <alignment/>
      <protection/>
    </xf>
    <xf numFmtId="0" fontId="13" fillId="0" borderId="13" xfId="59" applyFont="1" applyBorder="1" applyAlignment="1">
      <alignment vertical="center"/>
      <protection/>
    </xf>
    <xf numFmtId="0" fontId="13" fillId="0" borderId="14" xfId="59" applyFont="1" applyBorder="1" applyAlignment="1">
      <alignment vertical="center"/>
      <protection/>
    </xf>
    <xf numFmtId="0" fontId="13" fillId="0" borderId="0" xfId="59" applyFont="1" applyAlignment="1">
      <alignment vertical="center"/>
      <protection/>
    </xf>
    <xf numFmtId="0" fontId="21" fillId="0" borderId="17" xfId="59" applyFont="1" applyBorder="1">
      <alignment/>
      <protection/>
    </xf>
    <xf numFmtId="0" fontId="21" fillId="0" borderId="18" xfId="59" applyFont="1" applyBorder="1" applyAlignment="1">
      <alignment horizontal="center"/>
      <protection/>
    </xf>
    <xf numFmtId="0" fontId="21" fillId="0" borderId="18" xfId="59" applyFont="1" applyBorder="1">
      <alignment/>
      <protection/>
    </xf>
    <xf numFmtId="0" fontId="21" fillId="0" borderId="19" xfId="59" applyFont="1" applyBorder="1">
      <alignment/>
      <protection/>
    </xf>
    <xf numFmtId="0" fontId="13" fillId="0" borderId="0" xfId="59" applyFont="1" applyAlignment="1">
      <alignment horizontal="center"/>
      <protection/>
    </xf>
    <xf numFmtId="2" fontId="13" fillId="0" borderId="0" xfId="59" applyNumberFormat="1" applyFont="1" applyBorder="1" applyAlignment="1">
      <alignment horizontal="center"/>
      <protection/>
    </xf>
    <xf numFmtId="174" fontId="13" fillId="0" borderId="0" xfId="59" applyNumberFormat="1" applyFont="1" applyBorder="1" applyAlignment="1">
      <alignment horizontal="center"/>
      <protection/>
    </xf>
    <xf numFmtId="0" fontId="13" fillId="0" borderId="0" xfId="59" applyFont="1" applyFill="1">
      <alignment/>
      <protection/>
    </xf>
    <xf numFmtId="0" fontId="11" fillId="0" borderId="0" xfId="59" applyFont="1" applyAlignment="1">
      <alignment horizontal="right" vertical="top"/>
      <protection/>
    </xf>
    <xf numFmtId="0" fontId="97" fillId="0" borderId="0" xfId="59" applyFont="1" applyFill="1">
      <alignment/>
      <protection/>
    </xf>
    <xf numFmtId="0" fontId="98" fillId="0" borderId="0" xfId="59" applyFont="1" applyAlignment="1">
      <alignment horizontal="centerContinuous"/>
      <protection/>
    </xf>
    <xf numFmtId="0" fontId="97" fillId="0" borderId="0" xfId="59" applyFont="1" applyAlignment="1">
      <alignment horizontal="centerContinuous"/>
      <protection/>
    </xf>
    <xf numFmtId="0" fontId="97" fillId="0" borderId="0" xfId="59" applyFont="1">
      <alignment/>
      <protection/>
    </xf>
    <xf numFmtId="0" fontId="13" fillId="0" borderId="10" xfId="59" applyFont="1" applyBorder="1">
      <alignment/>
      <protection/>
    </xf>
    <xf numFmtId="0" fontId="13" fillId="0" borderId="11" xfId="59" applyFont="1" applyBorder="1">
      <alignment/>
      <protection/>
    </xf>
    <xf numFmtId="0" fontId="13" fillId="0" borderId="11" xfId="59" applyFont="1" applyBorder="1" applyAlignment="1" applyProtection="1">
      <alignment horizontal="left"/>
      <protection/>
    </xf>
    <xf numFmtId="0" fontId="3" fillId="0" borderId="11" xfId="59" applyBorder="1">
      <alignment/>
      <protection/>
    </xf>
    <xf numFmtId="0" fontId="13" fillId="0" borderId="12" xfId="59" applyFont="1" applyFill="1" applyBorder="1">
      <alignment/>
      <protection/>
    </xf>
    <xf numFmtId="0" fontId="13" fillId="0" borderId="13" xfId="59" applyFont="1" applyBorder="1">
      <alignment/>
      <protection/>
    </xf>
    <xf numFmtId="0" fontId="20" fillId="0" borderId="0" xfId="59" applyFont="1" applyBorder="1" applyAlignment="1">
      <alignment horizontal="left"/>
      <protection/>
    </xf>
    <xf numFmtId="0" fontId="19" fillId="0" borderId="0" xfId="59" applyFont="1" applyBorder="1">
      <alignment/>
      <protection/>
    </xf>
    <xf numFmtId="0" fontId="13" fillId="0" borderId="14" xfId="59" applyFont="1" applyFill="1" applyBorder="1">
      <alignment/>
      <protection/>
    </xf>
    <xf numFmtId="0" fontId="23" fillId="0" borderId="0" xfId="59" applyFont="1">
      <alignment/>
      <protection/>
    </xf>
    <xf numFmtId="0" fontId="23" fillId="0" borderId="13" xfId="59" applyFont="1" applyBorder="1">
      <alignment/>
      <protection/>
    </xf>
    <xf numFmtId="0" fontId="23" fillId="0" borderId="0" xfId="59" applyFont="1" applyBorder="1">
      <alignment/>
      <protection/>
    </xf>
    <xf numFmtId="0" fontId="17" fillId="0" borderId="0" xfId="59" applyFont="1" applyBorder="1">
      <alignment/>
      <protection/>
    </xf>
    <xf numFmtId="0" fontId="23" fillId="0" borderId="14" xfId="59" applyFont="1" applyFill="1" applyBorder="1">
      <alignment/>
      <protection/>
    </xf>
    <xf numFmtId="0" fontId="13" fillId="0" borderId="0" xfId="59" applyFont="1" applyBorder="1" applyProtection="1">
      <alignment/>
      <protection/>
    </xf>
    <xf numFmtId="0" fontId="3" fillId="0" borderId="0" xfId="59" applyNumberFormat="1" applyAlignment="1">
      <alignment horizontal="centerContinuous"/>
      <protection/>
    </xf>
    <xf numFmtId="0" fontId="24" fillId="0" borderId="0" xfId="59" applyFont="1" applyBorder="1" applyAlignment="1">
      <alignment horizontal="centerContinuous"/>
      <protection/>
    </xf>
    <xf numFmtId="0" fontId="23" fillId="0" borderId="0" xfId="59" applyFont="1" applyBorder="1" applyAlignment="1">
      <alignment horizontal="centerContinuous"/>
      <protection/>
    </xf>
    <xf numFmtId="0" fontId="3" fillId="0" borderId="0" xfId="59" applyAlignment="1">
      <alignment horizontal="centerContinuous"/>
      <protection/>
    </xf>
    <xf numFmtId="0" fontId="23" fillId="0" borderId="0" xfId="59" applyFont="1" applyAlignment="1">
      <alignment horizontal="centerContinuous"/>
      <protection/>
    </xf>
    <xf numFmtId="0" fontId="23" fillId="0" borderId="0" xfId="59" applyFont="1" applyAlignment="1">
      <alignment/>
      <protection/>
    </xf>
    <xf numFmtId="0" fontId="23" fillId="0" borderId="14" xfId="59" applyFont="1" applyBorder="1" applyAlignment="1">
      <alignment horizontal="centerContinuous"/>
      <protection/>
    </xf>
    <xf numFmtId="0" fontId="99" fillId="0" borderId="0" xfId="59" applyFont="1" applyBorder="1" applyAlignment="1" quotePrefix="1">
      <alignment horizontal="left"/>
      <protection/>
    </xf>
    <xf numFmtId="168" fontId="48" fillId="0" borderId="0" xfId="59" applyNumberFormat="1" applyFont="1" applyBorder="1" applyAlignment="1" applyProtection="1">
      <alignment horizontal="left"/>
      <protection/>
    </xf>
    <xf numFmtId="0" fontId="3" fillId="0" borderId="0" xfId="59" applyBorder="1">
      <alignment/>
      <protection/>
    </xf>
    <xf numFmtId="0" fontId="10" fillId="0" borderId="0" xfId="59" applyFont="1" applyBorder="1" applyAlignment="1">
      <alignment horizontal="center"/>
      <protection/>
    </xf>
    <xf numFmtId="0" fontId="10" fillId="0" borderId="0" xfId="59" applyFont="1" applyBorder="1">
      <alignment/>
      <protection/>
    </xf>
    <xf numFmtId="0" fontId="21" fillId="0" borderId="0" xfId="59" applyFont="1" applyBorder="1" applyAlignment="1">
      <alignment horizontal="right"/>
      <protection/>
    </xf>
    <xf numFmtId="7" fontId="21" fillId="0" borderId="0" xfId="59" applyNumberFormat="1" applyFont="1" applyBorder="1" applyAlignment="1">
      <alignment horizontal="center"/>
      <protection/>
    </xf>
    <xf numFmtId="0" fontId="21" fillId="0" borderId="0" xfId="59" applyFont="1" applyBorder="1" applyAlignment="1">
      <alignment horizontal="center"/>
      <protection/>
    </xf>
    <xf numFmtId="0" fontId="100" fillId="0" borderId="0" xfId="59" applyFont="1" applyBorder="1" applyAlignment="1" quotePrefix="1">
      <alignment horizontal="left"/>
      <protection/>
    </xf>
    <xf numFmtId="0" fontId="21" fillId="0" borderId="14" xfId="59" applyFont="1" applyFill="1" applyBorder="1">
      <alignment/>
      <protection/>
    </xf>
    <xf numFmtId="0" fontId="21" fillId="0" borderId="0" xfId="59" applyFont="1" applyBorder="1" applyAlignment="1" applyProtection="1">
      <alignment horizontal="left"/>
      <protection/>
    </xf>
    <xf numFmtId="174" fontId="21" fillId="0" borderId="0" xfId="59" applyNumberFormat="1" applyFont="1" applyBorder="1" applyAlignment="1">
      <alignment horizontal="center"/>
      <protection/>
    </xf>
    <xf numFmtId="168" fontId="21" fillId="0" borderId="0" xfId="59" applyNumberFormat="1" applyFont="1" applyBorder="1" applyAlignment="1" applyProtection="1">
      <alignment horizontal="left"/>
      <protection/>
    </xf>
    <xf numFmtId="0" fontId="21" fillId="0" borderId="0" xfId="59" applyFont="1" applyAlignment="1">
      <alignment horizontal="right"/>
      <protection/>
    </xf>
    <xf numFmtId="10" fontId="21" fillId="0" borderId="0" xfId="59" applyNumberFormat="1" applyFont="1" applyBorder="1" applyAlignment="1" applyProtection="1">
      <alignment horizontal="right"/>
      <protection/>
    </xf>
    <xf numFmtId="0" fontId="21" fillId="0" borderId="0" xfId="59" applyFont="1" applyBorder="1" applyAlignment="1">
      <alignment horizontal="left"/>
      <protection/>
    </xf>
    <xf numFmtId="174" fontId="21" fillId="0" borderId="0" xfId="59" applyNumberFormat="1" applyFont="1" applyBorder="1" applyAlignment="1" applyProtection="1">
      <alignment horizontal="center"/>
      <protection/>
    </xf>
    <xf numFmtId="7" fontId="21" fillId="0" borderId="0" xfId="59" applyNumberFormat="1" applyFont="1" applyBorder="1" applyAlignment="1">
      <alignment horizontal="centerContinuous"/>
      <protection/>
    </xf>
    <xf numFmtId="0" fontId="3" fillId="0" borderId="0" xfId="59" applyFont="1" applyBorder="1" applyAlignment="1" applyProtection="1">
      <alignment horizontal="center"/>
      <protection/>
    </xf>
    <xf numFmtId="174" fontId="3" fillId="0" borderId="0" xfId="59" applyNumberFormat="1" applyFont="1" applyBorder="1" applyAlignment="1">
      <alignment horizontal="centerContinuous"/>
      <protection/>
    </xf>
    <xf numFmtId="1" fontId="48" fillId="0" borderId="0" xfId="59" applyNumberFormat="1" applyFont="1" applyBorder="1" applyAlignment="1" applyProtection="1">
      <alignment horizontal="center"/>
      <protection/>
    </xf>
    <xf numFmtId="0" fontId="21" fillId="0" borderId="0" xfId="59" applyFont="1" applyBorder="1" applyAlignment="1" applyProtection="1">
      <alignment horizontal="center"/>
      <protection/>
    </xf>
    <xf numFmtId="0" fontId="22" fillId="0" borderId="0" xfId="59" applyFont="1" applyBorder="1">
      <alignment/>
      <protection/>
    </xf>
    <xf numFmtId="168" fontId="10" fillId="0" borderId="15" xfId="59" applyNumberFormat="1" applyFont="1" applyBorder="1" applyAlignment="1" applyProtection="1">
      <alignment horizontal="center"/>
      <protection/>
    </xf>
    <xf numFmtId="183" fontId="10" fillId="0" borderId="16" xfId="59" applyNumberFormat="1" applyFont="1" applyBorder="1" applyAlignment="1" applyProtection="1">
      <alignment horizontal="centerContinuous"/>
      <protection/>
    </xf>
    <xf numFmtId="0" fontId="13" fillId="0" borderId="0" xfId="59" applyFont="1" applyBorder="1" applyAlignment="1" applyProtection="1">
      <alignment horizontal="center"/>
      <protection/>
    </xf>
    <xf numFmtId="0" fontId="30" fillId="0" borderId="20" xfId="57" applyFont="1" applyBorder="1" applyAlignment="1">
      <alignment horizontal="center" vertical="center"/>
      <protection/>
    </xf>
    <xf numFmtId="164" fontId="30" fillId="0" borderId="16" xfId="59" applyNumberFormat="1" applyFont="1" applyBorder="1" applyAlignment="1" applyProtection="1">
      <alignment horizontal="center" vertical="center" wrapText="1"/>
      <protection/>
    </xf>
    <xf numFmtId="0" fontId="30" fillId="0" borderId="21" xfId="59" applyFont="1" applyBorder="1" applyAlignment="1" applyProtection="1">
      <alignment horizontal="center" vertical="center" wrapText="1"/>
      <protection/>
    </xf>
    <xf numFmtId="168" fontId="30" fillId="0" borderId="20" xfId="59" applyNumberFormat="1" applyFont="1" applyBorder="1" applyAlignment="1" applyProtection="1">
      <alignment horizontal="center" vertical="center"/>
      <protection/>
    </xf>
    <xf numFmtId="168" fontId="60" fillId="37" borderId="20" xfId="59" applyNumberFormat="1" applyFont="1" applyFill="1" applyBorder="1" applyAlignment="1" applyProtection="1">
      <alignment horizontal="center" vertical="center"/>
      <protection/>
    </xf>
    <xf numFmtId="0" fontId="62" fillId="34" borderId="20" xfId="59" applyFont="1" applyFill="1" applyBorder="1" applyAlignment="1" applyProtection="1">
      <alignment horizontal="center" vertical="center"/>
      <protection/>
    </xf>
    <xf numFmtId="0" fontId="30" fillId="0" borderId="20" xfId="59" applyFont="1" applyBorder="1" applyAlignment="1" applyProtection="1">
      <alignment horizontal="center" vertical="center"/>
      <protection/>
    </xf>
    <xf numFmtId="0" fontId="30" fillId="0" borderId="15" xfId="59" applyFont="1" applyBorder="1" applyAlignment="1" applyProtection="1">
      <alignment horizontal="center" vertical="center"/>
      <protection/>
    </xf>
    <xf numFmtId="0" fontId="30" fillId="0" borderId="15" xfId="59" applyFont="1" applyBorder="1" applyAlignment="1" applyProtection="1">
      <alignment horizontal="center" vertical="center" wrapText="1"/>
      <protection/>
    </xf>
    <xf numFmtId="0" fontId="30" fillId="0" borderId="20" xfId="59" applyFont="1" applyBorder="1" applyAlignment="1" applyProtection="1">
      <alignment horizontal="center" vertical="center" wrapText="1"/>
      <protection/>
    </xf>
    <xf numFmtId="0" fontId="62" fillId="42" borderId="20" xfId="59" applyFont="1" applyFill="1" applyBorder="1" applyAlignment="1">
      <alignment horizontal="center" vertical="center" wrapText="1"/>
      <protection/>
    </xf>
    <xf numFmtId="0" fontId="61" fillId="49" borderId="20" xfId="59" applyFont="1" applyFill="1" applyBorder="1" applyAlignment="1">
      <alignment horizontal="center" vertical="center" wrapText="1"/>
      <protection/>
    </xf>
    <xf numFmtId="0" fontId="101" fillId="35" borderId="15" xfId="59" applyFont="1" applyFill="1" applyBorder="1" applyAlignment="1" applyProtection="1">
      <alignment horizontal="centerContinuous" vertical="center" wrapText="1"/>
      <protection/>
    </xf>
    <xf numFmtId="0" fontId="102" fillId="35" borderId="21" xfId="59" applyFont="1" applyFill="1" applyBorder="1" applyAlignment="1">
      <alignment horizontal="centerContinuous"/>
      <protection/>
    </xf>
    <xf numFmtId="0" fontId="101" fillId="35" borderId="16" xfId="59" applyFont="1" applyFill="1" applyBorder="1" applyAlignment="1">
      <alignment horizontal="centerContinuous" vertical="center"/>
      <protection/>
    </xf>
    <xf numFmtId="0" fontId="62" fillId="50" borderId="15" xfId="59" applyFont="1" applyFill="1" applyBorder="1" applyAlignment="1">
      <alignment horizontal="centerContinuous" vertical="center" wrapText="1"/>
      <protection/>
    </xf>
    <xf numFmtId="0" fontId="103" fillId="50" borderId="21" xfId="59" applyFont="1" applyFill="1" applyBorder="1" applyAlignment="1">
      <alignment horizontal="centerContinuous"/>
      <protection/>
    </xf>
    <xf numFmtId="0" fontId="62" fillId="50" borderId="16" xfId="59" applyFont="1" applyFill="1" applyBorder="1" applyAlignment="1">
      <alignment horizontal="centerContinuous" vertical="center"/>
      <protection/>
    </xf>
    <xf numFmtId="0" fontId="62" fillId="39" borderId="20" xfId="59" applyFont="1" applyFill="1" applyBorder="1" applyAlignment="1">
      <alignment horizontal="centerContinuous" vertical="center" wrapText="1"/>
      <protection/>
    </xf>
    <xf numFmtId="0" fontId="62" fillId="51" borderId="20" xfId="59" applyFont="1" applyFill="1" applyBorder="1" applyAlignment="1">
      <alignment horizontal="centerContinuous" vertical="center" wrapText="1"/>
      <protection/>
    </xf>
    <xf numFmtId="0" fontId="30" fillId="0" borderId="16" xfId="59" applyFont="1" applyBorder="1" applyAlignment="1">
      <alignment horizontal="center" vertical="center" wrapText="1"/>
      <protection/>
    </xf>
    <xf numFmtId="0" fontId="30" fillId="0" borderId="20" xfId="59" applyFont="1" applyFill="1" applyBorder="1" applyAlignment="1">
      <alignment horizontal="center" vertical="center" wrapText="1"/>
      <protection/>
    </xf>
    <xf numFmtId="0" fontId="13" fillId="0" borderId="14" xfId="59" applyFont="1" applyFill="1" applyBorder="1" applyAlignment="1">
      <alignment horizontal="center"/>
      <protection/>
    </xf>
    <xf numFmtId="0" fontId="13" fillId="0" borderId="27" xfId="59" applyFont="1" applyBorder="1" applyAlignment="1">
      <alignment horizontal="center"/>
      <protection/>
    </xf>
    <xf numFmtId="0" fontId="21" fillId="0" borderId="27" xfId="59" applyFont="1" applyBorder="1">
      <alignment/>
      <protection/>
    </xf>
    <xf numFmtId="164" fontId="21" fillId="0" borderId="28" xfId="59" applyNumberFormat="1" applyFont="1" applyBorder="1" applyProtection="1">
      <alignment/>
      <protection/>
    </xf>
    <xf numFmtId="164" fontId="21" fillId="0" borderId="27" xfId="59" applyNumberFormat="1" applyFont="1" applyBorder="1" applyAlignment="1" applyProtection="1">
      <alignment horizontal="center"/>
      <protection/>
    </xf>
    <xf numFmtId="164" fontId="21" fillId="0" borderId="22" xfId="59" applyNumberFormat="1" applyFont="1" applyBorder="1" applyAlignment="1" applyProtection="1">
      <alignment horizontal="center"/>
      <protection/>
    </xf>
    <xf numFmtId="164" fontId="104" fillId="37" borderId="22" xfId="59" applyNumberFormat="1" applyFont="1" applyFill="1" applyBorder="1" applyAlignment="1" applyProtection="1">
      <alignment horizontal="center"/>
      <protection/>
    </xf>
    <xf numFmtId="0" fontId="105" fillId="34" borderId="22" xfId="59" applyFont="1" applyFill="1" applyBorder="1" applyAlignment="1">
      <alignment horizontal="center"/>
      <protection/>
    </xf>
    <xf numFmtId="0" fontId="21" fillId="0" borderId="22" xfId="59" applyFont="1" applyBorder="1" applyAlignment="1">
      <alignment horizontal="center"/>
      <protection/>
    </xf>
    <xf numFmtId="0" fontId="21" fillId="0" borderId="67" xfId="59" applyFont="1" applyBorder="1" applyAlignment="1">
      <alignment horizontal="center"/>
      <protection/>
    </xf>
    <xf numFmtId="0" fontId="13" fillId="0" borderId="28" xfId="59" applyFont="1" applyBorder="1" applyAlignment="1">
      <alignment horizontal="center"/>
      <protection/>
    </xf>
    <xf numFmtId="0" fontId="13" fillId="0" borderId="22" xfId="59" applyFont="1" applyBorder="1" applyAlignment="1">
      <alignment horizontal="center"/>
      <protection/>
    </xf>
    <xf numFmtId="0" fontId="64" fillId="42" borderId="22" xfId="59" applyFont="1" applyFill="1" applyBorder="1" applyAlignment="1">
      <alignment horizontal="center"/>
      <protection/>
    </xf>
    <xf numFmtId="0" fontId="80" fillId="49" borderId="22" xfId="59" applyFont="1" applyFill="1" applyBorder="1" applyAlignment="1">
      <alignment horizontal="center"/>
      <protection/>
    </xf>
    <xf numFmtId="168" fontId="106" fillId="35" borderId="23" xfId="59" applyNumberFormat="1" applyFont="1" applyFill="1" applyBorder="1" applyAlignment="1" applyProtection="1" quotePrefix="1">
      <alignment horizontal="center"/>
      <protection/>
    </xf>
    <xf numFmtId="168" fontId="106" fillId="35" borderId="68" xfId="59" applyNumberFormat="1" applyFont="1" applyFill="1" applyBorder="1" applyAlignment="1" applyProtection="1" quotePrefix="1">
      <alignment horizontal="center"/>
      <protection/>
    </xf>
    <xf numFmtId="4" fontId="106" fillId="35" borderId="55" xfId="59" applyNumberFormat="1" applyFont="1" applyFill="1" applyBorder="1" applyAlignment="1" applyProtection="1">
      <alignment horizontal="center"/>
      <protection/>
    </xf>
    <xf numFmtId="168" fontId="64" fillId="50" borderId="23" xfId="59" applyNumberFormat="1" applyFont="1" applyFill="1" applyBorder="1" applyAlignment="1" applyProtection="1" quotePrefix="1">
      <alignment horizontal="center"/>
      <protection/>
    </xf>
    <xf numFmtId="168" fontId="64" fillId="50" borderId="68" xfId="59" applyNumberFormat="1" applyFont="1" applyFill="1" applyBorder="1" applyAlignment="1" applyProtection="1" quotePrefix="1">
      <alignment horizontal="center"/>
      <protection/>
    </xf>
    <xf numFmtId="4" fontId="64" fillId="50" borderId="55" xfId="59" applyNumberFormat="1" applyFont="1" applyFill="1" applyBorder="1" applyAlignment="1" applyProtection="1">
      <alignment horizontal="center"/>
      <protection/>
    </xf>
    <xf numFmtId="4" fontId="64" fillId="39" borderId="22" xfId="59" applyNumberFormat="1" applyFont="1" applyFill="1" applyBorder="1" applyAlignment="1" applyProtection="1">
      <alignment horizontal="center"/>
      <protection/>
    </xf>
    <xf numFmtId="4" fontId="64" fillId="51" borderId="22" xfId="59" applyNumberFormat="1" applyFont="1" applyFill="1" applyBorder="1" applyAlignment="1" applyProtection="1">
      <alignment horizontal="center"/>
      <protection/>
    </xf>
    <xf numFmtId="0" fontId="13" fillId="0" borderId="55" xfId="59" applyFont="1" applyBorder="1" applyAlignment="1">
      <alignment horizontal="left"/>
      <protection/>
    </xf>
    <xf numFmtId="0" fontId="48" fillId="0" borderId="55" xfId="59" applyFont="1" applyBorder="1" applyAlignment="1">
      <alignment horizontal="center"/>
      <protection/>
    </xf>
    <xf numFmtId="0" fontId="13" fillId="0" borderId="27" xfId="55" applyFont="1" applyBorder="1" applyAlignment="1" applyProtection="1">
      <alignment horizontal="center"/>
      <protection locked="0"/>
    </xf>
    <xf numFmtId="164" fontId="13" fillId="0" borderId="27" xfId="59" applyNumberFormat="1" applyFont="1" applyBorder="1" applyAlignment="1" applyProtection="1">
      <alignment horizontal="center"/>
      <protection/>
    </xf>
    <xf numFmtId="0" fontId="104" fillId="37" borderId="27" xfId="59" applyFont="1" applyFill="1" applyBorder="1" applyAlignment="1" applyProtection="1">
      <alignment horizontal="center"/>
      <protection/>
    </xf>
    <xf numFmtId="168" fontId="105" fillId="34" borderId="27" xfId="59" applyNumberFormat="1" applyFont="1" applyFill="1" applyBorder="1" applyAlignment="1" applyProtection="1">
      <alignment horizontal="center"/>
      <protection/>
    </xf>
    <xf numFmtId="4" fontId="13" fillId="0" borderId="27" xfId="59" applyNumberFormat="1" applyFont="1" applyFill="1" applyBorder="1" applyAlignment="1" applyProtection="1" quotePrefix="1">
      <alignment horizontal="center"/>
      <protection/>
    </xf>
    <xf numFmtId="164" fontId="13" fillId="0" borderId="27" xfId="59" applyNumberFormat="1" applyFont="1" applyFill="1" applyBorder="1" applyAlignment="1" applyProtection="1" quotePrefix="1">
      <alignment horizontal="center"/>
      <protection/>
    </xf>
    <xf numFmtId="168" fontId="13" fillId="0" borderId="28" xfId="59" applyNumberFormat="1" applyFont="1" applyBorder="1" applyAlignment="1" applyProtection="1">
      <alignment horizontal="center"/>
      <protection/>
    </xf>
    <xf numFmtId="173" fontId="13" fillId="0" borderId="28" xfId="59" applyNumberFormat="1" applyFont="1" applyBorder="1" applyAlignment="1" applyProtection="1" quotePrefix="1">
      <alignment horizontal="center"/>
      <protection/>
    </xf>
    <xf numFmtId="168" fontId="13" fillId="0" borderId="27" xfId="59" applyNumberFormat="1" applyFont="1" applyBorder="1" applyAlignment="1" applyProtection="1">
      <alignment horizontal="center"/>
      <protection/>
    </xf>
    <xf numFmtId="2" fontId="64" fillId="42" borderId="27" xfId="59" applyNumberFormat="1" applyFont="1" applyFill="1" applyBorder="1" applyAlignment="1" applyProtection="1">
      <alignment horizontal="center"/>
      <protection/>
    </xf>
    <xf numFmtId="2" fontId="80" fillId="49" borderId="27" xfId="59" applyNumberFormat="1" applyFont="1" applyFill="1" applyBorder="1" applyAlignment="1" applyProtection="1">
      <alignment horizontal="center"/>
      <protection/>
    </xf>
    <xf numFmtId="168" fontId="106" fillId="35" borderId="29" xfId="59" applyNumberFormat="1" applyFont="1" applyFill="1" applyBorder="1" applyAlignment="1" applyProtection="1" quotePrefix="1">
      <alignment horizontal="center"/>
      <protection/>
    </xf>
    <xf numFmtId="168" fontId="106" fillId="35" borderId="30" xfId="59" applyNumberFormat="1" applyFont="1" applyFill="1" applyBorder="1" applyAlignment="1" applyProtection="1" quotePrefix="1">
      <alignment horizontal="center"/>
      <protection/>
    </xf>
    <xf numFmtId="4" fontId="106" fillId="35" borderId="28" xfId="59" applyNumberFormat="1" applyFont="1" applyFill="1" applyBorder="1" applyAlignment="1" applyProtection="1">
      <alignment horizontal="center"/>
      <protection/>
    </xf>
    <xf numFmtId="168" fontId="64" fillId="50" borderId="29" xfId="59" applyNumberFormat="1" applyFont="1" applyFill="1" applyBorder="1" applyAlignment="1" applyProtection="1" quotePrefix="1">
      <alignment horizontal="center"/>
      <protection/>
    </xf>
    <xf numFmtId="168" fontId="64" fillId="50" borderId="30" xfId="59" applyNumberFormat="1" applyFont="1" applyFill="1" applyBorder="1" applyAlignment="1" applyProtection="1" quotePrefix="1">
      <alignment horizontal="center"/>
      <protection/>
    </xf>
    <xf numFmtId="4" fontId="64" fillId="50" borderId="28" xfId="59" applyNumberFormat="1" applyFont="1" applyFill="1" applyBorder="1" applyAlignment="1" applyProtection="1">
      <alignment horizontal="center"/>
      <protection/>
    </xf>
    <xf numFmtId="4" fontId="64" fillId="39" borderId="27" xfId="59" applyNumberFormat="1" applyFont="1" applyFill="1" applyBorder="1" applyAlignment="1" applyProtection="1">
      <alignment horizontal="center"/>
      <protection/>
    </xf>
    <xf numFmtId="4" fontId="64" fillId="51" borderId="27" xfId="59" applyNumberFormat="1" applyFont="1" applyFill="1" applyBorder="1" applyAlignment="1" applyProtection="1">
      <alignment horizontal="center"/>
      <protection/>
    </xf>
    <xf numFmtId="4" fontId="13" fillId="0" borderId="28" xfId="59" applyNumberFormat="1" applyFont="1" applyBorder="1" applyAlignment="1" applyProtection="1">
      <alignment horizontal="center"/>
      <protection/>
    </xf>
    <xf numFmtId="4" fontId="48" fillId="0" borderId="28" xfId="59" applyNumberFormat="1" applyFont="1" applyFill="1" applyBorder="1" applyAlignment="1">
      <alignment horizontal="right"/>
      <protection/>
    </xf>
    <xf numFmtId="0" fontId="13" fillId="0" borderId="35" xfId="59" applyFont="1" applyBorder="1" applyAlignment="1">
      <alignment horizontal="center"/>
      <protection/>
    </xf>
    <xf numFmtId="0" fontId="21" fillId="0" borderId="35" xfId="59" applyFont="1" applyBorder="1" applyAlignment="1">
      <alignment horizontal="center"/>
      <protection/>
    </xf>
    <xf numFmtId="164" fontId="107" fillId="0" borderId="35" xfId="59" applyNumberFormat="1" applyFont="1" applyBorder="1" applyAlignment="1" applyProtection="1">
      <alignment horizontal="center"/>
      <protection/>
    </xf>
    <xf numFmtId="0" fontId="21" fillId="0" borderId="35" xfId="59" applyFont="1" applyBorder="1" applyAlignment="1" applyProtection="1">
      <alignment horizontal="center"/>
      <protection/>
    </xf>
    <xf numFmtId="165" fontId="21" fillId="0" borderId="35" xfId="59" applyNumberFormat="1" applyFont="1" applyBorder="1" applyAlignment="1" applyProtection="1">
      <alignment horizontal="center"/>
      <protection/>
    </xf>
    <xf numFmtId="165" fontId="104" fillId="37" borderId="35" xfId="59" applyNumberFormat="1" applyFont="1" applyFill="1" applyBorder="1" applyAlignment="1" applyProtection="1">
      <alignment horizontal="center"/>
      <protection/>
    </xf>
    <xf numFmtId="168" fontId="105" fillId="34" borderId="35" xfId="59" applyNumberFormat="1" applyFont="1" applyFill="1" applyBorder="1" applyAlignment="1" applyProtection="1">
      <alignment horizontal="center"/>
      <protection/>
    </xf>
    <xf numFmtId="168" fontId="21" fillId="0" borderId="35" xfId="59" applyNumberFormat="1" applyFont="1" applyBorder="1" applyAlignment="1" applyProtection="1">
      <alignment horizontal="center"/>
      <protection/>
    </xf>
    <xf numFmtId="168" fontId="13" fillId="0" borderId="35" xfId="59" applyNumberFormat="1" applyFont="1" applyBorder="1" applyAlignment="1" applyProtection="1">
      <alignment horizontal="center"/>
      <protection/>
    </xf>
    <xf numFmtId="173" fontId="13" fillId="0" borderId="35" xfId="59" applyNumberFormat="1" applyFont="1" applyBorder="1" applyAlignment="1" applyProtection="1" quotePrefix="1">
      <alignment horizontal="center"/>
      <protection/>
    </xf>
    <xf numFmtId="2" fontId="64" fillId="42" borderId="35" xfId="59" applyNumberFormat="1" applyFont="1" applyFill="1" applyBorder="1" applyAlignment="1" applyProtection="1">
      <alignment horizontal="center"/>
      <protection/>
    </xf>
    <xf numFmtId="2" fontId="80" fillId="49" borderId="35" xfId="59" applyNumberFormat="1" applyFont="1" applyFill="1" applyBorder="1" applyAlignment="1" applyProtection="1">
      <alignment horizontal="center"/>
      <protection/>
    </xf>
    <xf numFmtId="168" fontId="106" fillId="35" borderId="36" xfId="59" applyNumberFormat="1" applyFont="1" applyFill="1" applyBorder="1" applyAlignment="1" applyProtection="1" quotePrefix="1">
      <alignment horizontal="center"/>
      <protection/>
    </xf>
    <xf numFmtId="168" fontId="106" fillId="35" borderId="69" xfId="59" applyNumberFormat="1" applyFont="1" applyFill="1" applyBorder="1" applyAlignment="1" applyProtection="1" quotePrefix="1">
      <alignment horizontal="center"/>
      <protection/>
    </xf>
    <xf numFmtId="4" fontId="106" fillId="35" borderId="49" xfId="59" applyNumberFormat="1" applyFont="1" applyFill="1" applyBorder="1" applyAlignment="1" applyProtection="1">
      <alignment horizontal="center"/>
      <protection/>
    </xf>
    <xf numFmtId="168" fontId="64" fillId="50" borderId="36" xfId="59" applyNumberFormat="1" applyFont="1" applyFill="1" applyBorder="1" applyAlignment="1" applyProtection="1" quotePrefix="1">
      <alignment horizontal="center"/>
      <protection/>
    </xf>
    <xf numFmtId="168" fontId="64" fillId="50" borderId="69" xfId="59" applyNumberFormat="1" applyFont="1" applyFill="1" applyBorder="1" applyAlignment="1" applyProtection="1" quotePrefix="1">
      <alignment horizontal="center"/>
      <protection/>
    </xf>
    <xf numFmtId="4" fontId="64" fillId="50" borderId="49" xfId="59" applyNumberFormat="1" applyFont="1" applyFill="1" applyBorder="1" applyAlignment="1" applyProtection="1">
      <alignment horizontal="center"/>
      <protection/>
    </xf>
    <xf numFmtId="4" fontId="64" fillId="39" borderId="35" xfId="59" applyNumberFormat="1" applyFont="1" applyFill="1" applyBorder="1" applyAlignment="1" applyProtection="1">
      <alignment horizontal="center"/>
      <protection/>
    </xf>
    <xf numFmtId="4" fontId="64" fillId="51" borderId="35" xfId="59" applyNumberFormat="1" applyFont="1" applyFill="1" applyBorder="1" applyAlignment="1" applyProtection="1">
      <alignment horizontal="center"/>
      <protection/>
    </xf>
    <xf numFmtId="4" fontId="49" fillId="0" borderId="35" xfId="59" applyNumberFormat="1" applyFont="1" applyBorder="1" applyAlignment="1" applyProtection="1">
      <alignment horizontal="center"/>
      <protection/>
    </xf>
    <xf numFmtId="168" fontId="65" fillId="0" borderId="35" xfId="59" applyNumberFormat="1" applyFont="1" applyFill="1" applyBorder="1" applyAlignment="1">
      <alignment horizontal="center"/>
      <protection/>
    </xf>
    <xf numFmtId="4" fontId="13" fillId="0" borderId="14" xfId="59" applyNumberFormat="1" applyFont="1" applyFill="1" applyBorder="1" applyAlignment="1">
      <alignment horizontal="center"/>
      <protection/>
    </xf>
    <xf numFmtId="164" fontId="107" fillId="0" borderId="0" xfId="59" applyNumberFormat="1" applyFont="1" applyBorder="1" applyAlignment="1" applyProtection="1">
      <alignment horizontal="center"/>
      <protection/>
    </xf>
    <xf numFmtId="165" fontId="21" fillId="0" borderId="0" xfId="59" applyNumberFormat="1" applyFont="1" applyBorder="1" applyAlignment="1" applyProtection="1">
      <alignment horizontal="center"/>
      <protection/>
    </xf>
    <xf numFmtId="168" fontId="21" fillId="0" borderId="0" xfId="59" applyNumberFormat="1" applyFont="1" applyBorder="1" applyAlignment="1" applyProtection="1">
      <alignment horizontal="center"/>
      <protection/>
    </xf>
    <xf numFmtId="173" fontId="21" fillId="0" borderId="0" xfId="59" applyNumberFormat="1" applyFont="1" applyBorder="1" applyAlignment="1" applyProtection="1" quotePrefix="1">
      <alignment horizontal="center"/>
      <protection/>
    </xf>
    <xf numFmtId="2" fontId="105" fillId="42" borderId="20" xfId="59" applyNumberFormat="1" applyFont="1" applyFill="1" applyBorder="1" applyAlignment="1" applyProtection="1">
      <alignment horizontal="center"/>
      <protection/>
    </xf>
    <xf numFmtId="2" fontId="76" fillId="49" borderId="20" xfId="59" applyNumberFormat="1" applyFont="1" applyFill="1" applyBorder="1" applyAlignment="1" applyProtection="1">
      <alignment horizontal="center"/>
      <protection/>
    </xf>
    <xf numFmtId="2" fontId="108" fillId="35" borderId="20" xfId="59" applyNumberFormat="1" applyFont="1" applyFill="1" applyBorder="1" applyAlignment="1" applyProtection="1">
      <alignment horizontal="center"/>
      <protection/>
    </xf>
    <xf numFmtId="2" fontId="105" fillId="50" borderId="20" xfId="59" applyNumberFormat="1" applyFont="1" applyFill="1" applyBorder="1" applyAlignment="1" applyProtection="1">
      <alignment horizontal="center"/>
      <protection/>
    </xf>
    <xf numFmtId="2" fontId="105" fillId="39" borderId="20" xfId="59" applyNumberFormat="1" applyFont="1" applyFill="1" applyBorder="1" applyAlignment="1" applyProtection="1">
      <alignment horizontal="center"/>
      <protection/>
    </xf>
    <xf numFmtId="2" fontId="105" fillId="51" borderId="20" xfId="59" applyNumberFormat="1" applyFont="1" applyFill="1" applyBorder="1" applyAlignment="1" applyProtection="1">
      <alignment horizontal="center"/>
      <protection/>
    </xf>
    <xf numFmtId="2" fontId="21" fillId="0" borderId="43" xfId="59" applyNumberFormat="1" applyFont="1" applyBorder="1" applyAlignment="1" applyProtection="1">
      <alignment horizontal="center"/>
      <protection/>
    </xf>
    <xf numFmtId="7" fontId="48" fillId="0" borderId="20" xfId="59" applyNumberFormat="1" applyFont="1" applyBorder="1" applyAlignment="1" applyProtection="1">
      <alignment horizontal="right"/>
      <protection/>
    </xf>
    <xf numFmtId="0" fontId="48" fillId="0" borderId="0" xfId="59" applyFont="1" applyBorder="1" applyAlignment="1">
      <alignment horizontal="left"/>
      <protection/>
    </xf>
    <xf numFmtId="0" fontId="48" fillId="0" borderId="0" xfId="59" applyFont="1" applyBorder="1" applyAlignment="1">
      <alignment horizontal="center"/>
      <protection/>
    </xf>
    <xf numFmtId="165" fontId="48" fillId="0" borderId="0" xfId="59" applyNumberFormat="1" applyFont="1" applyBorder="1" applyAlignment="1" applyProtection="1">
      <alignment horizontal="center"/>
      <protection/>
    </xf>
    <xf numFmtId="0" fontId="30" fillId="0" borderId="0" xfId="59" applyFont="1">
      <alignment/>
      <protection/>
    </xf>
    <xf numFmtId="168" fontId="48" fillId="0" borderId="0" xfId="59" applyNumberFormat="1" applyFont="1" applyBorder="1" applyAlignment="1" applyProtection="1">
      <alignment horizontal="center"/>
      <protection/>
    </xf>
    <xf numFmtId="2" fontId="105" fillId="0" borderId="21" xfId="59" applyNumberFormat="1" applyFont="1" applyFill="1" applyBorder="1" applyAlignment="1" applyProtection="1">
      <alignment horizontal="center"/>
      <protection/>
    </xf>
    <xf numFmtId="2" fontId="76" fillId="0" borderId="21" xfId="59" applyNumberFormat="1" applyFont="1" applyFill="1" applyBorder="1" applyAlignment="1" applyProtection="1">
      <alignment horizontal="center"/>
      <protection/>
    </xf>
    <xf numFmtId="2" fontId="108" fillId="0" borderId="21" xfId="59" applyNumberFormat="1" applyFont="1" applyFill="1" applyBorder="1" applyAlignment="1" applyProtection="1">
      <alignment horizontal="center"/>
      <protection/>
    </xf>
    <xf numFmtId="2" fontId="21" fillId="0" borderId="0" xfId="59" applyNumberFormat="1" applyFont="1" applyBorder="1" applyAlignment="1" applyProtection="1">
      <alignment horizontal="center"/>
      <protection/>
    </xf>
    <xf numFmtId="7" fontId="21" fillId="0" borderId="0" xfId="59" applyNumberFormat="1" applyFont="1" applyBorder="1" applyAlignment="1" applyProtection="1">
      <alignment horizontal="center"/>
      <protection/>
    </xf>
    <xf numFmtId="0" fontId="13" fillId="0" borderId="13" xfId="59" applyFont="1" applyFill="1" applyBorder="1">
      <alignment/>
      <protection/>
    </xf>
    <xf numFmtId="0" fontId="30" fillId="0" borderId="20" xfId="59" applyFont="1" applyFill="1" applyBorder="1" applyAlignment="1">
      <alignment horizontal="center" vertical="center"/>
      <protection/>
    </xf>
    <xf numFmtId="0" fontId="30" fillId="0" borderId="20" xfId="59" applyFont="1" applyFill="1" applyBorder="1" applyAlignment="1" applyProtection="1">
      <alignment horizontal="center" vertical="center" wrapText="1"/>
      <protection/>
    </xf>
    <xf numFmtId="0" fontId="30" fillId="0" borderId="20" xfId="59" applyFont="1" applyFill="1" applyBorder="1" applyAlignment="1" applyProtection="1">
      <alignment horizontal="center" vertical="center"/>
      <protection/>
    </xf>
    <xf numFmtId="0" fontId="60" fillId="37" borderId="20" xfId="59" applyFont="1" applyFill="1" applyBorder="1" applyAlignment="1" applyProtection="1">
      <alignment horizontal="center" vertical="center"/>
      <protection/>
    </xf>
    <xf numFmtId="0" fontId="60" fillId="52" borderId="20" xfId="59" applyFont="1" applyFill="1" applyBorder="1" applyAlignment="1" applyProtection="1">
      <alignment horizontal="center" vertical="center"/>
      <protection/>
    </xf>
    <xf numFmtId="0" fontId="62" fillId="53" borderId="20" xfId="59" applyFont="1" applyFill="1" applyBorder="1" applyAlignment="1">
      <alignment horizontal="center" vertical="center" wrapText="1"/>
      <protection/>
    </xf>
    <xf numFmtId="0" fontId="62" fillId="54" borderId="15" xfId="59" applyFont="1" applyFill="1" applyBorder="1" applyAlignment="1" applyProtection="1">
      <alignment horizontal="centerContinuous" vertical="center" wrapText="1"/>
      <protection/>
    </xf>
    <xf numFmtId="0" fontId="62" fillId="54" borderId="16" xfId="59" applyFont="1" applyFill="1" applyBorder="1" applyAlignment="1">
      <alignment horizontal="centerContinuous" vertical="center"/>
      <protection/>
    </xf>
    <xf numFmtId="0" fontId="62" fillId="35" borderId="20" xfId="59" applyFont="1" applyFill="1" applyBorder="1" applyAlignment="1">
      <alignment horizontal="centerContinuous" vertical="center" wrapText="1"/>
      <protection/>
    </xf>
    <xf numFmtId="0" fontId="62" fillId="55" borderId="20" xfId="59" applyFont="1" applyFill="1" applyBorder="1" applyAlignment="1">
      <alignment vertical="center" wrapText="1"/>
      <protection/>
    </xf>
    <xf numFmtId="0" fontId="62" fillId="52" borderId="40" xfId="59" applyFont="1" applyFill="1" applyBorder="1" applyAlignment="1">
      <alignment vertical="center" wrapText="1"/>
      <protection/>
    </xf>
    <xf numFmtId="0" fontId="62" fillId="52" borderId="43" xfId="59" applyFont="1" applyFill="1" applyBorder="1" applyAlignment="1">
      <alignment vertical="center" wrapText="1"/>
      <protection/>
    </xf>
    <xf numFmtId="0" fontId="13" fillId="0" borderId="27" xfId="59" applyFont="1" applyFill="1" applyBorder="1" applyAlignment="1">
      <alignment horizontal="center"/>
      <protection/>
    </xf>
    <xf numFmtId="0" fontId="109" fillId="52" borderId="27" xfId="59" applyFont="1" applyFill="1" applyBorder="1" applyAlignment="1">
      <alignment horizontal="center"/>
      <protection/>
    </xf>
    <xf numFmtId="0" fontId="13" fillId="0" borderId="28" xfId="59" applyFont="1" applyFill="1" applyBorder="1" applyAlignment="1">
      <alignment horizontal="center"/>
      <protection/>
    </xf>
    <xf numFmtId="0" fontId="29" fillId="52" borderId="0" xfId="59" applyFont="1" applyFill="1" applyBorder="1" applyAlignment="1">
      <alignment horizontal="left"/>
      <protection/>
    </xf>
    <xf numFmtId="0" fontId="29" fillId="52" borderId="57" xfId="59" applyFont="1" applyFill="1" applyBorder="1" applyAlignment="1">
      <alignment horizontal="left"/>
      <protection/>
    </xf>
    <xf numFmtId="0" fontId="48" fillId="0" borderId="28" xfId="59" applyFont="1" applyFill="1" applyBorder="1" applyAlignment="1">
      <alignment horizontal="center"/>
      <protection/>
    </xf>
    <xf numFmtId="0" fontId="13" fillId="0" borderId="26" xfId="59" applyFont="1" applyBorder="1" applyAlignment="1" applyProtection="1">
      <alignment horizontal="center"/>
      <protection/>
    </xf>
    <xf numFmtId="0" fontId="13" fillId="0" borderId="31" xfId="59" applyFont="1" applyBorder="1" applyAlignment="1" applyProtection="1">
      <alignment horizontal="center"/>
      <protection/>
    </xf>
    <xf numFmtId="168" fontId="109" fillId="37" borderId="27" xfId="59" applyNumberFormat="1" applyFont="1" applyFill="1" applyBorder="1" applyAlignment="1" applyProtection="1">
      <alignment horizontal="center"/>
      <protection/>
    </xf>
    <xf numFmtId="168" fontId="109" fillId="52" borderId="27" xfId="59" applyNumberFormat="1" applyFont="1" applyFill="1" applyBorder="1" applyAlignment="1" applyProtection="1">
      <alignment horizontal="center"/>
      <protection/>
    </xf>
    <xf numFmtId="22" fontId="13" fillId="0" borderId="29" xfId="59" applyNumberFormat="1" applyFont="1" applyBorder="1" applyAlignment="1" applyProtection="1">
      <alignment horizontal="center"/>
      <protection locked="0"/>
    </xf>
    <xf numFmtId="22" fontId="13" fillId="0" borderId="32" xfId="59" applyNumberFormat="1" applyFont="1" applyBorder="1" applyAlignment="1" applyProtection="1">
      <alignment horizontal="center"/>
      <protection locked="0"/>
    </xf>
    <xf numFmtId="4" fontId="13" fillId="0" borderId="27" xfId="59" applyNumberFormat="1" applyFont="1" applyFill="1" applyBorder="1" applyAlignment="1" applyProtection="1">
      <alignment horizontal="center"/>
      <protection/>
    </xf>
    <xf numFmtId="3" fontId="13" fillId="0" borderId="27" xfId="59" applyNumberFormat="1" applyFont="1" applyFill="1" applyBorder="1" applyAlignment="1" applyProtection="1">
      <alignment horizontal="center"/>
      <protection/>
    </xf>
    <xf numFmtId="168" fontId="13" fillId="0" borderId="27" xfId="59" applyNumberFormat="1" applyFont="1" applyFill="1" applyBorder="1" applyAlignment="1" applyProtection="1">
      <alignment horizontal="center"/>
      <protection/>
    </xf>
    <xf numFmtId="168" fontId="13" fillId="0" borderId="27" xfId="59" applyNumberFormat="1" applyFont="1" applyBorder="1" applyAlignment="1" applyProtection="1" quotePrefix="1">
      <alignment horizontal="center"/>
      <protection/>
    </xf>
    <xf numFmtId="164" fontId="63" fillId="37" borderId="60" xfId="59" applyNumberFormat="1" applyFont="1" applyFill="1" applyBorder="1" applyAlignment="1" applyProtection="1">
      <alignment horizontal="center"/>
      <protection locked="0"/>
    </xf>
    <xf numFmtId="2" fontId="64" fillId="53" borderId="27" xfId="59" applyNumberFormat="1" applyFont="1" applyFill="1" applyBorder="1" applyAlignment="1">
      <alignment horizontal="center"/>
      <protection/>
    </xf>
    <xf numFmtId="168" fontId="64" fillId="54" borderId="47" xfId="59" applyNumberFormat="1" applyFont="1" applyFill="1" applyBorder="1" applyAlignment="1" applyProtection="1" quotePrefix="1">
      <alignment horizontal="center"/>
      <protection/>
    </xf>
    <xf numFmtId="168" fontId="64" fillId="54" borderId="48" xfId="59" applyNumberFormat="1" applyFont="1" applyFill="1" applyBorder="1" applyAlignment="1" applyProtection="1" quotePrefix="1">
      <alignment horizontal="center"/>
      <protection/>
    </xf>
    <xf numFmtId="168" fontId="64" fillId="35" borderId="27" xfId="59" applyNumberFormat="1" applyFont="1" applyFill="1" applyBorder="1" applyAlignment="1" applyProtection="1" quotePrefix="1">
      <alignment horizontal="center"/>
      <protection/>
    </xf>
    <xf numFmtId="2" fontId="64" fillId="55" borderId="27" xfId="59" applyNumberFormat="1" applyFont="1" applyFill="1" applyBorder="1" applyAlignment="1">
      <alignment horizontal="center"/>
      <protection/>
    </xf>
    <xf numFmtId="168" fontId="64" fillId="52" borderId="0" xfId="59" applyNumberFormat="1" applyFont="1" applyFill="1" applyBorder="1" applyAlignment="1" applyProtection="1" quotePrefix="1">
      <alignment horizontal="center"/>
      <protection/>
    </xf>
    <xf numFmtId="168" fontId="64" fillId="52" borderId="57" xfId="59" applyNumberFormat="1" applyFont="1" applyFill="1" applyBorder="1" applyAlignment="1" applyProtection="1" quotePrefix="1">
      <alignment horizontal="center"/>
      <protection/>
    </xf>
    <xf numFmtId="168" fontId="13" fillId="0" borderId="28" xfId="59" applyNumberFormat="1" applyFont="1" applyFill="1" applyBorder="1" applyAlignment="1">
      <alignment horizontal="center"/>
      <protection/>
    </xf>
    <xf numFmtId="4" fontId="77" fillId="0" borderId="28" xfId="59" applyNumberFormat="1" applyFont="1" applyFill="1" applyBorder="1" applyAlignment="1">
      <alignment horizontal="right"/>
      <protection/>
    </xf>
    <xf numFmtId="22" fontId="13" fillId="0" borderId="27" xfId="59" applyNumberFormat="1" applyFont="1" applyFill="1" applyBorder="1" applyAlignment="1">
      <alignment horizontal="center"/>
      <protection/>
    </xf>
    <xf numFmtId="22" fontId="13" fillId="0" borderId="27" xfId="59" applyNumberFormat="1" applyFont="1" applyFill="1" applyBorder="1" applyAlignment="1" applyProtection="1">
      <alignment horizontal="center"/>
      <protection/>
    </xf>
    <xf numFmtId="0" fontId="13" fillId="0" borderId="35" xfId="59" applyFont="1" applyFill="1" applyBorder="1" applyAlignment="1">
      <alignment horizontal="center"/>
      <protection/>
    </xf>
    <xf numFmtId="0" fontId="13" fillId="0" borderId="33" xfId="59" applyFont="1" applyBorder="1" applyAlignment="1" applyProtection="1">
      <alignment horizontal="center"/>
      <protection/>
    </xf>
    <xf numFmtId="0" fontId="13" fillId="0" borderId="70" xfId="59" applyFont="1" applyBorder="1" applyAlignment="1" applyProtection="1">
      <alignment horizontal="center"/>
      <protection/>
    </xf>
    <xf numFmtId="168" fontId="109" fillId="52" borderId="35" xfId="59" applyNumberFormat="1" applyFont="1" applyFill="1" applyBorder="1" applyAlignment="1" applyProtection="1">
      <alignment horizontal="center"/>
      <protection/>
    </xf>
    <xf numFmtId="22" fontId="13" fillId="0" borderId="35" xfId="59" applyNumberFormat="1" applyFont="1" applyFill="1" applyBorder="1" applyAlignment="1">
      <alignment horizontal="center"/>
      <protection/>
    </xf>
    <xf numFmtId="22" fontId="13" fillId="0" borderId="35" xfId="59" applyNumberFormat="1" applyFont="1" applyFill="1" applyBorder="1" applyAlignment="1" applyProtection="1">
      <alignment horizontal="center"/>
      <protection/>
    </xf>
    <xf numFmtId="4" fontId="13" fillId="0" borderId="35" xfId="59" applyNumberFormat="1" applyFont="1" applyFill="1" applyBorder="1" applyAlignment="1" applyProtection="1">
      <alignment horizontal="center"/>
      <protection/>
    </xf>
    <xf numFmtId="3" fontId="13" fillId="0" borderId="35" xfId="59" applyNumberFormat="1" applyFont="1" applyFill="1" applyBorder="1" applyAlignment="1" applyProtection="1">
      <alignment horizontal="center"/>
      <protection/>
    </xf>
    <xf numFmtId="168" fontId="13" fillId="0" borderId="35" xfId="59" applyNumberFormat="1" applyFont="1" applyFill="1" applyBorder="1" applyAlignment="1" applyProtection="1">
      <alignment horizontal="center"/>
      <protection/>
    </xf>
    <xf numFmtId="168" fontId="13" fillId="0" borderId="71" xfId="59" applyNumberFormat="1" applyFont="1" applyBorder="1" applyAlignment="1" applyProtection="1">
      <alignment horizontal="center"/>
      <protection/>
    </xf>
    <xf numFmtId="168" fontId="29" fillId="52" borderId="62" xfId="59" applyNumberFormat="1" applyFont="1" applyFill="1" applyBorder="1" applyAlignment="1" applyProtection="1" quotePrefix="1">
      <alignment horizontal="center"/>
      <protection/>
    </xf>
    <xf numFmtId="168" fontId="29" fillId="52" borderId="49" xfId="59" applyNumberFormat="1" applyFont="1" applyFill="1" applyBorder="1" applyAlignment="1" applyProtection="1" quotePrefix="1">
      <alignment horizontal="center"/>
      <protection/>
    </xf>
    <xf numFmtId="168" fontId="13" fillId="0" borderId="49" xfId="59" applyNumberFormat="1" applyFont="1" applyFill="1" applyBorder="1" applyAlignment="1">
      <alignment horizontal="center"/>
      <protection/>
    </xf>
    <xf numFmtId="4" fontId="77" fillId="0" borderId="49" xfId="59" applyNumberFormat="1" applyFont="1" applyFill="1" applyBorder="1" applyAlignment="1">
      <alignment horizontal="right"/>
      <protection/>
    </xf>
    <xf numFmtId="0" fontId="13" fillId="0" borderId="0" xfId="59" applyFont="1" applyFill="1" applyBorder="1" applyAlignment="1">
      <alignment horizontal="center"/>
      <protection/>
    </xf>
    <xf numFmtId="164" fontId="13" fillId="0" borderId="0" xfId="59" applyNumberFormat="1" applyFont="1" applyBorder="1" applyAlignment="1" applyProtection="1">
      <alignment horizontal="center"/>
      <protection/>
    </xf>
    <xf numFmtId="1" fontId="13" fillId="0" borderId="0" xfId="59" applyNumberFormat="1" applyFont="1" applyBorder="1" applyAlignment="1" applyProtection="1" quotePrefix="1">
      <alignment horizontal="center"/>
      <protection/>
    </xf>
    <xf numFmtId="168" fontId="13" fillId="0" borderId="0" xfId="59" applyNumberFormat="1" applyFont="1" applyFill="1" applyBorder="1" applyAlignment="1" applyProtection="1">
      <alignment horizontal="center"/>
      <protection/>
    </xf>
    <xf numFmtId="22" fontId="13" fillId="0" borderId="0" xfId="59" applyNumberFormat="1" applyFont="1" applyFill="1" applyBorder="1" applyAlignment="1">
      <alignment horizontal="center"/>
      <protection/>
    </xf>
    <xf numFmtId="22" fontId="13" fillId="0" borderId="0" xfId="59" applyNumberFormat="1" applyFont="1" applyFill="1" applyBorder="1" applyAlignment="1" applyProtection="1">
      <alignment horizontal="center"/>
      <protection/>
    </xf>
    <xf numFmtId="4" fontId="13" fillId="0" borderId="0" xfId="59" applyNumberFormat="1" applyFont="1" applyFill="1" applyBorder="1" applyAlignment="1" applyProtection="1">
      <alignment horizontal="center"/>
      <protection/>
    </xf>
    <xf numFmtId="3" fontId="13" fillId="0" borderId="0" xfId="59" applyNumberFormat="1" applyFont="1" applyFill="1" applyBorder="1" applyAlignment="1" applyProtection="1">
      <alignment horizontal="center"/>
      <protection/>
    </xf>
    <xf numFmtId="168" fontId="13" fillId="0" borderId="0" xfId="59" applyNumberFormat="1" applyFont="1" applyBorder="1" applyAlignment="1" applyProtection="1" quotePrefix="1">
      <alignment horizontal="center"/>
      <protection/>
    </xf>
    <xf numFmtId="168" fontId="13" fillId="0" borderId="0" xfId="59" applyNumberFormat="1" applyFont="1" applyBorder="1" applyAlignment="1" applyProtection="1">
      <alignment horizontal="center"/>
      <protection/>
    </xf>
    <xf numFmtId="164" fontId="13" fillId="0" borderId="0" xfId="59" applyNumberFormat="1" applyFont="1" applyFill="1" applyBorder="1" applyAlignment="1" applyProtection="1">
      <alignment horizontal="center"/>
      <protection/>
    </xf>
    <xf numFmtId="2" fontId="59" fillId="0" borderId="40" xfId="59" applyNumberFormat="1" applyFont="1" applyFill="1" applyBorder="1" applyAlignment="1">
      <alignment horizontal="center"/>
      <protection/>
    </xf>
    <xf numFmtId="168" fontId="49" fillId="0" borderId="40" xfId="59" applyNumberFormat="1" applyFont="1" applyFill="1" applyBorder="1" applyAlignment="1" applyProtection="1" quotePrefix="1">
      <alignment horizontal="center"/>
      <protection/>
    </xf>
    <xf numFmtId="168" fontId="13" fillId="0" borderId="40" xfId="59" applyNumberFormat="1" applyFont="1" applyFill="1" applyBorder="1" applyAlignment="1">
      <alignment horizontal="center"/>
      <protection/>
    </xf>
    <xf numFmtId="4" fontId="77" fillId="0" borderId="20" xfId="59" applyNumberFormat="1" applyFont="1" applyFill="1" applyBorder="1" applyAlignment="1">
      <alignment horizontal="right"/>
      <protection/>
    </xf>
    <xf numFmtId="168" fontId="29" fillId="52" borderId="0" xfId="59" applyNumberFormat="1" applyFont="1" applyFill="1" applyBorder="1" applyAlignment="1" applyProtection="1" quotePrefix="1">
      <alignment horizontal="center"/>
      <protection/>
    </xf>
    <xf numFmtId="0" fontId="30" fillId="0" borderId="16" xfId="59" applyFont="1" applyBorder="1" applyAlignment="1" applyProtection="1">
      <alignment horizontal="center" vertical="center"/>
      <protection/>
    </xf>
    <xf numFmtId="0" fontId="60" fillId="37" borderId="16" xfId="59" applyFont="1" applyFill="1" applyBorder="1" applyAlignment="1" applyProtection="1">
      <alignment horizontal="center" vertical="center"/>
      <protection/>
    </xf>
    <xf numFmtId="0" fontId="61" fillId="39" borderId="20" xfId="59" applyFont="1" applyFill="1" applyBorder="1" applyAlignment="1">
      <alignment horizontal="center" vertical="center" wrapText="1"/>
      <protection/>
    </xf>
    <xf numFmtId="0" fontId="34" fillId="45" borderId="15" xfId="59" applyFont="1" applyFill="1" applyBorder="1" applyAlignment="1" applyProtection="1">
      <alignment horizontal="centerContinuous" vertical="center" wrapText="1"/>
      <protection/>
    </xf>
    <xf numFmtId="0" fontId="34" fillId="45" borderId="16" xfId="59" applyFont="1" applyFill="1" applyBorder="1" applyAlignment="1">
      <alignment horizontal="centerContinuous" vertical="center"/>
      <protection/>
    </xf>
    <xf numFmtId="0" fontId="68" fillId="43" borderId="15" xfId="59" applyFont="1" applyFill="1" applyBorder="1" applyAlignment="1" applyProtection="1">
      <alignment horizontal="centerContinuous" vertical="center" wrapText="1"/>
      <protection/>
    </xf>
    <xf numFmtId="0" fontId="68" fillId="43" borderId="16" xfId="59" applyFont="1" applyFill="1" applyBorder="1" applyAlignment="1">
      <alignment horizontal="centerContinuous" vertical="center"/>
      <protection/>
    </xf>
    <xf numFmtId="0" fontId="37" fillId="36" borderId="20" xfId="59" applyFont="1" applyFill="1" applyBorder="1" applyAlignment="1">
      <alignment horizontal="center" vertical="center" wrapText="1"/>
      <protection/>
    </xf>
    <xf numFmtId="0" fontId="67" fillId="36" borderId="20" xfId="59" applyFont="1" applyFill="1" applyBorder="1" applyAlignment="1">
      <alignment horizontal="center" vertical="center" wrapText="1"/>
      <protection/>
    </xf>
    <xf numFmtId="0" fontId="61" fillId="0" borderId="20" xfId="59" applyFont="1" applyFill="1" applyBorder="1" applyAlignment="1">
      <alignment horizontal="center" vertical="center" wrapText="1"/>
      <protection/>
    </xf>
    <xf numFmtId="0" fontId="13" fillId="0" borderId="22" xfId="59" applyFont="1" applyFill="1" applyBorder="1" applyAlignment="1">
      <alignment/>
      <protection/>
    </xf>
    <xf numFmtId="0" fontId="13" fillId="0" borderId="72" xfId="59" applyFont="1" applyFill="1" applyBorder="1" applyAlignment="1">
      <alignment/>
      <protection/>
    </xf>
    <xf numFmtId="0" fontId="13" fillId="0" borderId="55" xfId="59" applyFont="1" applyFill="1" applyBorder="1" applyAlignment="1">
      <alignment/>
      <protection/>
    </xf>
    <xf numFmtId="0" fontId="13" fillId="0" borderId="60" xfId="59" applyFont="1" applyBorder="1" applyAlignment="1" applyProtection="1">
      <alignment horizontal="center"/>
      <protection locked="0"/>
    </xf>
    <xf numFmtId="0" fontId="13" fillId="0" borderId="32" xfId="59" applyFont="1" applyBorder="1" applyAlignment="1" applyProtection="1">
      <alignment horizontal="center"/>
      <protection locked="0"/>
    </xf>
    <xf numFmtId="174" fontId="63" fillId="37" borderId="27" xfId="59" applyNumberFormat="1" applyFont="1" applyFill="1" applyBorder="1" applyAlignment="1" applyProtection="1">
      <alignment horizontal="center"/>
      <protection/>
    </xf>
    <xf numFmtId="2" fontId="13" fillId="0" borderId="27" xfId="59" applyNumberFormat="1" applyFont="1" applyFill="1" applyBorder="1" applyAlignment="1" applyProtection="1" quotePrefix="1">
      <alignment horizontal="center"/>
      <protection/>
    </xf>
    <xf numFmtId="168" fontId="13" fillId="0" borderId="28" xfId="59" applyNumberFormat="1" applyFont="1" applyBorder="1" applyAlignment="1" applyProtection="1">
      <alignment horizontal="center"/>
      <protection locked="0"/>
    </xf>
    <xf numFmtId="168" fontId="13" fillId="0" borderId="46" xfId="59" applyNumberFormat="1" applyFont="1" applyBorder="1" applyAlignment="1" applyProtection="1">
      <alignment horizontal="center"/>
      <protection/>
    </xf>
    <xf numFmtId="164" fontId="63" fillId="37" borderId="60" xfId="59" applyNumberFormat="1" applyFont="1" applyFill="1" applyBorder="1" applyAlignment="1" applyProtection="1">
      <alignment horizontal="center"/>
      <protection/>
    </xf>
    <xf numFmtId="2" fontId="80" fillId="39" borderId="27" xfId="59" applyNumberFormat="1" applyFont="1" applyFill="1" applyBorder="1" applyAlignment="1" applyProtection="1">
      <alignment horizontal="center"/>
      <protection/>
    </xf>
    <xf numFmtId="168" fontId="50" fillId="45" borderId="47" xfId="59" applyNumberFormat="1" applyFont="1" applyFill="1" applyBorder="1" applyAlignment="1" applyProtection="1" quotePrefix="1">
      <alignment horizontal="center"/>
      <protection/>
    </xf>
    <xf numFmtId="168" fontId="50" fillId="45" borderId="48" xfId="59" applyNumberFormat="1" applyFont="1" applyFill="1" applyBorder="1" applyAlignment="1" applyProtection="1" quotePrefix="1">
      <alignment horizontal="center"/>
      <protection/>
    </xf>
    <xf numFmtId="168" fontId="72" fillId="43" borderId="47" xfId="59" applyNumberFormat="1" applyFont="1" applyFill="1" applyBorder="1" applyAlignment="1" applyProtection="1" quotePrefix="1">
      <alignment horizontal="center"/>
      <protection/>
    </xf>
    <xf numFmtId="168" fontId="72" fillId="43" borderId="48" xfId="59" applyNumberFormat="1" applyFont="1" applyFill="1" applyBorder="1" applyAlignment="1" applyProtection="1" quotePrefix="1">
      <alignment horizontal="center"/>
      <protection/>
    </xf>
    <xf numFmtId="168" fontId="53" fillId="36" borderId="26" xfId="59" applyNumberFormat="1" applyFont="1" applyFill="1" applyBorder="1" applyAlignment="1" applyProtection="1" quotePrefix="1">
      <alignment horizontal="center"/>
      <protection/>
    </xf>
    <xf numFmtId="2" fontId="71" fillId="36" borderId="27" xfId="59" applyNumberFormat="1" applyFont="1" applyFill="1" applyBorder="1" applyAlignment="1" applyProtection="1">
      <alignment horizontal="center"/>
      <protection/>
    </xf>
    <xf numFmtId="4" fontId="77" fillId="0" borderId="27" xfId="59" applyNumberFormat="1" applyFont="1" applyFill="1" applyBorder="1" applyAlignment="1">
      <alignment horizontal="right"/>
      <protection/>
    </xf>
    <xf numFmtId="4" fontId="21" fillId="0" borderId="14" xfId="59" applyNumberFormat="1" applyFont="1" applyFill="1" applyBorder="1" applyAlignment="1">
      <alignment horizontal="center"/>
      <protection/>
    </xf>
    <xf numFmtId="168" fontId="13" fillId="0" borderId="33" xfId="59" applyNumberFormat="1" applyFont="1" applyFill="1" applyBorder="1" applyAlignment="1" applyProtection="1">
      <alignment/>
      <protection/>
    </xf>
    <xf numFmtId="168" fontId="13" fillId="0" borderId="70" xfId="59" applyNumberFormat="1" applyFont="1" applyFill="1" applyBorder="1" applyAlignment="1" applyProtection="1">
      <alignment/>
      <protection/>
    </xf>
    <xf numFmtId="168" fontId="13" fillId="0" borderId="71" xfId="59" applyNumberFormat="1" applyFont="1" applyFill="1" applyBorder="1" applyAlignment="1" applyProtection="1">
      <alignment/>
      <protection/>
    </xf>
    <xf numFmtId="2" fontId="59" fillId="0" borderId="0" xfId="59" applyNumberFormat="1" applyFont="1" applyFill="1" applyBorder="1" applyAlignment="1">
      <alignment horizontal="center"/>
      <protection/>
    </xf>
    <xf numFmtId="168" fontId="13" fillId="0" borderId="0" xfId="59" applyNumberFormat="1" applyFont="1" applyFill="1" applyBorder="1" applyAlignment="1">
      <alignment horizontal="center"/>
      <protection/>
    </xf>
    <xf numFmtId="168" fontId="13" fillId="0" borderId="0" xfId="59" applyNumberFormat="1" applyFont="1" applyBorder="1" applyAlignment="1" applyProtection="1" quotePrefix="1">
      <alignment horizontal="centerContinuous"/>
      <protection/>
    </xf>
    <xf numFmtId="168" fontId="13" fillId="0" borderId="0" xfId="59" applyNumberFormat="1" applyFont="1" applyBorder="1" applyAlignment="1" applyProtection="1">
      <alignment horizontal="centerContinuous"/>
      <protection/>
    </xf>
    <xf numFmtId="168" fontId="49" fillId="0" borderId="0" xfId="59" applyNumberFormat="1" applyFont="1" applyFill="1" applyBorder="1" applyAlignment="1" applyProtection="1" quotePrefix="1">
      <alignment horizontal="center"/>
      <protection/>
    </xf>
    <xf numFmtId="4" fontId="77" fillId="0" borderId="0" xfId="59" applyNumberFormat="1" applyFont="1" applyFill="1" applyBorder="1" applyAlignment="1">
      <alignment horizontal="right"/>
      <protection/>
    </xf>
    <xf numFmtId="2" fontId="110" fillId="0" borderId="0" xfId="59" applyNumberFormat="1" applyFont="1" applyBorder="1" applyAlignment="1" applyProtection="1">
      <alignment horizontal="left"/>
      <protection/>
    </xf>
    <xf numFmtId="168" fontId="110" fillId="0" borderId="0" xfId="59" applyNumberFormat="1" applyFont="1" applyBorder="1" applyAlignment="1" applyProtection="1">
      <alignment horizontal="center"/>
      <protection/>
    </xf>
    <xf numFmtId="0" fontId="110" fillId="0" borderId="0" xfId="59" applyFont="1" applyBorder="1" applyAlignment="1" applyProtection="1">
      <alignment horizontal="center"/>
      <protection/>
    </xf>
    <xf numFmtId="165" fontId="110" fillId="0" borderId="0" xfId="59" applyNumberFormat="1" applyFont="1" applyBorder="1" applyAlignment="1" applyProtection="1">
      <alignment horizontal="center"/>
      <protection/>
    </xf>
    <xf numFmtId="0" fontId="111" fillId="0" borderId="0" xfId="59" applyFont="1">
      <alignment/>
      <protection/>
    </xf>
    <xf numFmtId="173" fontId="110" fillId="0" borderId="0" xfId="59" applyNumberFormat="1" applyFont="1" applyBorder="1" applyAlignment="1" applyProtection="1" quotePrefix="1">
      <alignment horizontal="center"/>
      <protection/>
    </xf>
    <xf numFmtId="0" fontId="110" fillId="0" borderId="0" xfId="59" applyFont="1">
      <alignment/>
      <protection/>
    </xf>
    <xf numFmtId="2" fontId="110" fillId="0" borderId="0" xfId="59" applyNumberFormat="1" applyFont="1" applyBorder="1" applyAlignment="1" applyProtection="1">
      <alignment horizontal="center"/>
      <protection/>
    </xf>
    <xf numFmtId="168" fontId="110" fillId="0" borderId="0" xfId="59" applyNumberFormat="1" applyFont="1" applyBorder="1" applyAlignment="1" applyProtection="1" quotePrefix="1">
      <alignment horizontal="center"/>
      <protection/>
    </xf>
    <xf numFmtId="0" fontId="4" fillId="0" borderId="0" xfId="59" applyFont="1" applyBorder="1" applyAlignment="1">
      <alignment horizontal="center"/>
      <protection/>
    </xf>
    <xf numFmtId="2" fontId="112" fillId="0" borderId="0" xfId="59" applyNumberFormat="1" applyFont="1" applyBorder="1" applyAlignment="1" applyProtection="1">
      <alignment horizontal="left"/>
      <protection/>
    </xf>
    <xf numFmtId="0" fontId="21" fillId="0" borderId="0" xfId="59" applyFont="1" applyAlignment="1">
      <alignment horizontal="center"/>
      <protection/>
    </xf>
    <xf numFmtId="173" fontId="4" fillId="0" borderId="0" xfId="59" applyNumberFormat="1" applyFont="1" applyBorder="1" applyAlignment="1" applyProtection="1">
      <alignment horizontal="left"/>
      <protection/>
    </xf>
    <xf numFmtId="168" fontId="4" fillId="0" borderId="0" xfId="59" applyNumberFormat="1" applyFont="1" applyBorder="1" applyAlignment="1" applyProtection="1">
      <alignment horizontal="left"/>
      <protection/>
    </xf>
    <xf numFmtId="2" fontId="113" fillId="0" borderId="0" xfId="59" applyNumberFormat="1" applyFont="1" applyBorder="1" applyAlignment="1" applyProtection="1">
      <alignment horizontal="center"/>
      <protection/>
    </xf>
    <xf numFmtId="168" fontId="107" fillId="0" borderId="0" xfId="59" applyNumberFormat="1" applyFont="1" applyBorder="1" applyAlignment="1" applyProtection="1" quotePrefix="1">
      <alignment horizontal="center"/>
      <protection/>
    </xf>
    <xf numFmtId="4" fontId="107" fillId="0" borderId="0" xfId="59" applyNumberFormat="1" applyFont="1" applyBorder="1" applyAlignment="1" applyProtection="1">
      <alignment horizontal="center"/>
      <protection/>
    </xf>
    <xf numFmtId="7" fontId="4" fillId="0" borderId="0" xfId="59" applyNumberFormat="1" applyFont="1" applyBorder="1" applyAlignment="1">
      <alignment horizontal="centerContinuous"/>
      <protection/>
    </xf>
    <xf numFmtId="170" fontId="21" fillId="0" borderId="0" xfId="59" applyNumberFormat="1" applyFont="1" applyBorder="1" applyAlignment="1" applyProtection="1">
      <alignment horizontal="center"/>
      <protection/>
    </xf>
    <xf numFmtId="1" fontId="21" fillId="0" borderId="0" xfId="59" applyNumberFormat="1" applyFont="1" applyBorder="1" applyAlignment="1" applyProtection="1">
      <alignment horizontal="center"/>
      <protection/>
    </xf>
    <xf numFmtId="183" fontId="21" fillId="0" borderId="0" xfId="59" applyNumberFormat="1" applyFont="1" applyBorder="1" applyAlignment="1" applyProtection="1">
      <alignment horizontal="centerContinuous"/>
      <protection/>
    </xf>
    <xf numFmtId="183" fontId="110" fillId="0" borderId="0" xfId="59" applyNumberFormat="1" applyFont="1" applyBorder="1" applyAlignment="1" applyProtection="1">
      <alignment horizontal="centerContinuous"/>
      <protection/>
    </xf>
    <xf numFmtId="168" fontId="110" fillId="0" borderId="0" xfId="59" applyNumberFormat="1" applyFont="1" applyBorder="1" applyAlignment="1" applyProtection="1" quotePrefix="1">
      <alignment horizontal="left"/>
      <protection/>
    </xf>
    <xf numFmtId="168" fontId="21" fillId="0" borderId="0" xfId="59" applyNumberFormat="1" applyFont="1" applyBorder="1">
      <alignment/>
      <protection/>
    </xf>
    <xf numFmtId="168" fontId="21" fillId="0" borderId="0" xfId="59" applyNumberFormat="1" applyFont="1" applyBorder="1" applyAlignment="1" applyProtection="1">
      <alignment horizontal="centerContinuous"/>
      <protection/>
    </xf>
    <xf numFmtId="168" fontId="110" fillId="0" borderId="0" xfId="59" applyNumberFormat="1" applyFont="1" applyBorder="1" applyAlignment="1" applyProtection="1" quotePrefix="1">
      <alignment horizontal="right"/>
      <protection/>
    </xf>
    <xf numFmtId="7" fontId="21" fillId="0" borderId="60" xfId="59" applyNumberFormat="1" applyFont="1" applyBorder="1" applyAlignment="1">
      <alignment horizontal="centerContinuous"/>
      <protection/>
    </xf>
    <xf numFmtId="7" fontId="21" fillId="0" borderId="0" xfId="59" applyNumberFormat="1" applyFont="1" applyBorder="1" applyAlignment="1">
      <alignment horizontal="right"/>
      <protection/>
    </xf>
    <xf numFmtId="0" fontId="10" fillId="0" borderId="15" xfId="59" applyFont="1" applyBorder="1" applyAlignment="1">
      <alignment horizontal="center"/>
      <protection/>
    </xf>
    <xf numFmtId="7" fontId="10" fillId="0" borderId="16" xfId="59" applyNumberFormat="1" applyFont="1" applyBorder="1" applyAlignment="1">
      <alignment horizontal="center"/>
      <protection/>
    </xf>
    <xf numFmtId="168" fontId="22" fillId="0" borderId="0" xfId="59" applyNumberFormat="1" applyFont="1" applyBorder="1" applyAlignment="1" applyProtection="1">
      <alignment horizontal="left"/>
      <protection/>
    </xf>
    <xf numFmtId="10" fontId="21" fillId="0" borderId="0" xfId="59" applyNumberFormat="1" applyFont="1" applyBorder="1" applyAlignment="1" applyProtection="1">
      <alignment horizontal="center"/>
      <protection/>
    </xf>
    <xf numFmtId="7" fontId="21" fillId="0" borderId="0" xfId="59" applyNumberFormat="1" applyFont="1" applyAlignment="1">
      <alignment horizontal="right"/>
      <protection/>
    </xf>
    <xf numFmtId="0" fontId="21" fillId="0" borderId="0" xfId="59" applyFont="1" quotePrefix="1">
      <alignment/>
      <protection/>
    </xf>
    <xf numFmtId="168" fontId="21" fillId="0" borderId="0" xfId="59" applyNumberFormat="1" applyFont="1" applyBorder="1" applyAlignment="1" applyProtection="1" quotePrefix="1">
      <alignment horizontal="center"/>
      <protection/>
    </xf>
    <xf numFmtId="7" fontId="21" fillId="0" borderId="0" xfId="59" applyNumberFormat="1" applyFont="1" applyBorder="1" applyAlignment="1" applyProtection="1">
      <alignment horizontal="left"/>
      <protection/>
    </xf>
    <xf numFmtId="0" fontId="111" fillId="0" borderId="0" xfId="59" applyFont="1" quotePrefix="1">
      <alignment/>
      <protection/>
    </xf>
    <xf numFmtId="0" fontId="114" fillId="0" borderId="0" xfId="59" applyFont="1" applyAlignment="1">
      <alignment vertical="center"/>
      <protection/>
    </xf>
    <xf numFmtId="0" fontId="23" fillId="0" borderId="13" xfId="59" applyFont="1" applyBorder="1" applyAlignment="1">
      <alignment vertical="center"/>
      <protection/>
    </xf>
    <xf numFmtId="0" fontId="23" fillId="0" borderId="0" xfId="59" applyFont="1" applyBorder="1" applyAlignment="1">
      <alignment horizontal="center" vertical="center"/>
      <protection/>
    </xf>
    <xf numFmtId="168" fontId="23" fillId="0" borderId="0" xfId="59" applyNumberFormat="1" applyFont="1" applyBorder="1" applyAlignment="1" applyProtection="1">
      <alignment horizontal="left" vertical="center"/>
      <protection/>
    </xf>
    <xf numFmtId="0" fontId="114" fillId="0" borderId="0" xfId="59" applyFont="1" applyAlignment="1" quotePrefix="1">
      <alignment vertical="center"/>
      <protection/>
    </xf>
    <xf numFmtId="0" fontId="23" fillId="0" borderId="0" xfId="59" applyFont="1" applyBorder="1" applyAlignment="1" applyProtection="1">
      <alignment horizontal="center" vertical="center"/>
      <protection/>
    </xf>
    <xf numFmtId="165" fontId="23" fillId="0" borderId="0" xfId="59" applyNumberFormat="1" applyFont="1" applyBorder="1" applyAlignment="1" applyProtection="1">
      <alignment horizontal="center" vertical="center"/>
      <protection/>
    </xf>
    <xf numFmtId="4" fontId="10" fillId="0" borderId="15" xfId="59" applyNumberFormat="1" applyFont="1" applyBorder="1" applyAlignment="1" applyProtection="1">
      <alignment horizontal="center" vertical="center"/>
      <protection/>
    </xf>
    <xf numFmtId="7" fontId="115" fillId="0" borderId="16" xfId="59" applyNumberFormat="1" applyFont="1" applyFill="1" applyBorder="1" applyAlignment="1">
      <alignment horizontal="center" vertical="center"/>
      <protection/>
    </xf>
    <xf numFmtId="168" fontId="23" fillId="0" borderId="0" xfId="59" applyNumberFormat="1" applyFont="1" applyBorder="1" applyAlignment="1" applyProtection="1">
      <alignment horizontal="center" vertical="center"/>
      <protection/>
    </xf>
    <xf numFmtId="168" fontId="10" fillId="0" borderId="0" xfId="59" applyNumberFormat="1" applyFont="1" applyBorder="1" applyAlignment="1" applyProtection="1">
      <alignment horizontal="left" vertical="center"/>
      <protection/>
    </xf>
    <xf numFmtId="173" fontId="23" fillId="0" borderId="0" xfId="59" applyNumberFormat="1" applyFont="1" applyBorder="1" applyAlignment="1" applyProtection="1" quotePrefix="1">
      <alignment horizontal="center" vertical="center"/>
      <protection/>
    </xf>
    <xf numFmtId="2" fontId="116" fillId="0" borderId="0" xfId="59" applyNumberFormat="1" applyFont="1" applyBorder="1" applyAlignment="1" applyProtection="1">
      <alignment horizontal="center" vertical="center"/>
      <protection/>
    </xf>
    <xf numFmtId="168" fontId="117" fillId="0" borderId="0" xfId="59" applyNumberFormat="1" applyFont="1" applyBorder="1" applyAlignment="1" applyProtection="1" quotePrefix="1">
      <alignment horizontal="center" vertical="center"/>
      <protection/>
    </xf>
    <xf numFmtId="4" fontId="23" fillId="0" borderId="14" xfId="59" applyNumberFormat="1" applyFont="1" applyFill="1" applyBorder="1" applyAlignment="1">
      <alignment horizontal="center" vertical="center"/>
      <protection/>
    </xf>
    <xf numFmtId="0" fontId="3" fillId="0" borderId="18" xfId="59" applyBorder="1">
      <alignment/>
      <protection/>
    </xf>
    <xf numFmtId="0" fontId="21" fillId="0" borderId="19" xfId="59" applyFont="1" applyFill="1" applyBorder="1">
      <alignment/>
      <protection/>
    </xf>
    <xf numFmtId="0" fontId="13" fillId="0" borderId="0" xfId="59" applyFont="1" applyBorder="1" applyAlignment="1">
      <alignment horizontal="left"/>
      <protection/>
    </xf>
    <xf numFmtId="0" fontId="11" fillId="0" borderId="0" xfId="59" applyFont="1" applyAlignment="1">
      <alignment horizontal="right" vertical="top"/>
      <protection/>
    </xf>
    <xf numFmtId="0" fontId="6" fillId="0" borderId="0" xfId="59" applyFont="1" applyFill="1" applyBorder="1" applyAlignment="1" applyProtection="1">
      <alignment horizontal="center"/>
      <protection/>
    </xf>
    <xf numFmtId="0" fontId="6" fillId="0" borderId="0" xfId="59" applyFont="1" applyFill="1" applyBorder="1" applyAlignment="1" applyProtection="1">
      <alignment horizontal="left"/>
      <protection/>
    </xf>
    <xf numFmtId="1" fontId="3" fillId="0" borderId="73" xfId="59" applyNumberFormat="1" applyBorder="1" applyAlignment="1">
      <alignment horizontal="center"/>
      <protection/>
    </xf>
    <xf numFmtId="0" fontId="48" fillId="0" borderId="74" xfId="59" applyFont="1" applyBorder="1" applyAlignment="1">
      <alignment horizontal="centerContinuous"/>
      <protection/>
    </xf>
    <xf numFmtId="0" fontId="48" fillId="0" borderId="75" xfId="59" applyFont="1" applyBorder="1" applyAlignment="1">
      <alignment horizontal="centerContinuous"/>
      <protection/>
    </xf>
    <xf numFmtId="174" fontId="48" fillId="0" borderId="76" xfId="59" applyNumberFormat="1" applyFont="1" applyBorder="1" applyAlignment="1">
      <alignment horizontal="center"/>
      <protection/>
    </xf>
    <xf numFmtId="1" fontId="48" fillId="0" borderId="76" xfId="59" applyNumberFormat="1" applyFont="1" applyBorder="1" applyAlignment="1">
      <alignment horizontal="center"/>
      <protection/>
    </xf>
    <xf numFmtId="0" fontId="48" fillId="0" borderId="77" xfId="59" applyFont="1" applyBorder="1" applyAlignment="1">
      <alignment horizontal="centerContinuous"/>
      <protection/>
    </xf>
    <xf numFmtId="0" fontId="48" fillId="0" borderId="64" xfId="59" applyFont="1" applyBorder="1" applyAlignment="1">
      <alignment horizontal="centerContinuous"/>
      <protection/>
    </xf>
    <xf numFmtId="174" fontId="48" fillId="0" borderId="78" xfId="59" applyNumberFormat="1" applyFont="1" applyBorder="1" applyAlignment="1">
      <alignment horizontal="center"/>
      <protection/>
    </xf>
    <xf numFmtId="1" fontId="48" fillId="0" borderId="78" xfId="59" applyNumberFormat="1" applyFont="1" applyBorder="1" applyAlignment="1">
      <alignment horizontal="center"/>
      <protection/>
    </xf>
    <xf numFmtId="183" fontId="21" fillId="0" borderId="0" xfId="59" applyNumberFormat="1" applyFont="1" applyBorder="1">
      <alignment/>
      <protection/>
    </xf>
    <xf numFmtId="0" fontId="48" fillId="0" borderId="79" xfId="59" applyFont="1" applyBorder="1" applyAlignment="1">
      <alignment horizontal="centerContinuous"/>
      <protection/>
    </xf>
    <xf numFmtId="0" fontId="48" fillId="0" borderId="80" xfId="59" applyFont="1" applyBorder="1" applyAlignment="1">
      <alignment horizontal="centerContinuous"/>
      <protection/>
    </xf>
    <xf numFmtId="174" fontId="48" fillId="0" borderId="81" xfId="59" applyNumberFormat="1" applyFont="1" applyFill="1" applyBorder="1" applyAlignment="1">
      <alignment horizontal="center"/>
      <protection/>
    </xf>
    <xf numFmtId="1" fontId="48" fillId="0" borderId="81" xfId="59" applyNumberFormat="1" applyFont="1" applyFill="1" applyBorder="1" applyAlignment="1">
      <alignment horizontal="center"/>
      <protection/>
    </xf>
    <xf numFmtId="2" fontId="105" fillId="0" borderId="62" xfId="59" applyNumberFormat="1" applyFont="1" applyFill="1" applyBorder="1" applyAlignment="1" applyProtection="1">
      <alignment horizontal="center"/>
      <protection/>
    </xf>
    <xf numFmtId="2" fontId="76" fillId="0" borderId="62" xfId="59" applyNumberFormat="1" applyFont="1" applyFill="1" applyBorder="1" applyAlignment="1" applyProtection="1">
      <alignment horizontal="center"/>
      <protection/>
    </xf>
    <xf numFmtId="2" fontId="108" fillId="0" borderId="62" xfId="59" applyNumberFormat="1" applyFont="1" applyFill="1" applyBorder="1" applyAlignment="1" applyProtection="1">
      <alignment horizontal="center"/>
      <protection/>
    </xf>
    <xf numFmtId="0" fontId="30" fillId="0" borderId="20" xfId="59" applyFont="1" applyFill="1" applyBorder="1" applyAlignment="1" applyProtection="1" quotePrefix="1">
      <alignment horizontal="center" vertical="center" wrapText="1"/>
      <protection/>
    </xf>
    <xf numFmtId="0" fontId="30" fillId="0" borderId="15" xfId="59" applyFont="1" applyFill="1" applyBorder="1" applyAlignment="1" applyProtection="1">
      <alignment horizontal="centerContinuous" vertical="center"/>
      <protection/>
    </xf>
    <xf numFmtId="164" fontId="13" fillId="0" borderId="27" xfId="59" applyNumberFormat="1" applyFont="1" applyFill="1" applyBorder="1" applyAlignment="1" applyProtection="1">
      <alignment horizontal="center"/>
      <protection/>
    </xf>
    <xf numFmtId="0" fontId="109" fillId="37" borderId="27" xfId="59" applyFont="1" applyFill="1" applyBorder="1" applyAlignment="1">
      <alignment horizontal="center"/>
      <protection/>
    </xf>
    <xf numFmtId="0" fontId="13" fillId="0" borderId="22" xfId="59" applyFont="1" applyFill="1" applyBorder="1" applyAlignment="1">
      <alignment horizontal="centerContinuous"/>
      <protection/>
    </xf>
    <xf numFmtId="0" fontId="63" fillId="37" borderId="22" xfId="59" applyFont="1" applyFill="1" applyBorder="1" applyAlignment="1">
      <alignment horizontal="center"/>
      <protection/>
    </xf>
    <xf numFmtId="0" fontId="29" fillId="53" borderId="22" xfId="59" applyFont="1" applyFill="1" applyBorder="1" applyAlignment="1">
      <alignment horizontal="center"/>
      <protection/>
    </xf>
    <xf numFmtId="0" fontId="29" fillId="54" borderId="23" xfId="59" applyFont="1" applyFill="1" applyBorder="1" applyAlignment="1">
      <alignment horizontal="center"/>
      <protection/>
    </xf>
    <xf numFmtId="0" fontId="29" fillId="54" borderId="25" xfId="59" applyFont="1" applyFill="1" applyBorder="1" applyAlignment="1">
      <alignment horizontal="left"/>
      <protection/>
    </xf>
    <xf numFmtId="0" fontId="29" fillId="35" borderId="22" xfId="59" applyFont="1" applyFill="1" applyBorder="1" applyAlignment="1">
      <alignment horizontal="left"/>
      <protection/>
    </xf>
    <xf numFmtId="168" fontId="13" fillId="0" borderId="27" xfId="59" applyNumberFormat="1" applyFont="1" applyBorder="1" applyAlignment="1" applyProtection="1">
      <alignment horizontal="centerContinuous"/>
      <protection/>
    </xf>
    <xf numFmtId="164" fontId="63" fillId="37" borderId="27" xfId="59" applyNumberFormat="1" applyFont="1" applyFill="1" applyBorder="1" applyAlignment="1" applyProtection="1">
      <alignment horizontal="center"/>
      <protection/>
    </xf>
    <xf numFmtId="164" fontId="13" fillId="0" borderId="26" xfId="59" applyNumberFormat="1" applyFont="1" applyBorder="1" applyAlignment="1" applyProtection="1">
      <alignment horizontal="center"/>
      <protection/>
    </xf>
    <xf numFmtId="1" fontId="13" fillId="0" borderId="48" xfId="59" applyNumberFormat="1" applyFont="1" applyBorder="1" applyAlignment="1" applyProtection="1">
      <alignment horizontal="center"/>
      <protection/>
    </xf>
    <xf numFmtId="164" fontId="13" fillId="0" borderId="33" xfId="59" applyNumberFormat="1" applyFont="1" applyBorder="1" applyAlignment="1" applyProtection="1">
      <alignment horizontal="center"/>
      <protection/>
    </xf>
    <xf numFmtId="1" fontId="13" fillId="0" borderId="51" xfId="59" applyNumberFormat="1" applyFont="1" applyBorder="1" applyAlignment="1" applyProtection="1" quotePrefix="1">
      <alignment horizontal="center"/>
      <protection/>
    </xf>
    <xf numFmtId="168" fontId="109" fillId="37" borderId="35" xfId="59" applyNumberFormat="1" applyFont="1" applyFill="1" applyBorder="1" applyAlignment="1" applyProtection="1">
      <alignment horizontal="center"/>
      <protection/>
    </xf>
    <xf numFmtId="168" fontId="13" fillId="0" borderId="35" xfId="59" applyNumberFormat="1" applyFont="1" applyBorder="1" applyAlignment="1" applyProtection="1">
      <alignment horizontal="centerContinuous"/>
      <protection/>
    </xf>
    <xf numFmtId="164" fontId="63" fillId="37" borderId="35" xfId="59" applyNumberFormat="1" applyFont="1" applyFill="1" applyBorder="1" applyAlignment="1" applyProtection="1">
      <alignment horizontal="center"/>
      <protection/>
    </xf>
    <xf numFmtId="2" fontId="29" fillId="53" borderId="35" xfId="59" applyNumberFormat="1" applyFont="1" applyFill="1" applyBorder="1" applyAlignment="1">
      <alignment horizontal="center"/>
      <protection/>
    </xf>
    <xf numFmtId="168" fontId="29" fillId="54" borderId="50" xfId="59" applyNumberFormat="1" applyFont="1" applyFill="1" applyBorder="1" applyAlignment="1" applyProtection="1" quotePrefix="1">
      <alignment horizontal="center"/>
      <protection/>
    </xf>
    <xf numFmtId="168" fontId="29" fillId="54" borderId="51" xfId="59" applyNumberFormat="1" applyFont="1" applyFill="1" applyBorder="1" applyAlignment="1" applyProtection="1" quotePrefix="1">
      <alignment horizontal="center"/>
      <protection/>
    </xf>
    <xf numFmtId="168" fontId="29" fillId="35" borderId="35" xfId="59" applyNumberFormat="1" applyFont="1" applyFill="1" applyBorder="1" applyAlignment="1" applyProtection="1" quotePrefix="1">
      <alignment horizontal="center"/>
      <protection/>
    </xf>
    <xf numFmtId="0" fontId="30" fillId="0" borderId="16" xfId="59" applyFont="1" applyBorder="1" applyAlignment="1" applyProtection="1">
      <alignment horizontal="center" vertical="center" wrapText="1"/>
      <protection/>
    </xf>
    <xf numFmtId="0" fontId="68" fillId="43" borderId="20" xfId="59" applyFont="1" applyFill="1" applyBorder="1" applyAlignment="1">
      <alignment horizontal="center" vertical="center" wrapText="1"/>
      <protection/>
    </xf>
    <xf numFmtId="0" fontId="35" fillId="36" borderId="15" xfId="59" applyFont="1" applyFill="1" applyBorder="1" applyAlignment="1" applyProtection="1">
      <alignment horizontal="centerContinuous" vertical="center" wrapText="1"/>
      <protection/>
    </xf>
    <xf numFmtId="0" fontId="35" fillId="36" borderId="16" xfId="59" applyFont="1" applyFill="1" applyBorder="1" applyAlignment="1">
      <alignment horizontal="centerContinuous" vertical="center"/>
      <protection/>
    </xf>
    <xf numFmtId="0" fontId="62" fillId="35" borderId="20" xfId="59" applyFont="1" applyFill="1" applyBorder="1" applyAlignment="1">
      <alignment horizontal="center" vertical="center" wrapText="1"/>
      <protection/>
    </xf>
    <xf numFmtId="0" fontId="13" fillId="0" borderId="14" xfId="59" applyFont="1" applyBorder="1">
      <alignment/>
      <protection/>
    </xf>
    <xf numFmtId="0" fontId="74" fillId="0" borderId="32" xfId="59" applyFont="1" applyBorder="1" applyAlignment="1" applyProtection="1">
      <alignment horizontal="center"/>
      <protection/>
    </xf>
    <xf numFmtId="0" fontId="63" fillId="37" borderId="32" xfId="59" applyFont="1" applyFill="1" applyBorder="1" applyAlignment="1" applyProtection="1">
      <alignment horizontal="center"/>
      <protection/>
    </xf>
    <xf numFmtId="0" fontId="29" fillId="34" borderId="27" xfId="59" applyFont="1" applyFill="1" applyBorder="1" applyAlignment="1" applyProtection="1">
      <alignment horizontal="center"/>
      <protection/>
    </xf>
    <xf numFmtId="0" fontId="72" fillId="43" borderId="27" xfId="59" applyFont="1" applyFill="1" applyBorder="1" applyAlignment="1" applyProtection="1">
      <alignment horizontal="center"/>
      <protection/>
    </xf>
    <xf numFmtId="168" fontId="51" fillId="36" borderId="29" xfId="59" applyNumberFormat="1" applyFont="1" applyFill="1" applyBorder="1" applyAlignment="1" applyProtection="1" quotePrefix="1">
      <alignment horizontal="center"/>
      <protection/>
    </xf>
    <xf numFmtId="168" fontId="51" fillId="36" borderId="56" xfId="59" applyNumberFormat="1" applyFont="1" applyFill="1" applyBorder="1" applyAlignment="1" applyProtection="1" quotePrefix="1">
      <alignment horizontal="center"/>
      <protection/>
    </xf>
    <xf numFmtId="168" fontId="77" fillId="0" borderId="27" xfId="59" applyNumberFormat="1" applyFont="1" applyFill="1" applyBorder="1" applyAlignment="1">
      <alignment horizontal="center"/>
      <protection/>
    </xf>
    <xf numFmtId="0" fontId="13" fillId="0" borderId="32" xfId="59" applyFont="1" applyBorder="1" applyAlignment="1" applyProtection="1">
      <alignment horizontal="center"/>
      <protection/>
    </xf>
    <xf numFmtId="164" fontId="13" fillId="0" borderId="27" xfId="59" applyNumberFormat="1" applyFont="1" applyBorder="1" applyAlignment="1" applyProtection="1" quotePrefix="1">
      <alignment horizontal="center"/>
      <protection/>
    </xf>
    <xf numFmtId="168" fontId="63" fillId="37" borderId="27" xfId="59" applyNumberFormat="1" applyFont="1" applyFill="1" applyBorder="1" applyAlignment="1" applyProtection="1">
      <alignment horizontal="center"/>
      <protection/>
    </xf>
    <xf numFmtId="22" fontId="13" fillId="0" borderId="29" xfId="59" applyNumberFormat="1" applyFont="1" applyBorder="1" applyAlignment="1">
      <alignment horizontal="center"/>
      <protection/>
    </xf>
    <xf numFmtId="22" fontId="13" fillId="0" borderId="27" xfId="59" applyNumberFormat="1" applyFont="1" applyBorder="1" applyAlignment="1" applyProtection="1">
      <alignment horizontal="center"/>
      <protection/>
    </xf>
    <xf numFmtId="164" fontId="29" fillId="34" borderId="27" xfId="59" applyNumberFormat="1" applyFont="1" applyFill="1" applyBorder="1" applyAlignment="1" applyProtection="1">
      <alignment horizontal="center"/>
      <protection/>
    </xf>
    <xf numFmtId="2" fontId="72" fillId="43" borderId="27" xfId="59" applyNumberFormat="1" applyFont="1" applyFill="1" applyBorder="1" applyAlignment="1">
      <alignment horizontal="center"/>
      <protection/>
    </xf>
    <xf numFmtId="168" fontId="13" fillId="0" borderId="27" xfId="59" applyNumberFormat="1" applyFont="1" applyBorder="1" applyAlignment="1">
      <alignment horizontal="center"/>
      <protection/>
    </xf>
    <xf numFmtId="0" fontId="13" fillId="0" borderId="26" xfId="55" applyFont="1" applyBorder="1" applyAlignment="1" applyProtection="1">
      <alignment horizontal="center"/>
      <protection locked="0"/>
    </xf>
    <xf numFmtId="22" fontId="13" fillId="0" borderId="47" xfId="59" applyNumberFormat="1" applyFont="1" applyBorder="1" applyAlignment="1">
      <alignment horizontal="center"/>
      <protection/>
    </xf>
    <xf numFmtId="22" fontId="13" fillId="0" borderId="26" xfId="59" applyNumberFormat="1" applyFont="1" applyBorder="1" applyAlignment="1" applyProtection="1">
      <alignment horizontal="center"/>
      <protection/>
    </xf>
    <xf numFmtId="2" fontId="13" fillId="0" borderId="26" xfId="59" applyNumberFormat="1" applyFont="1" applyFill="1" applyBorder="1" applyAlignment="1" applyProtection="1" quotePrefix="1">
      <alignment horizontal="center"/>
      <protection/>
    </xf>
    <xf numFmtId="0" fontId="13" fillId="0" borderId="82" xfId="59" applyFont="1" applyBorder="1" applyAlignment="1" applyProtection="1">
      <alignment horizontal="center"/>
      <protection/>
    </xf>
    <xf numFmtId="164" fontId="13" fillId="0" borderId="26" xfId="59" applyNumberFormat="1" applyFont="1" applyBorder="1" applyAlignment="1" applyProtection="1" quotePrefix="1">
      <alignment horizontal="center"/>
      <protection/>
    </xf>
    <xf numFmtId="168" fontId="63" fillId="37" borderId="26" xfId="59" applyNumberFormat="1" applyFont="1" applyFill="1" applyBorder="1" applyAlignment="1" applyProtection="1">
      <alignment horizontal="center"/>
      <protection/>
    </xf>
    <xf numFmtId="164" fontId="13" fillId="0" borderId="26" xfId="59" applyNumberFormat="1" applyFont="1" applyFill="1" applyBorder="1" applyAlignment="1" applyProtection="1" quotePrefix="1">
      <alignment horizontal="center"/>
      <protection/>
    </xf>
    <xf numFmtId="164" fontId="29" fillId="34" borderId="34" xfId="59" applyNumberFormat="1" applyFont="1" applyFill="1" applyBorder="1" applyAlignment="1" applyProtection="1">
      <alignment horizontal="center"/>
      <protection/>
    </xf>
    <xf numFmtId="2" fontId="72" fillId="43" borderId="34" xfId="59" applyNumberFormat="1" applyFont="1" applyFill="1" applyBorder="1" applyAlignment="1">
      <alignment horizontal="center"/>
      <protection/>
    </xf>
    <xf numFmtId="168" fontId="51" fillId="36" borderId="83" xfId="59" applyNumberFormat="1" applyFont="1" applyFill="1" applyBorder="1" applyAlignment="1" applyProtection="1" quotePrefix="1">
      <alignment horizontal="center"/>
      <protection/>
    </xf>
    <xf numFmtId="168" fontId="51" fillId="36" borderId="84" xfId="59" applyNumberFormat="1" applyFont="1" applyFill="1" applyBorder="1" applyAlignment="1" applyProtection="1" quotePrefix="1">
      <alignment horizontal="center"/>
      <protection/>
    </xf>
    <xf numFmtId="168" fontId="64" fillId="35" borderId="34" xfId="59" applyNumberFormat="1" applyFont="1" applyFill="1" applyBorder="1" applyAlignment="1" applyProtection="1" quotePrefix="1">
      <alignment horizontal="center"/>
      <protection/>
    </xf>
    <xf numFmtId="168" fontId="13" fillId="0" borderId="34" xfId="59" applyNumberFormat="1" applyFont="1" applyBorder="1" applyAlignment="1">
      <alignment horizontal="center"/>
      <protection/>
    </xf>
    <xf numFmtId="4" fontId="77" fillId="0" borderId="34" xfId="59" applyNumberFormat="1" applyFont="1" applyFill="1" applyBorder="1" applyAlignment="1">
      <alignment horizontal="right"/>
      <protection/>
    </xf>
    <xf numFmtId="0" fontId="74" fillId="0" borderId="85" xfId="59" applyFont="1" applyBorder="1" applyAlignment="1" applyProtection="1">
      <alignment horizontal="center"/>
      <protection/>
    </xf>
    <xf numFmtId="164" fontId="49" fillId="0" borderId="33" xfId="59" applyNumberFormat="1" applyFont="1" applyBorder="1" applyAlignment="1" applyProtection="1" quotePrefix="1">
      <alignment horizontal="center"/>
      <protection/>
    </xf>
    <xf numFmtId="168" fontId="63" fillId="37" borderId="33" xfId="59" applyNumberFormat="1" applyFont="1" applyFill="1" applyBorder="1" applyAlignment="1" applyProtection="1">
      <alignment horizontal="center"/>
      <protection/>
    </xf>
    <xf numFmtId="22" fontId="13" fillId="0" borderId="50" xfId="59" applyNumberFormat="1" applyFont="1" applyBorder="1" applyAlignment="1">
      <alignment horizontal="center"/>
      <protection/>
    </xf>
    <xf numFmtId="22" fontId="13" fillId="0" borderId="33" xfId="59" applyNumberFormat="1" applyFont="1" applyBorder="1" applyAlignment="1" applyProtection="1">
      <alignment horizontal="center"/>
      <protection/>
    </xf>
    <xf numFmtId="2" fontId="13" fillId="0" borderId="33" xfId="59" applyNumberFormat="1" applyFont="1" applyFill="1" applyBorder="1" applyAlignment="1" applyProtection="1" quotePrefix="1">
      <alignment horizontal="center"/>
      <protection/>
    </xf>
    <xf numFmtId="164" fontId="13" fillId="0" borderId="33" xfId="59" applyNumberFormat="1" applyFont="1" applyFill="1" applyBorder="1" applyAlignment="1" applyProtection="1" quotePrefix="1">
      <alignment horizontal="center"/>
      <protection/>
    </xf>
    <xf numFmtId="164" fontId="29" fillId="34" borderId="33" xfId="59" applyNumberFormat="1" applyFont="1" applyFill="1" applyBorder="1" applyAlignment="1" applyProtection="1">
      <alignment horizontal="center"/>
      <protection/>
    </xf>
    <xf numFmtId="2" fontId="72" fillId="43" borderId="33" xfId="59" applyNumberFormat="1" applyFont="1" applyFill="1" applyBorder="1" applyAlignment="1">
      <alignment horizontal="center"/>
      <protection/>
    </xf>
    <xf numFmtId="168" fontId="51" fillId="36" borderId="50" xfId="59" applyNumberFormat="1" applyFont="1" applyFill="1" applyBorder="1" applyAlignment="1" applyProtection="1" quotePrefix="1">
      <alignment horizontal="center"/>
      <protection/>
    </xf>
    <xf numFmtId="168" fontId="51" fillId="36" borderId="51" xfId="59" applyNumberFormat="1" applyFont="1" applyFill="1" applyBorder="1" applyAlignment="1" applyProtection="1" quotePrefix="1">
      <alignment horizontal="center"/>
      <protection/>
    </xf>
    <xf numFmtId="168" fontId="64" fillId="35" borderId="33" xfId="59" applyNumberFormat="1" applyFont="1" applyFill="1" applyBorder="1" applyAlignment="1" applyProtection="1" quotePrefix="1">
      <alignment horizontal="center"/>
      <protection/>
    </xf>
    <xf numFmtId="168" fontId="13" fillId="0" borderId="33" xfId="59" applyNumberFormat="1" applyFont="1" applyBorder="1" applyAlignment="1">
      <alignment horizontal="center"/>
      <protection/>
    </xf>
    <xf numFmtId="4" fontId="77" fillId="0" borderId="33" xfId="59" applyNumberFormat="1" applyFont="1" applyFill="1" applyBorder="1" applyAlignment="1">
      <alignment horizontal="right"/>
      <protection/>
    </xf>
    <xf numFmtId="0" fontId="48" fillId="0" borderId="0" xfId="59" applyFont="1" applyFill="1" applyBorder="1">
      <alignment/>
      <protection/>
    </xf>
    <xf numFmtId="0" fontId="48" fillId="0" borderId="0" xfId="59" applyFont="1" applyFill="1" applyBorder="1" applyAlignment="1">
      <alignment horizontal="center"/>
      <protection/>
    </xf>
    <xf numFmtId="164" fontId="48" fillId="0" borderId="0" xfId="59" applyNumberFormat="1" applyFont="1" applyBorder="1" applyAlignment="1" applyProtection="1" quotePrefix="1">
      <alignment horizontal="center"/>
      <protection/>
    </xf>
    <xf numFmtId="7" fontId="48" fillId="0" borderId="0" xfId="59" applyNumberFormat="1" applyFont="1" applyFill="1" applyBorder="1" applyAlignment="1">
      <alignment horizontal="center"/>
      <protection/>
    </xf>
    <xf numFmtId="0" fontId="48" fillId="0" borderId="0" xfId="59" applyFont="1" applyFill="1" applyBorder="1" applyAlignment="1">
      <alignment horizontal="centerContinuous"/>
      <protection/>
    </xf>
    <xf numFmtId="0" fontId="48" fillId="0" borderId="0" xfId="59" applyFont="1" applyBorder="1" applyAlignment="1" applyProtection="1">
      <alignment horizontal="center"/>
      <protection/>
    </xf>
    <xf numFmtId="4" fontId="110" fillId="0" borderId="0" xfId="59" applyNumberFormat="1" applyFont="1" applyBorder="1" applyAlignment="1" applyProtection="1">
      <alignment horizontal="center"/>
      <protection/>
    </xf>
    <xf numFmtId="6" fontId="48" fillId="0" borderId="0" xfId="52" applyFont="1" applyBorder="1" applyAlignment="1">
      <alignment horizontal="center"/>
    </xf>
    <xf numFmtId="1" fontId="21" fillId="0" borderId="0" xfId="59" applyNumberFormat="1" applyFont="1" applyBorder="1" applyAlignment="1" applyProtection="1">
      <alignment horizontal="centerContinuous"/>
      <protection/>
    </xf>
    <xf numFmtId="0" fontId="13" fillId="0" borderId="34" xfId="55" applyFont="1" applyBorder="1" applyAlignment="1" applyProtection="1">
      <alignment horizontal="center"/>
      <protection locked="0"/>
    </xf>
    <xf numFmtId="0" fontId="13" fillId="0" borderId="26" xfId="62" applyFont="1" applyFill="1" applyBorder="1" applyAlignment="1" applyProtection="1">
      <alignment horizontal="center"/>
      <protection locked="0"/>
    </xf>
    <xf numFmtId="164" fontId="13" fillId="0" borderId="26" xfId="62" applyNumberFormat="1" applyFont="1" applyFill="1" applyBorder="1" applyAlignment="1" applyProtection="1">
      <alignment horizontal="center"/>
      <protection locked="0"/>
    </xf>
    <xf numFmtId="170" fontId="13" fillId="0" borderId="26" xfId="62" applyNumberFormat="1" applyFont="1" applyFill="1" applyBorder="1" applyAlignment="1" applyProtection="1">
      <alignment horizontal="center"/>
      <protection locked="0"/>
    </xf>
    <xf numFmtId="0" fontId="13" fillId="0" borderId="86" xfId="59" applyFont="1" applyBorder="1" applyAlignment="1" applyProtection="1">
      <alignment horizontal="center"/>
      <protection/>
    </xf>
    <xf numFmtId="164" fontId="13" fillId="0" borderId="82" xfId="59" applyNumberFormat="1" applyFont="1" applyBorder="1" applyAlignment="1" applyProtection="1">
      <alignment horizontal="center"/>
      <protection/>
    </xf>
    <xf numFmtId="1" fontId="13" fillId="0" borderId="87" xfId="59" applyNumberFormat="1" applyFont="1" applyBorder="1" applyAlignment="1" applyProtection="1">
      <alignment horizontal="center"/>
      <protection/>
    </xf>
    <xf numFmtId="0" fontId="91" fillId="0" borderId="0" xfId="63" applyFont="1" applyBorder="1" applyAlignment="1" applyProtection="1">
      <alignment horizontal="left"/>
      <protection/>
    </xf>
    <xf numFmtId="0" fontId="97" fillId="0" borderId="0" xfId="63" applyFont="1" applyFill="1">
      <alignment/>
      <protection/>
    </xf>
    <xf numFmtId="0" fontId="98" fillId="0" borderId="0" xfId="63" applyFont="1" applyAlignment="1">
      <alignment horizontal="centerContinuous"/>
      <protection/>
    </xf>
    <xf numFmtId="0" fontId="97" fillId="0" borderId="0" xfId="63" applyFont="1" applyAlignment="1">
      <alignment horizontal="centerContinuous"/>
      <protection/>
    </xf>
    <xf numFmtId="0" fontId="97" fillId="0" borderId="0" xfId="63" applyFont="1">
      <alignment/>
      <protection/>
    </xf>
    <xf numFmtId="0" fontId="6" fillId="0" borderId="0" xfId="63" applyFont="1" applyFill="1" applyBorder="1" applyAlignment="1" applyProtection="1">
      <alignment horizontal="center"/>
      <protection/>
    </xf>
    <xf numFmtId="0" fontId="3" fillId="0" borderId="11" xfId="63" applyBorder="1">
      <alignment/>
      <protection/>
    </xf>
    <xf numFmtId="0" fontId="19" fillId="0" borderId="0" xfId="63" applyFont="1" applyBorder="1">
      <alignment/>
      <protection/>
    </xf>
    <xf numFmtId="0" fontId="17" fillId="0" borderId="0" xfId="63" applyFont="1" applyBorder="1">
      <alignment/>
      <protection/>
    </xf>
    <xf numFmtId="0" fontId="23" fillId="0" borderId="14" xfId="63" applyFont="1" applyFill="1" applyBorder="1">
      <alignment/>
      <protection/>
    </xf>
    <xf numFmtId="0" fontId="23" fillId="0" borderId="0" xfId="63" applyFont="1" applyAlignment="1">
      <alignment horizontal="centerContinuous"/>
      <protection/>
    </xf>
    <xf numFmtId="0" fontId="23" fillId="0" borderId="0" xfId="63" applyFont="1" applyAlignment="1">
      <alignment/>
      <protection/>
    </xf>
    <xf numFmtId="0" fontId="99" fillId="0" borderId="0" xfId="63" applyFont="1" applyBorder="1" applyAlignment="1" quotePrefix="1">
      <alignment horizontal="left"/>
      <protection/>
    </xf>
    <xf numFmtId="168" fontId="48" fillId="0" borderId="0" xfId="63" applyNumberFormat="1" applyFont="1" applyBorder="1" applyAlignment="1" applyProtection="1">
      <alignment horizontal="left"/>
      <protection/>
    </xf>
    <xf numFmtId="0" fontId="21" fillId="0" borderId="13" xfId="63" applyFont="1" applyBorder="1">
      <alignment/>
      <protection/>
    </xf>
    <xf numFmtId="0" fontId="21" fillId="0" borderId="0" xfId="63" applyFont="1" applyBorder="1" applyAlignment="1">
      <alignment horizontal="right"/>
      <protection/>
    </xf>
    <xf numFmtId="7" fontId="21" fillId="0" borderId="0" xfId="63" applyNumberFormat="1" applyFont="1" applyBorder="1" applyAlignment="1">
      <alignment horizontal="center"/>
      <protection/>
    </xf>
    <xf numFmtId="0" fontId="21" fillId="0" borderId="0" xfId="63" applyFont="1" applyBorder="1" applyAlignment="1">
      <alignment horizontal="center"/>
      <protection/>
    </xf>
    <xf numFmtId="0" fontId="100" fillId="0" borderId="0" xfId="63" applyFont="1" applyBorder="1" applyAlignment="1" quotePrefix="1">
      <alignment horizontal="left"/>
      <protection/>
    </xf>
    <xf numFmtId="0" fontId="21" fillId="0" borderId="14" xfId="63" applyFont="1" applyFill="1" applyBorder="1">
      <alignment/>
      <protection/>
    </xf>
    <xf numFmtId="0" fontId="21" fillId="0" borderId="0" xfId="63" applyFont="1" applyBorder="1" applyAlignment="1" applyProtection="1">
      <alignment horizontal="left"/>
      <protection/>
    </xf>
    <xf numFmtId="174" fontId="118" fillId="0" borderId="0" xfId="63" applyNumberFormat="1" applyFont="1" applyBorder="1" applyAlignment="1">
      <alignment horizontal="centerContinuous"/>
      <protection/>
    </xf>
    <xf numFmtId="168" fontId="21" fillId="0" borderId="0" xfId="63" applyNumberFormat="1" applyFont="1" applyBorder="1" applyAlignment="1" applyProtection="1">
      <alignment horizontal="left"/>
      <protection/>
    </xf>
    <xf numFmtId="0" fontId="21" fillId="0" borderId="0" xfId="63" applyFont="1" applyAlignment="1">
      <alignment horizontal="right"/>
      <protection/>
    </xf>
    <xf numFmtId="10" fontId="21" fillId="0" borderId="0" xfId="63" applyNumberFormat="1" applyFont="1" applyBorder="1" applyAlignment="1" applyProtection="1">
      <alignment horizontal="right"/>
      <protection/>
    </xf>
    <xf numFmtId="174" fontId="21" fillId="0" borderId="0" xfId="63" applyNumberFormat="1" applyFont="1" applyBorder="1" applyAlignment="1">
      <alignment horizontal="center"/>
      <protection/>
    </xf>
    <xf numFmtId="183" fontId="21" fillId="0" borderId="0" xfId="63" applyNumberFormat="1" applyFont="1" applyBorder="1">
      <alignment/>
      <protection/>
    </xf>
    <xf numFmtId="0" fontId="21" fillId="0" borderId="0" xfId="63" applyFont="1" applyBorder="1" applyAlignment="1" applyProtection="1">
      <alignment horizontal="center"/>
      <protection/>
    </xf>
    <xf numFmtId="168" fontId="4" fillId="0" borderId="15" xfId="63" applyNumberFormat="1" applyFont="1" applyBorder="1" applyAlignment="1" applyProtection="1">
      <alignment horizontal="center"/>
      <protection/>
    </xf>
    <xf numFmtId="183" fontId="21" fillId="0" borderId="16" xfId="63" applyNumberFormat="1" applyFont="1" applyBorder="1" applyAlignment="1" applyProtection="1">
      <alignment horizontal="centerContinuous"/>
      <protection/>
    </xf>
    <xf numFmtId="164" fontId="30" fillId="0" borderId="16" xfId="63" applyNumberFormat="1" applyFont="1" applyBorder="1" applyAlignment="1" applyProtection="1">
      <alignment horizontal="center" vertical="center" wrapText="1"/>
      <protection/>
    </xf>
    <xf numFmtId="0" fontId="30" fillId="0" borderId="21" xfId="63" applyFont="1" applyBorder="1" applyAlignment="1" applyProtection="1">
      <alignment horizontal="center" vertical="center" wrapText="1"/>
      <protection/>
    </xf>
    <xf numFmtId="168" fontId="60" fillId="37" borderId="20" xfId="63" applyNumberFormat="1" applyFont="1" applyFill="1" applyBorder="1" applyAlignment="1" applyProtection="1">
      <alignment horizontal="center" vertical="center"/>
      <protection/>
    </xf>
    <xf numFmtId="0" fontId="62" fillId="42" borderId="20" xfId="63" applyFont="1" applyFill="1" applyBorder="1" applyAlignment="1">
      <alignment horizontal="center" vertical="center" wrapText="1"/>
      <protection/>
    </xf>
    <xf numFmtId="0" fontId="61" fillId="49" borderId="20" xfId="63" applyFont="1" applyFill="1" applyBorder="1" applyAlignment="1">
      <alignment horizontal="center" vertical="center" wrapText="1"/>
      <protection/>
    </xf>
    <xf numFmtId="0" fontId="101" fillId="35" borderId="15" xfId="63" applyFont="1" applyFill="1" applyBorder="1" applyAlignment="1" applyProtection="1">
      <alignment horizontal="centerContinuous" vertical="center" wrapText="1"/>
      <protection/>
    </xf>
    <xf numFmtId="0" fontId="102" fillId="35" borderId="21" xfId="63" applyFont="1" applyFill="1" applyBorder="1" applyAlignment="1">
      <alignment horizontal="centerContinuous"/>
      <protection/>
    </xf>
    <xf numFmtId="0" fontId="101" fillId="35" borderId="16" xfId="63" applyFont="1" applyFill="1" applyBorder="1" applyAlignment="1">
      <alignment horizontal="centerContinuous" vertical="center"/>
      <protection/>
    </xf>
    <xf numFmtId="0" fontId="62" fillId="50" borderId="15" xfId="63" applyFont="1" applyFill="1" applyBorder="1" applyAlignment="1">
      <alignment horizontal="centerContinuous" vertical="center" wrapText="1"/>
      <protection/>
    </xf>
    <xf numFmtId="0" fontId="103" fillId="50" borderId="21" xfId="63" applyFont="1" applyFill="1" applyBorder="1" applyAlignment="1">
      <alignment horizontal="centerContinuous"/>
      <protection/>
    </xf>
    <xf numFmtId="0" fontId="62" fillId="50" borderId="16" xfId="63" applyFont="1" applyFill="1" applyBorder="1" applyAlignment="1">
      <alignment horizontal="centerContinuous" vertical="center"/>
      <protection/>
    </xf>
    <xf numFmtId="0" fontId="62" fillId="39" borderId="20" xfId="63" applyFont="1" applyFill="1" applyBorder="1" applyAlignment="1">
      <alignment horizontal="centerContinuous" vertical="center" wrapText="1"/>
      <protection/>
    </xf>
    <xf numFmtId="0" fontId="62" fillId="51" borderId="20" xfId="63" applyFont="1" applyFill="1" applyBorder="1" applyAlignment="1">
      <alignment horizontal="centerContinuous" vertical="center" wrapText="1"/>
      <protection/>
    </xf>
    <xf numFmtId="0" fontId="30" fillId="0" borderId="16" xfId="63" applyFont="1" applyBorder="1" applyAlignment="1">
      <alignment horizontal="center" vertical="center" wrapText="1"/>
      <protection/>
    </xf>
    <xf numFmtId="0" fontId="21" fillId="0" borderId="27" xfId="63" applyFont="1" applyBorder="1">
      <alignment/>
      <protection/>
    </xf>
    <xf numFmtId="164" fontId="21" fillId="0" borderId="28" xfId="63" applyNumberFormat="1" applyFont="1" applyBorder="1" applyProtection="1">
      <alignment/>
      <protection/>
    </xf>
    <xf numFmtId="164" fontId="21" fillId="0" borderId="27" xfId="63" applyNumberFormat="1" applyFont="1" applyBorder="1" applyAlignment="1" applyProtection="1">
      <alignment horizontal="center"/>
      <protection/>
    </xf>
    <xf numFmtId="164" fontId="21" fillId="0" borderId="22" xfId="63" applyNumberFormat="1" applyFont="1" applyBorder="1" applyAlignment="1" applyProtection="1">
      <alignment horizontal="center"/>
      <protection/>
    </xf>
    <xf numFmtId="164" fontId="104" fillId="37" borderId="22" xfId="63" applyNumberFormat="1" applyFont="1" applyFill="1" applyBorder="1" applyAlignment="1" applyProtection="1">
      <alignment horizontal="center"/>
      <protection/>
    </xf>
    <xf numFmtId="0" fontId="105" fillId="34" borderId="22" xfId="63" applyFont="1" applyFill="1" applyBorder="1" applyAlignment="1">
      <alignment horizontal="center"/>
      <protection/>
    </xf>
    <xf numFmtId="0" fontId="21" fillId="0" borderId="22" xfId="63" applyFont="1" applyBorder="1" applyAlignment="1">
      <alignment horizontal="center"/>
      <protection/>
    </xf>
    <xf numFmtId="0" fontId="21" fillId="0" borderId="67" xfId="63" applyFont="1" applyBorder="1" applyAlignment="1">
      <alignment horizontal="center"/>
      <protection/>
    </xf>
    <xf numFmtId="0" fontId="13" fillId="0" borderId="28" xfId="63" applyFont="1" applyBorder="1" applyAlignment="1">
      <alignment horizontal="center"/>
      <protection/>
    </xf>
    <xf numFmtId="0" fontId="13" fillId="0" borderId="22" xfId="63" applyFont="1" applyBorder="1" applyAlignment="1">
      <alignment horizontal="center"/>
      <protection/>
    </xf>
    <xf numFmtId="0" fontId="64" fillId="42" borderId="22" xfId="63" applyFont="1" applyFill="1" applyBorder="1" applyAlignment="1">
      <alignment horizontal="center"/>
      <protection/>
    </xf>
    <xf numFmtId="0" fontId="80" fillId="49" borderId="22" xfId="63" applyFont="1" applyFill="1" applyBorder="1" applyAlignment="1">
      <alignment horizontal="center"/>
      <protection/>
    </xf>
    <xf numFmtId="168" fontId="106" fillId="35" borderId="23" xfId="63" applyNumberFormat="1" applyFont="1" applyFill="1" applyBorder="1" applyAlignment="1" applyProtection="1" quotePrefix="1">
      <alignment horizontal="center"/>
      <protection/>
    </xf>
    <xf numFmtId="168" fontId="106" fillId="35" borderId="68" xfId="63" applyNumberFormat="1" applyFont="1" applyFill="1" applyBorder="1" applyAlignment="1" applyProtection="1" quotePrefix="1">
      <alignment horizontal="center"/>
      <protection/>
    </xf>
    <xf numFmtId="4" fontId="106" fillId="35" borderId="55" xfId="63" applyNumberFormat="1" applyFont="1" applyFill="1" applyBorder="1" applyAlignment="1" applyProtection="1">
      <alignment horizontal="center"/>
      <protection/>
    </xf>
    <xf numFmtId="168" fontId="64" fillId="50" borderId="23" xfId="63" applyNumberFormat="1" applyFont="1" applyFill="1" applyBorder="1" applyAlignment="1" applyProtection="1" quotePrefix="1">
      <alignment horizontal="center"/>
      <protection/>
    </xf>
    <xf numFmtId="168" fontId="64" fillId="50" borderId="68" xfId="63" applyNumberFormat="1" applyFont="1" applyFill="1" applyBorder="1" applyAlignment="1" applyProtection="1" quotePrefix="1">
      <alignment horizontal="center"/>
      <protection/>
    </xf>
    <xf numFmtId="4" fontId="64" fillId="50" borderId="55" xfId="63" applyNumberFormat="1" applyFont="1" applyFill="1" applyBorder="1" applyAlignment="1" applyProtection="1">
      <alignment horizontal="center"/>
      <protection/>
    </xf>
    <xf numFmtId="4" fontId="64" fillId="39" borderId="22" xfId="63" applyNumberFormat="1" applyFont="1" applyFill="1" applyBorder="1" applyAlignment="1" applyProtection="1">
      <alignment horizontal="center"/>
      <protection/>
    </xf>
    <xf numFmtId="4" fontId="64" fillId="51" borderId="22" xfId="63" applyNumberFormat="1" applyFont="1" applyFill="1" applyBorder="1" applyAlignment="1" applyProtection="1">
      <alignment horizontal="center"/>
      <protection/>
    </xf>
    <xf numFmtId="0" fontId="13" fillId="0" borderId="55" xfId="63" applyFont="1" applyBorder="1" applyAlignment="1">
      <alignment horizontal="left"/>
      <protection/>
    </xf>
    <xf numFmtId="0" fontId="48" fillId="0" borderId="55" xfId="63" applyFont="1" applyBorder="1" applyAlignment="1">
      <alignment horizontal="center"/>
      <protection/>
    </xf>
    <xf numFmtId="164" fontId="13" fillId="0" borderId="27" xfId="63" applyNumberFormat="1" applyFont="1" applyBorder="1" applyAlignment="1" applyProtection="1">
      <alignment horizontal="center"/>
      <protection/>
    </xf>
    <xf numFmtId="0" fontId="104" fillId="37" borderId="27" xfId="63" applyFont="1" applyFill="1" applyBorder="1" applyAlignment="1" applyProtection="1">
      <alignment horizontal="center"/>
      <protection/>
    </xf>
    <xf numFmtId="168" fontId="105" fillId="34" borderId="27" xfId="63" applyNumberFormat="1" applyFont="1" applyFill="1" applyBorder="1" applyAlignment="1" applyProtection="1">
      <alignment horizontal="center"/>
      <protection/>
    </xf>
    <xf numFmtId="4" fontId="13" fillId="0" borderId="27" xfId="63" applyNumberFormat="1" applyFont="1" applyFill="1" applyBorder="1" applyAlignment="1" applyProtection="1" quotePrefix="1">
      <alignment horizontal="center"/>
      <protection/>
    </xf>
    <xf numFmtId="2" fontId="64" fillId="42" borderId="27" xfId="63" applyNumberFormat="1" applyFont="1" applyFill="1" applyBorder="1" applyAlignment="1" applyProtection="1">
      <alignment horizontal="center"/>
      <protection/>
    </xf>
    <xf numFmtId="2" fontId="80" fillId="49" borderId="27" xfId="63" applyNumberFormat="1" applyFont="1" applyFill="1" applyBorder="1" applyAlignment="1" applyProtection="1">
      <alignment horizontal="center"/>
      <protection/>
    </xf>
    <xf numFmtId="168" fontId="106" fillId="35" borderId="29" xfId="63" applyNumberFormat="1" applyFont="1" applyFill="1" applyBorder="1" applyAlignment="1" applyProtection="1" quotePrefix="1">
      <alignment horizontal="center"/>
      <protection/>
    </xf>
    <xf numFmtId="168" fontId="106" fillId="35" borderId="30" xfId="63" applyNumberFormat="1" applyFont="1" applyFill="1" applyBorder="1" applyAlignment="1" applyProtection="1" quotePrefix="1">
      <alignment horizontal="center"/>
      <protection/>
    </xf>
    <xf numFmtId="4" fontId="106" fillId="35" borderId="28" xfId="63" applyNumberFormat="1" applyFont="1" applyFill="1" applyBorder="1" applyAlignment="1" applyProtection="1">
      <alignment horizontal="center"/>
      <protection/>
    </xf>
    <xf numFmtId="168" fontId="64" fillId="50" borderId="29" xfId="63" applyNumberFormat="1" applyFont="1" applyFill="1" applyBorder="1" applyAlignment="1" applyProtection="1" quotePrefix="1">
      <alignment horizontal="center"/>
      <protection/>
    </xf>
    <xf numFmtId="168" fontId="64" fillId="50" borderId="30" xfId="63" applyNumberFormat="1" applyFont="1" applyFill="1" applyBorder="1" applyAlignment="1" applyProtection="1" quotePrefix="1">
      <alignment horizontal="center"/>
      <protection/>
    </xf>
    <xf numFmtId="4" fontId="64" fillId="50" borderId="28" xfId="63" applyNumberFormat="1" applyFont="1" applyFill="1" applyBorder="1" applyAlignment="1" applyProtection="1">
      <alignment horizontal="center"/>
      <protection/>
    </xf>
    <xf numFmtId="4" fontId="64" fillId="39" borderId="27" xfId="63" applyNumberFormat="1" applyFont="1" applyFill="1" applyBorder="1" applyAlignment="1" applyProtection="1">
      <alignment horizontal="center"/>
      <protection/>
    </xf>
    <xf numFmtId="4" fontId="64" fillId="51" borderId="27" xfId="63" applyNumberFormat="1" applyFont="1" applyFill="1" applyBorder="1" applyAlignment="1" applyProtection="1">
      <alignment horizontal="center"/>
      <protection/>
    </xf>
    <xf numFmtId="4" fontId="13" fillId="0" borderId="28" xfId="63" applyNumberFormat="1" applyFont="1" applyBorder="1" applyAlignment="1" applyProtection="1">
      <alignment horizontal="center"/>
      <protection/>
    </xf>
    <xf numFmtId="164" fontId="13" fillId="0" borderId="28" xfId="63" applyNumberFormat="1" applyFont="1" applyBorder="1" applyAlignment="1" applyProtection="1">
      <alignment horizontal="center"/>
      <protection/>
    </xf>
    <xf numFmtId="165" fontId="13" fillId="0" borderId="27" xfId="63" applyNumberFormat="1" applyFont="1" applyBorder="1" applyAlignment="1" applyProtection="1">
      <alignment horizontal="center"/>
      <protection/>
    </xf>
    <xf numFmtId="22" fontId="13" fillId="0" borderId="27" xfId="63" applyNumberFormat="1" applyFont="1" applyBorder="1" applyAlignment="1">
      <alignment horizontal="center"/>
      <protection/>
    </xf>
    <xf numFmtId="22" fontId="13" fillId="0" borderId="31" xfId="63" applyNumberFormat="1" applyFont="1" applyBorder="1" applyAlignment="1">
      <alignment horizontal="center"/>
      <protection/>
    </xf>
    <xf numFmtId="0" fontId="13" fillId="0" borderId="35" xfId="63" applyFont="1" applyFill="1" applyBorder="1" applyAlignment="1">
      <alignment horizontal="center"/>
      <protection/>
    </xf>
    <xf numFmtId="0" fontId="21" fillId="0" borderId="35" xfId="63" applyFont="1" applyBorder="1" applyAlignment="1">
      <alignment horizontal="center"/>
      <protection/>
    </xf>
    <xf numFmtId="164" fontId="107" fillId="0" borderId="35" xfId="63" applyNumberFormat="1" applyFont="1" applyBorder="1" applyAlignment="1" applyProtection="1">
      <alignment horizontal="center"/>
      <protection/>
    </xf>
    <xf numFmtId="0" fontId="21" fillId="0" borderId="35" xfId="63" applyFont="1" applyBorder="1" applyAlignment="1" applyProtection="1">
      <alignment horizontal="center"/>
      <protection/>
    </xf>
    <xf numFmtId="165" fontId="21" fillId="0" borderId="35" xfId="63" applyNumberFormat="1" applyFont="1" applyBorder="1" applyAlignment="1" applyProtection="1">
      <alignment horizontal="center"/>
      <protection/>
    </xf>
    <xf numFmtId="165" fontId="104" fillId="37" borderId="35" xfId="63" applyNumberFormat="1" applyFont="1" applyFill="1" applyBorder="1" applyAlignment="1" applyProtection="1">
      <alignment horizontal="center"/>
      <protection/>
    </xf>
    <xf numFmtId="168" fontId="105" fillId="34" borderId="35" xfId="63" applyNumberFormat="1" applyFont="1" applyFill="1" applyBorder="1" applyAlignment="1" applyProtection="1">
      <alignment horizontal="center"/>
      <protection/>
    </xf>
    <xf numFmtId="168" fontId="21" fillId="0" borderId="35" xfId="63" applyNumberFormat="1" applyFont="1" applyBorder="1" applyAlignment="1" applyProtection="1">
      <alignment horizontal="center"/>
      <protection/>
    </xf>
    <xf numFmtId="173" fontId="13" fillId="0" borderId="35" xfId="63" applyNumberFormat="1" applyFont="1" applyBorder="1" applyAlignment="1" applyProtection="1" quotePrefix="1">
      <alignment horizontal="center"/>
      <protection/>
    </xf>
    <xf numFmtId="2" fontId="64" fillId="42" borderId="35" xfId="63" applyNumberFormat="1" applyFont="1" applyFill="1" applyBorder="1" applyAlignment="1" applyProtection="1">
      <alignment horizontal="center"/>
      <protection/>
    </xf>
    <xf numFmtId="2" fontId="80" fillId="49" borderId="35" xfId="63" applyNumberFormat="1" applyFont="1" applyFill="1" applyBorder="1" applyAlignment="1" applyProtection="1">
      <alignment horizontal="center"/>
      <protection/>
    </xf>
    <xf numFmtId="168" fontId="106" fillId="35" borderId="36" xfId="63" applyNumberFormat="1" applyFont="1" applyFill="1" applyBorder="1" applyAlignment="1" applyProtection="1" quotePrefix="1">
      <alignment horizontal="center"/>
      <protection/>
    </xf>
    <xf numFmtId="168" fontId="106" fillId="35" borderId="69" xfId="63" applyNumberFormat="1" applyFont="1" applyFill="1" applyBorder="1" applyAlignment="1" applyProtection="1" quotePrefix="1">
      <alignment horizontal="center"/>
      <protection/>
    </xf>
    <xf numFmtId="4" fontId="106" fillId="35" borderId="49" xfId="63" applyNumberFormat="1" applyFont="1" applyFill="1" applyBorder="1" applyAlignment="1" applyProtection="1">
      <alignment horizontal="center"/>
      <protection/>
    </xf>
    <xf numFmtId="168" fontId="64" fillId="50" borderId="36" xfId="63" applyNumberFormat="1" applyFont="1" applyFill="1" applyBorder="1" applyAlignment="1" applyProtection="1" quotePrefix="1">
      <alignment horizontal="center"/>
      <protection/>
    </xf>
    <xf numFmtId="168" fontId="64" fillId="50" borderId="69" xfId="63" applyNumberFormat="1" applyFont="1" applyFill="1" applyBorder="1" applyAlignment="1" applyProtection="1" quotePrefix="1">
      <alignment horizontal="center"/>
      <protection/>
    </xf>
    <xf numFmtId="4" fontId="64" fillId="50" borderId="49" xfId="63" applyNumberFormat="1" applyFont="1" applyFill="1" applyBorder="1" applyAlignment="1" applyProtection="1">
      <alignment horizontal="center"/>
      <protection/>
    </xf>
    <xf numFmtId="4" fontId="64" fillId="39" borderId="35" xfId="63" applyNumberFormat="1" applyFont="1" applyFill="1" applyBorder="1" applyAlignment="1" applyProtection="1">
      <alignment horizontal="center"/>
      <protection/>
    </xf>
    <xf numFmtId="4" fontId="64" fillId="51" borderId="35" xfId="63" applyNumberFormat="1" applyFont="1" applyFill="1" applyBorder="1" applyAlignment="1" applyProtection="1">
      <alignment horizontal="center"/>
      <protection/>
    </xf>
    <xf numFmtId="4" fontId="49" fillId="0" borderId="35" xfId="63" applyNumberFormat="1" applyFont="1" applyBorder="1" applyAlignment="1" applyProtection="1">
      <alignment horizontal="center"/>
      <protection/>
    </xf>
    <xf numFmtId="168" fontId="65" fillId="0" borderId="35" xfId="63" applyNumberFormat="1" applyFont="1" applyFill="1" applyBorder="1" applyAlignment="1">
      <alignment horizontal="center"/>
      <protection/>
    </xf>
    <xf numFmtId="4" fontId="13" fillId="0" borderId="14" xfId="63" applyNumberFormat="1" applyFont="1" applyFill="1" applyBorder="1" applyAlignment="1">
      <alignment horizontal="center"/>
      <protection/>
    </xf>
    <xf numFmtId="164" fontId="107" fillId="0" borderId="0" xfId="63" applyNumberFormat="1" applyFont="1" applyBorder="1" applyAlignment="1" applyProtection="1">
      <alignment horizontal="center"/>
      <protection/>
    </xf>
    <xf numFmtId="165" fontId="21" fillId="0" borderId="0" xfId="63" applyNumberFormat="1" applyFont="1" applyBorder="1" applyAlignment="1" applyProtection="1">
      <alignment horizontal="center"/>
      <protection/>
    </xf>
    <xf numFmtId="168" fontId="21" fillId="0" borderId="0" xfId="63" applyNumberFormat="1" applyFont="1" applyBorder="1" applyAlignment="1" applyProtection="1">
      <alignment horizontal="center"/>
      <protection/>
    </xf>
    <xf numFmtId="173" fontId="21" fillId="0" borderId="0" xfId="63" applyNumberFormat="1" applyFont="1" applyBorder="1" applyAlignment="1" applyProtection="1" quotePrefix="1">
      <alignment horizontal="center"/>
      <protection/>
    </xf>
    <xf numFmtId="2" fontId="105" fillId="42" borderId="20" xfId="63" applyNumberFormat="1" applyFont="1" applyFill="1" applyBorder="1" applyAlignment="1" applyProtection="1">
      <alignment horizontal="center"/>
      <protection/>
    </xf>
    <xf numFmtId="2" fontId="76" fillId="49" borderId="20" xfId="63" applyNumberFormat="1" applyFont="1" applyFill="1" applyBorder="1" applyAlignment="1" applyProtection="1">
      <alignment horizontal="center"/>
      <protection/>
    </xf>
    <xf numFmtId="2" fontId="108" fillId="35" borderId="20" xfId="63" applyNumberFormat="1" applyFont="1" applyFill="1" applyBorder="1" applyAlignment="1" applyProtection="1">
      <alignment horizontal="center"/>
      <protection/>
    </xf>
    <xf numFmtId="2" fontId="105" fillId="50" borderId="20" xfId="63" applyNumberFormat="1" applyFont="1" applyFill="1" applyBorder="1" applyAlignment="1" applyProtection="1">
      <alignment horizontal="center"/>
      <protection/>
    </xf>
    <xf numFmtId="2" fontId="105" fillId="39" borderId="20" xfId="63" applyNumberFormat="1" applyFont="1" applyFill="1" applyBorder="1" applyAlignment="1" applyProtection="1">
      <alignment horizontal="center"/>
      <protection/>
    </xf>
    <xf numFmtId="2" fontId="105" fillId="51" borderId="20" xfId="63" applyNumberFormat="1" applyFont="1" applyFill="1" applyBorder="1" applyAlignment="1" applyProtection="1">
      <alignment horizontal="center"/>
      <protection/>
    </xf>
    <xf numFmtId="2" fontId="21" fillId="0" borderId="43" xfId="63" applyNumberFormat="1" applyFont="1" applyBorder="1" applyAlignment="1" applyProtection="1">
      <alignment horizontal="center"/>
      <protection/>
    </xf>
    <xf numFmtId="7" fontId="48" fillId="0" borderId="20" xfId="63" applyNumberFormat="1" applyFont="1" applyBorder="1" applyAlignment="1" applyProtection="1">
      <alignment horizontal="right"/>
      <protection/>
    </xf>
    <xf numFmtId="2" fontId="105" fillId="0" borderId="21" xfId="63" applyNumberFormat="1" applyFont="1" applyFill="1" applyBorder="1" applyAlignment="1" applyProtection="1">
      <alignment horizontal="center"/>
      <protection/>
    </xf>
    <xf numFmtId="2" fontId="76" fillId="0" borderId="21" xfId="63" applyNumberFormat="1" applyFont="1" applyFill="1" applyBorder="1" applyAlignment="1" applyProtection="1">
      <alignment horizontal="center"/>
      <protection/>
    </xf>
    <xf numFmtId="2" fontId="108" fillId="0" borderId="21" xfId="63" applyNumberFormat="1" applyFont="1" applyFill="1" applyBorder="1" applyAlignment="1" applyProtection="1">
      <alignment horizontal="center"/>
      <protection/>
    </xf>
    <xf numFmtId="2" fontId="21" fillId="0" borderId="0" xfId="63" applyNumberFormat="1" applyFont="1" applyBorder="1" applyAlignment="1" applyProtection="1">
      <alignment horizontal="center"/>
      <protection/>
    </xf>
    <xf numFmtId="7" fontId="21" fillId="0" borderId="0" xfId="63" applyNumberFormat="1" applyFont="1" applyBorder="1" applyAlignment="1" applyProtection="1">
      <alignment horizontal="center"/>
      <protection/>
    </xf>
    <xf numFmtId="0" fontId="60" fillId="52" borderId="20" xfId="63" applyFont="1" applyFill="1" applyBorder="1" applyAlignment="1" applyProtection="1">
      <alignment horizontal="center" vertical="center"/>
      <protection/>
    </xf>
    <xf numFmtId="0" fontId="30" fillId="0" borderId="15" xfId="63" applyFont="1" applyFill="1" applyBorder="1" applyAlignment="1" applyProtection="1">
      <alignment horizontal="centerContinuous" vertical="center"/>
      <protection/>
    </xf>
    <xf numFmtId="0" fontId="30" fillId="0" borderId="21" xfId="63" applyFont="1" applyFill="1" applyBorder="1" applyAlignment="1" applyProtection="1">
      <alignment horizontal="centerContinuous" vertical="center"/>
      <protection/>
    </xf>
    <xf numFmtId="0" fontId="62" fillId="53" borderId="20" xfId="63" applyFont="1" applyFill="1" applyBorder="1" applyAlignment="1">
      <alignment horizontal="center" vertical="center" wrapText="1"/>
      <protection/>
    </xf>
    <xf numFmtId="0" fontId="62" fillId="54" borderId="15" xfId="63" applyFont="1" applyFill="1" applyBorder="1" applyAlignment="1" applyProtection="1">
      <alignment horizontal="centerContinuous" vertical="center" wrapText="1"/>
      <protection/>
    </xf>
    <xf numFmtId="0" fontId="62" fillId="54" borderId="16" xfId="63" applyFont="1" applyFill="1" applyBorder="1" applyAlignment="1">
      <alignment horizontal="centerContinuous" vertical="center"/>
      <protection/>
    </xf>
    <xf numFmtId="0" fontId="62" fillId="35" borderId="20" xfId="63" applyFont="1" applyFill="1" applyBorder="1" applyAlignment="1">
      <alignment horizontal="centerContinuous" vertical="center" wrapText="1"/>
      <protection/>
    </xf>
    <xf numFmtId="0" fontId="62" fillId="52" borderId="88" xfId="63" applyFont="1" applyFill="1" applyBorder="1" applyAlignment="1">
      <alignment vertical="center" wrapText="1"/>
      <protection/>
    </xf>
    <xf numFmtId="0" fontId="62" fillId="52" borderId="40" xfId="63" applyFont="1" applyFill="1" applyBorder="1" applyAlignment="1">
      <alignment vertical="center" wrapText="1"/>
      <protection/>
    </xf>
    <xf numFmtId="0" fontId="62" fillId="52" borderId="43" xfId="63" applyFont="1" applyFill="1" applyBorder="1" applyAlignment="1">
      <alignment vertical="center" wrapText="1"/>
      <protection/>
    </xf>
    <xf numFmtId="164" fontId="13" fillId="0" borderId="27" xfId="63" applyNumberFormat="1" applyFont="1" applyFill="1" applyBorder="1" applyAlignment="1" applyProtection="1">
      <alignment horizontal="center"/>
      <protection/>
    </xf>
    <xf numFmtId="0" fontId="109" fillId="37" borderId="27" xfId="63" applyFont="1" applyFill="1" applyBorder="1" applyAlignment="1">
      <alignment horizontal="center"/>
      <protection/>
    </xf>
    <xf numFmtId="0" fontId="109" fillId="52" borderId="27" xfId="63" applyFont="1" applyFill="1" applyBorder="1" applyAlignment="1">
      <alignment horizontal="center"/>
      <protection/>
    </xf>
    <xf numFmtId="0" fontId="13" fillId="0" borderId="28" xfId="63" applyFont="1" applyFill="1" applyBorder="1" applyAlignment="1">
      <alignment horizontal="center"/>
      <protection/>
    </xf>
    <xf numFmtId="0" fontId="13" fillId="0" borderId="32" xfId="63" applyFont="1" applyFill="1" applyBorder="1" applyAlignment="1">
      <alignment horizontal="centerContinuous"/>
      <protection/>
    </xf>
    <xf numFmtId="0" fontId="13" fillId="0" borderId="28" xfId="63" applyFont="1" applyFill="1" applyBorder="1" applyAlignment="1">
      <alignment horizontal="centerContinuous"/>
      <protection/>
    </xf>
    <xf numFmtId="0" fontId="63" fillId="37" borderId="22" xfId="63" applyFont="1" applyFill="1" applyBorder="1" applyAlignment="1">
      <alignment horizontal="center"/>
      <protection/>
    </xf>
    <xf numFmtId="0" fontId="29" fillId="53" borderId="22" xfId="63" applyFont="1" applyFill="1" applyBorder="1" applyAlignment="1">
      <alignment horizontal="center"/>
      <protection/>
    </xf>
    <xf numFmtId="0" fontId="29" fillId="54" borderId="23" xfId="63" applyFont="1" applyFill="1" applyBorder="1" applyAlignment="1">
      <alignment horizontal="center"/>
      <protection/>
    </xf>
    <xf numFmtId="0" fontId="29" fillId="54" borderId="25" xfId="63" applyFont="1" applyFill="1" applyBorder="1" applyAlignment="1">
      <alignment horizontal="left"/>
      <protection/>
    </xf>
    <xf numFmtId="0" fontId="29" fillId="35" borderId="22" xfId="63" applyFont="1" applyFill="1" applyBorder="1" applyAlignment="1">
      <alignment horizontal="left"/>
      <protection/>
    </xf>
    <xf numFmtId="0" fontId="29" fillId="52" borderId="58" xfId="63" applyFont="1" applyFill="1" applyBorder="1" applyAlignment="1">
      <alignment horizontal="left"/>
      <protection/>
    </xf>
    <xf numFmtId="0" fontId="29" fillId="52" borderId="0" xfId="63" applyFont="1" applyFill="1" applyBorder="1" applyAlignment="1">
      <alignment horizontal="left"/>
      <protection/>
    </xf>
    <xf numFmtId="0" fontId="29" fillId="52" borderId="57" xfId="63" applyFont="1" applyFill="1" applyBorder="1" applyAlignment="1">
      <alignment horizontal="left"/>
      <protection/>
    </xf>
    <xf numFmtId="0" fontId="48" fillId="0" borderId="28" xfId="63" applyFont="1" applyFill="1" applyBorder="1" applyAlignment="1">
      <alignment horizontal="center"/>
      <protection/>
    </xf>
    <xf numFmtId="168" fontId="109" fillId="37" borderId="27" xfId="63" applyNumberFormat="1" applyFont="1" applyFill="1" applyBorder="1" applyAlignment="1" applyProtection="1">
      <alignment horizontal="center"/>
      <protection/>
    </xf>
    <xf numFmtId="168" fontId="109" fillId="52" borderId="27" xfId="63" applyNumberFormat="1" applyFont="1" applyFill="1" applyBorder="1" applyAlignment="1" applyProtection="1">
      <alignment horizontal="center"/>
      <protection/>
    </xf>
    <xf numFmtId="168" fontId="13" fillId="0" borderId="27" xfId="63" applyNumberFormat="1" applyFont="1" applyFill="1" applyBorder="1" applyAlignment="1" applyProtection="1">
      <alignment horizontal="center"/>
      <protection/>
    </xf>
    <xf numFmtId="168" fontId="13" fillId="0" borderId="32" xfId="63" applyNumberFormat="1" applyFont="1" applyBorder="1" applyAlignment="1" applyProtection="1">
      <alignment horizontal="centerContinuous"/>
      <protection/>
    </xf>
    <xf numFmtId="168" fontId="13" fillId="0" borderId="28" xfId="63" applyNumberFormat="1" applyFont="1" applyBorder="1" applyAlignment="1" applyProtection="1">
      <alignment horizontal="centerContinuous"/>
      <protection/>
    </xf>
    <xf numFmtId="164" fontId="63" fillId="37" borderId="27" xfId="63" applyNumberFormat="1" applyFont="1" applyFill="1" applyBorder="1" applyAlignment="1" applyProtection="1">
      <alignment horizontal="center"/>
      <protection/>
    </xf>
    <xf numFmtId="2" fontId="64" fillId="53" borderId="27" xfId="63" applyNumberFormat="1" applyFont="1" applyFill="1" applyBorder="1" applyAlignment="1">
      <alignment horizontal="center"/>
      <protection/>
    </xf>
    <xf numFmtId="168" fontId="64" fillId="54" borderId="47" xfId="63" applyNumberFormat="1" applyFont="1" applyFill="1" applyBorder="1" applyAlignment="1" applyProtection="1" quotePrefix="1">
      <alignment horizontal="center"/>
      <protection/>
    </xf>
    <xf numFmtId="168" fontId="64" fillId="54" borderId="48" xfId="63" applyNumberFormat="1" applyFont="1" applyFill="1" applyBorder="1" applyAlignment="1" applyProtection="1" quotePrefix="1">
      <alignment horizontal="center"/>
      <protection/>
    </xf>
    <xf numFmtId="168" fontId="64" fillId="52" borderId="58" xfId="63" applyNumberFormat="1" applyFont="1" applyFill="1" applyBorder="1" applyAlignment="1" applyProtection="1" quotePrefix="1">
      <alignment horizontal="center"/>
      <protection/>
    </xf>
    <xf numFmtId="168" fontId="64" fillId="52" borderId="0" xfId="63" applyNumberFormat="1" applyFont="1" applyFill="1" applyBorder="1" applyAlignment="1" applyProtection="1" quotePrefix="1">
      <alignment horizontal="center"/>
      <protection/>
    </xf>
    <xf numFmtId="168" fontId="64" fillId="52" borderId="57" xfId="63" applyNumberFormat="1" applyFont="1" applyFill="1" applyBorder="1" applyAlignment="1" applyProtection="1" quotePrefix="1">
      <alignment horizontal="center"/>
      <protection/>
    </xf>
    <xf numFmtId="0" fontId="13" fillId="0" borderId="82" xfId="63" applyFont="1" applyBorder="1" applyAlignment="1" applyProtection="1">
      <alignment horizontal="center"/>
      <protection/>
    </xf>
    <xf numFmtId="0" fontId="13" fillId="0" borderId="86" xfId="63" applyFont="1" applyBorder="1" applyAlignment="1" applyProtection="1">
      <alignment horizontal="center"/>
      <protection/>
    </xf>
    <xf numFmtId="164" fontId="13" fillId="0" borderId="82" xfId="63" applyNumberFormat="1" applyFont="1" applyBorder="1" applyAlignment="1" applyProtection="1">
      <alignment horizontal="center"/>
      <protection/>
    </xf>
    <xf numFmtId="1" fontId="13" fillId="0" borderId="87" xfId="63" applyNumberFormat="1" applyFont="1" applyBorder="1" applyAlignment="1" applyProtection="1" quotePrefix="1">
      <alignment horizontal="center"/>
      <protection/>
    </xf>
    <xf numFmtId="168" fontId="109" fillId="37" borderId="34" xfId="63" applyNumberFormat="1" applyFont="1" applyFill="1" applyBorder="1" applyAlignment="1" applyProtection="1">
      <alignment horizontal="center"/>
      <protection/>
    </xf>
    <xf numFmtId="168" fontId="109" fillId="52" borderId="34" xfId="63" applyNumberFormat="1" applyFont="1" applyFill="1" applyBorder="1" applyAlignment="1" applyProtection="1">
      <alignment horizontal="center"/>
      <protection/>
    </xf>
    <xf numFmtId="22" fontId="13" fillId="0" borderId="34" xfId="63" applyNumberFormat="1" applyFont="1" applyFill="1" applyBorder="1" applyAlignment="1" applyProtection="1">
      <alignment horizontal="center"/>
      <protection/>
    </xf>
    <xf numFmtId="4" fontId="13" fillId="0" borderId="34" xfId="63" applyNumberFormat="1" applyFont="1" applyFill="1" applyBorder="1" applyAlignment="1" applyProtection="1">
      <alignment horizontal="center"/>
      <protection/>
    </xf>
    <xf numFmtId="3" fontId="13" fillId="0" borderId="34" xfId="63" applyNumberFormat="1" applyFont="1" applyFill="1" applyBorder="1" applyAlignment="1" applyProtection="1">
      <alignment horizontal="center"/>
      <protection/>
    </xf>
    <xf numFmtId="168" fontId="13" fillId="0" borderId="34" xfId="63" applyNumberFormat="1" applyFont="1" applyFill="1" applyBorder="1" applyAlignment="1" applyProtection="1">
      <alignment horizontal="center"/>
      <protection/>
    </xf>
    <xf numFmtId="168" fontId="13" fillId="0" borderId="34" xfId="63" applyNumberFormat="1" applyFont="1" applyBorder="1" applyAlignment="1" applyProtection="1" quotePrefix="1">
      <alignment horizontal="center"/>
      <protection/>
    </xf>
    <xf numFmtId="168" fontId="13" fillId="0" borderId="58" xfId="63" applyNumberFormat="1" applyFont="1" applyBorder="1" applyAlignment="1" applyProtection="1">
      <alignment horizontal="centerContinuous"/>
      <protection/>
    </xf>
    <xf numFmtId="168" fontId="13" fillId="0" borderId="57" xfId="63" applyNumberFormat="1" applyFont="1" applyBorder="1" applyAlignment="1" applyProtection="1">
      <alignment horizontal="centerContinuous"/>
      <protection/>
    </xf>
    <xf numFmtId="164" fontId="63" fillId="37" borderId="34" xfId="63" applyNumberFormat="1" applyFont="1" applyFill="1" applyBorder="1" applyAlignment="1" applyProtection="1">
      <alignment horizontal="center"/>
      <protection/>
    </xf>
    <xf numFmtId="2" fontId="64" fillId="53" borderId="34" xfId="63" applyNumberFormat="1" applyFont="1" applyFill="1" applyBorder="1" applyAlignment="1">
      <alignment horizontal="center"/>
      <protection/>
    </xf>
    <xf numFmtId="168" fontId="64" fillId="54" borderId="89" xfId="63" applyNumberFormat="1" applyFont="1" applyFill="1" applyBorder="1" applyAlignment="1" applyProtection="1" quotePrefix="1">
      <alignment horizontal="center"/>
      <protection/>
    </xf>
    <xf numFmtId="168" fontId="64" fillId="54" borderId="87" xfId="63" applyNumberFormat="1" applyFont="1" applyFill="1" applyBorder="1" applyAlignment="1" applyProtection="1" quotePrefix="1">
      <alignment horizontal="center"/>
      <protection/>
    </xf>
    <xf numFmtId="168" fontId="64" fillId="35" borderId="34" xfId="63" applyNumberFormat="1" applyFont="1" applyFill="1" applyBorder="1" applyAlignment="1" applyProtection="1" quotePrefix="1">
      <alignment horizontal="center"/>
      <protection/>
    </xf>
    <xf numFmtId="168" fontId="13" fillId="0" borderId="57" xfId="63" applyNumberFormat="1" applyFont="1" applyFill="1" applyBorder="1" applyAlignment="1">
      <alignment horizontal="center"/>
      <protection/>
    </xf>
    <xf numFmtId="4" fontId="77" fillId="0" borderId="57" xfId="63" applyNumberFormat="1" applyFont="1" applyFill="1" applyBorder="1" applyAlignment="1">
      <alignment horizontal="right"/>
      <protection/>
    </xf>
    <xf numFmtId="0" fontId="13" fillId="0" borderId="33" xfId="63" applyFont="1" applyBorder="1" applyAlignment="1" applyProtection="1">
      <alignment horizontal="center"/>
      <protection/>
    </xf>
    <xf numFmtId="0" fontId="13" fillId="0" borderId="70" xfId="63" applyFont="1" applyBorder="1" applyAlignment="1" applyProtection="1">
      <alignment horizontal="center"/>
      <protection/>
    </xf>
    <xf numFmtId="164" fontId="13" fillId="0" borderId="33" xfId="63" applyNumberFormat="1" applyFont="1" applyBorder="1" applyAlignment="1" applyProtection="1">
      <alignment horizontal="center"/>
      <protection/>
    </xf>
    <xf numFmtId="1" fontId="13" fillId="0" borderId="51" xfId="63" applyNumberFormat="1" applyFont="1" applyBorder="1" applyAlignment="1" applyProtection="1" quotePrefix="1">
      <alignment horizontal="center"/>
      <protection/>
    </xf>
    <xf numFmtId="168" fontId="109" fillId="37" borderId="35" xfId="63" applyNumberFormat="1" applyFont="1" applyFill="1" applyBorder="1" applyAlignment="1" applyProtection="1">
      <alignment horizontal="center"/>
      <protection/>
    </xf>
    <xf numFmtId="168" fontId="109" fillId="52" borderId="35" xfId="63" applyNumberFormat="1" applyFont="1" applyFill="1" applyBorder="1" applyAlignment="1" applyProtection="1">
      <alignment horizontal="center"/>
      <protection/>
    </xf>
    <xf numFmtId="22" fontId="13" fillId="0" borderId="35" xfId="63" applyNumberFormat="1" applyFont="1" applyFill="1" applyBorder="1" applyAlignment="1">
      <alignment horizontal="center"/>
      <protection/>
    </xf>
    <xf numFmtId="22" fontId="13" fillId="0" borderId="35" xfId="63" applyNumberFormat="1" applyFont="1" applyFill="1" applyBorder="1" applyAlignment="1" applyProtection="1">
      <alignment horizontal="center"/>
      <protection/>
    </xf>
    <xf numFmtId="4" fontId="13" fillId="0" borderId="35" xfId="63" applyNumberFormat="1" applyFont="1" applyFill="1" applyBorder="1" applyAlignment="1" applyProtection="1">
      <alignment horizontal="center"/>
      <protection/>
    </xf>
    <xf numFmtId="3" fontId="13" fillId="0" borderId="35" xfId="63" applyNumberFormat="1" applyFont="1" applyFill="1" applyBorder="1" applyAlignment="1" applyProtection="1">
      <alignment horizontal="center"/>
      <protection/>
    </xf>
    <xf numFmtId="168" fontId="13" fillId="0" borderId="35" xfId="63" applyNumberFormat="1" applyFont="1" applyFill="1" applyBorder="1" applyAlignment="1" applyProtection="1">
      <alignment horizontal="center"/>
      <protection/>
    </xf>
    <xf numFmtId="168" fontId="13" fillId="0" borderId="66" xfId="63" applyNumberFormat="1" applyFont="1" applyBorder="1" applyAlignment="1" applyProtection="1">
      <alignment horizontal="centerContinuous"/>
      <protection/>
    </xf>
    <xf numFmtId="168" fontId="13" fillId="0" borderId="49" xfId="63" applyNumberFormat="1" applyFont="1" applyBorder="1" applyAlignment="1" applyProtection="1">
      <alignment horizontal="centerContinuous"/>
      <protection/>
    </xf>
    <xf numFmtId="164" fontId="63" fillId="37" borderId="35" xfId="63" applyNumberFormat="1" applyFont="1" applyFill="1" applyBorder="1" applyAlignment="1" applyProtection="1">
      <alignment horizontal="center"/>
      <protection/>
    </xf>
    <xf numFmtId="2" fontId="29" fillId="53" borderId="35" xfId="63" applyNumberFormat="1" applyFont="1" applyFill="1" applyBorder="1" applyAlignment="1">
      <alignment horizontal="center"/>
      <protection/>
    </xf>
    <xf numFmtId="168" fontId="29" fillId="54" borderId="50" xfId="63" applyNumberFormat="1" applyFont="1" applyFill="1" applyBorder="1" applyAlignment="1" applyProtection="1" quotePrefix="1">
      <alignment horizontal="center"/>
      <protection/>
    </xf>
    <xf numFmtId="168" fontId="29" fillId="54" borderId="51" xfId="63" applyNumberFormat="1" applyFont="1" applyFill="1" applyBorder="1" applyAlignment="1" applyProtection="1" quotePrefix="1">
      <alignment horizontal="center"/>
      <protection/>
    </xf>
    <xf numFmtId="168" fontId="29" fillId="35" borderId="35" xfId="63" applyNumberFormat="1" applyFont="1" applyFill="1" applyBorder="1" applyAlignment="1" applyProtection="1" quotePrefix="1">
      <alignment horizontal="center"/>
      <protection/>
    </xf>
    <xf numFmtId="168" fontId="29" fillId="52" borderId="66" xfId="63" applyNumberFormat="1" applyFont="1" applyFill="1" applyBorder="1" applyAlignment="1" applyProtection="1" quotePrefix="1">
      <alignment horizontal="center"/>
      <protection/>
    </xf>
    <xf numFmtId="168" fontId="29" fillId="52" borderId="62" xfId="63" applyNumberFormat="1" applyFont="1" applyFill="1" applyBorder="1" applyAlignment="1" applyProtection="1" quotePrefix="1">
      <alignment horizontal="center"/>
      <protection/>
    </xf>
    <xf numFmtId="168" fontId="29" fillId="52" borderId="49" xfId="63" applyNumberFormat="1" applyFont="1" applyFill="1" applyBorder="1" applyAlignment="1" applyProtection="1" quotePrefix="1">
      <alignment horizontal="center"/>
      <protection/>
    </xf>
    <xf numFmtId="168" fontId="13" fillId="0" borderId="49" xfId="63" applyNumberFormat="1" applyFont="1" applyFill="1" applyBorder="1" applyAlignment="1">
      <alignment horizontal="center"/>
      <protection/>
    </xf>
    <xf numFmtId="4" fontId="77" fillId="0" borderId="49" xfId="63" applyNumberFormat="1" applyFont="1" applyFill="1" applyBorder="1" applyAlignment="1">
      <alignment horizontal="right"/>
      <protection/>
    </xf>
    <xf numFmtId="164" fontId="13" fillId="0" borderId="0" xfId="63" applyNumberFormat="1" applyFont="1" applyBorder="1" applyAlignment="1" applyProtection="1">
      <alignment horizontal="center"/>
      <protection/>
    </xf>
    <xf numFmtId="1" fontId="13" fillId="0" borderId="0" xfId="63" applyNumberFormat="1" applyFont="1" applyBorder="1" applyAlignment="1" applyProtection="1" quotePrefix="1">
      <alignment horizontal="center"/>
      <protection/>
    </xf>
    <xf numFmtId="168" fontId="13" fillId="0" borderId="0" xfId="63" applyNumberFormat="1" applyFont="1" applyFill="1" applyBorder="1" applyAlignment="1" applyProtection="1">
      <alignment horizontal="center"/>
      <protection/>
    </xf>
    <xf numFmtId="22" fontId="13" fillId="0" borderId="0" xfId="63" applyNumberFormat="1" applyFont="1" applyFill="1" applyBorder="1" applyAlignment="1">
      <alignment horizontal="center"/>
      <protection/>
    </xf>
    <xf numFmtId="22" fontId="13" fillId="0" borderId="0" xfId="63" applyNumberFormat="1" applyFont="1" applyFill="1" applyBorder="1" applyAlignment="1" applyProtection="1">
      <alignment horizontal="center"/>
      <protection/>
    </xf>
    <xf numFmtId="4" fontId="13" fillId="0" borderId="0" xfId="63" applyNumberFormat="1" applyFont="1" applyFill="1" applyBorder="1" applyAlignment="1" applyProtection="1">
      <alignment horizontal="center"/>
      <protection/>
    </xf>
    <xf numFmtId="3" fontId="13" fillId="0" borderId="0" xfId="63" applyNumberFormat="1" applyFont="1" applyFill="1" applyBorder="1" applyAlignment="1" applyProtection="1">
      <alignment horizontal="center"/>
      <protection/>
    </xf>
    <xf numFmtId="168" fontId="13" fillId="0" borderId="0" xfId="63" applyNumberFormat="1" applyFont="1" applyBorder="1" applyAlignment="1" applyProtection="1" quotePrefix="1">
      <alignment horizontal="center"/>
      <protection/>
    </xf>
    <xf numFmtId="164" fontId="13" fillId="0" borderId="0" xfId="63" applyNumberFormat="1" applyFont="1" applyFill="1" applyBorder="1" applyAlignment="1" applyProtection="1">
      <alignment horizontal="center"/>
      <protection/>
    </xf>
    <xf numFmtId="2" fontId="59" fillId="0" borderId="0" xfId="63" applyNumberFormat="1" applyFont="1" applyFill="1" applyBorder="1" applyAlignment="1">
      <alignment horizontal="center"/>
      <protection/>
    </xf>
    <xf numFmtId="168" fontId="49" fillId="0" borderId="0" xfId="63" applyNumberFormat="1" applyFont="1" applyFill="1" applyBorder="1" applyAlignment="1" applyProtection="1" quotePrefix="1">
      <alignment horizontal="center"/>
      <protection/>
    </xf>
    <xf numFmtId="168" fontId="13" fillId="0" borderId="0" xfId="63" applyNumberFormat="1" applyFont="1" applyFill="1" applyBorder="1" applyAlignment="1">
      <alignment horizontal="center"/>
      <protection/>
    </xf>
    <xf numFmtId="4" fontId="77" fillId="0" borderId="20" xfId="63" applyNumberFormat="1" applyFont="1" applyFill="1" applyBorder="1" applyAlignment="1">
      <alignment horizontal="right"/>
      <protection/>
    </xf>
    <xf numFmtId="168" fontId="13" fillId="0" borderId="0" xfId="63" applyNumberFormat="1" applyFont="1" applyBorder="1" applyAlignment="1" applyProtection="1" quotePrefix="1">
      <alignment horizontal="centerContinuous"/>
      <protection/>
    </xf>
    <xf numFmtId="168" fontId="13" fillId="0" borderId="0" xfId="63" applyNumberFormat="1" applyFont="1" applyBorder="1" applyAlignment="1" applyProtection="1">
      <alignment horizontal="centerContinuous"/>
      <protection/>
    </xf>
    <xf numFmtId="4" fontId="77" fillId="0" borderId="0" xfId="63" applyNumberFormat="1" applyFont="1" applyFill="1" applyBorder="1" applyAlignment="1">
      <alignment horizontal="right"/>
      <protection/>
    </xf>
    <xf numFmtId="2" fontId="110" fillId="0" borderId="0" xfId="63" applyNumberFormat="1" applyFont="1" applyBorder="1" applyAlignment="1" applyProtection="1">
      <alignment horizontal="left"/>
      <protection/>
    </xf>
    <xf numFmtId="168" fontId="110" fillId="0" borderId="0" xfId="63" applyNumberFormat="1" applyFont="1" applyBorder="1" applyAlignment="1" applyProtection="1">
      <alignment horizontal="center"/>
      <protection/>
    </xf>
    <xf numFmtId="0" fontId="110" fillId="0" borderId="0" xfId="63" applyFont="1" applyBorder="1" applyAlignment="1" applyProtection="1">
      <alignment horizontal="center"/>
      <protection/>
    </xf>
    <xf numFmtId="165" fontId="110" fillId="0" borderId="0" xfId="63" applyNumberFormat="1" applyFont="1" applyBorder="1" applyAlignment="1" applyProtection="1">
      <alignment horizontal="center"/>
      <protection/>
    </xf>
    <xf numFmtId="0" fontId="111" fillId="0" borderId="0" xfId="63" applyFont="1">
      <alignment/>
      <protection/>
    </xf>
    <xf numFmtId="173" fontId="110" fillId="0" borderId="0" xfId="63" applyNumberFormat="1" applyFont="1" applyBorder="1" applyAlignment="1" applyProtection="1" quotePrefix="1">
      <alignment horizontal="center"/>
      <protection/>
    </xf>
    <xf numFmtId="0" fontId="110" fillId="0" borderId="0" xfId="63" applyFont="1">
      <alignment/>
      <protection/>
    </xf>
    <xf numFmtId="2" fontId="110" fillId="0" borderId="0" xfId="63" applyNumberFormat="1" applyFont="1" applyBorder="1" applyAlignment="1" applyProtection="1">
      <alignment horizontal="center"/>
      <protection/>
    </xf>
    <xf numFmtId="168" fontId="110" fillId="0" borderId="0" xfId="63" applyNumberFormat="1" applyFont="1" applyBorder="1" applyAlignment="1" applyProtection="1" quotePrefix="1">
      <alignment horizontal="center"/>
      <protection/>
    </xf>
    <xf numFmtId="4" fontId="21" fillId="0" borderId="14" xfId="63" applyNumberFormat="1" applyFont="1" applyFill="1" applyBorder="1" applyAlignment="1">
      <alignment horizontal="center"/>
      <protection/>
    </xf>
    <xf numFmtId="0" fontId="4" fillId="0" borderId="0" xfId="63" applyFont="1" applyBorder="1" applyAlignment="1">
      <alignment horizontal="center"/>
      <protection/>
    </xf>
    <xf numFmtId="2" fontId="112" fillId="0" borderId="0" xfId="63" applyNumberFormat="1" applyFont="1" applyBorder="1" applyAlignment="1" applyProtection="1">
      <alignment horizontal="left"/>
      <protection/>
    </xf>
    <xf numFmtId="0" fontId="21" fillId="0" borderId="0" xfId="63" applyFont="1" applyAlignment="1">
      <alignment horizontal="center"/>
      <protection/>
    </xf>
    <xf numFmtId="173" fontId="4" fillId="0" borderId="0" xfId="63" applyNumberFormat="1" applyFont="1" applyBorder="1" applyAlignment="1" applyProtection="1">
      <alignment horizontal="left"/>
      <protection/>
    </xf>
    <xf numFmtId="168" fontId="4" fillId="0" borderId="0" xfId="63" applyNumberFormat="1" applyFont="1" applyBorder="1" applyAlignment="1" applyProtection="1">
      <alignment horizontal="left"/>
      <protection/>
    </xf>
    <xf numFmtId="4" fontId="107" fillId="0" borderId="0" xfId="63" applyNumberFormat="1" applyFont="1" applyBorder="1" applyAlignment="1" applyProtection="1">
      <alignment horizontal="center"/>
      <protection/>
    </xf>
    <xf numFmtId="7" fontId="4" fillId="0" borderId="0" xfId="63" applyNumberFormat="1" applyFont="1" applyBorder="1" applyAlignment="1">
      <alignment horizontal="centerContinuous"/>
      <protection/>
    </xf>
    <xf numFmtId="1" fontId="21" fillId="0" borderId="0" xfId="63" applyNumberFormat="1" applyFont="1" applyBorder="1" applyAlignment="1" applyProtection="1">
      <alignment horizontal="center"/>
      <protection/>
    </xf>
    <xf numFmtId="183" fontId="21" fillId="0" borderId="0" xfId="63" applyNumberFormat="1" applyFont="1" applyBorder="1" applyAlignment="1" applyProtection="1">
      <alignment horizontal="centerContinuous"/>
      <protection/>
    </xf>
    <xf numFmtId="183" fontId="110" fillId="0" borderId="0" xfId="63" applyNumberFormat="1" applyFont="1" applyBorder="1" applyAlignment="1" applyProtection="1">
      <alignment horizontal="centerContinuous"/>
      <protection/>
    </xf>
    <xf numFmtId="168" fontId="110" fillId="0" borderId="0" xfId="63" applyNumberFormat="1" applyFont="1" applyBorder="1" applyAlignment="1" applyProtection="1" quotePrefix="1">
      <alignment horizontal="left"/>
      <protection/>
    </xf>
    <xf numFmtId="168" fontId="21" fillId="0" borderId="0" xfId="63" applyNumberFormat="1" applyFont="1" applyBorder="1">
      <alignment/>
      <protection/>
    </xf>
    <xf numFmtId="7" fontId="21" fillId="0" borderId="0" xfId="63" applyNumberFormat="1" applyFont="1" applyBorder="1" applyAlignment="1">
      <alignment horizontal="centerContinuous"/>
      <protection/>
    </xf>
    <xf numFmtId="0" fontId="21" fillId="0" borderId="0" xfId="63" applyFont="1" applyAlignment="1">
      <alignment horizontal="centerContinuous"/>
      <protection/>
    </xf>
    <xf numFmtId="168" fontId="21" fillId="0" borderId="0" xfId="63" applyNumberFormat="1" applyFont="1" applyBorder="1" applyAlignment="1" applyProtection="1">
      <alignment horizontal="centerContinuous"/>
      <protection/>
    </xf>
    <xf numFmtId="168" fontId="110" fillId="0" borderId="0" xfId="63" applyNumberFormat="1" applyFont="1" applyBorder="1" applyAlignment="1" applyProtection="1" quotePrefix="1">
      <alignment horizontal="right"/>
      <protection/>
    </xf>
    <xf numFmtId="168" fontId="107" fillId="0" borderId="0" xfId="63" applyNumberFormat="1" applyFont="1" applyBorder="1" applyAlignment="1" applyProtection="1" quotePrefix="1">
      <alignment horizontal="center"/>
      <protection/>
    </xf>
    <xf numFmtId="2" fontId="113" fillId="0" borderId="0" xfId="63" applyNumberFormat="1" applyFont="1" applyBorder="1" applyAlignment="1" applyProtection="1">
      <alignment horizontal="center"/>
      <protection/>
    </xf>
    <xf numFmtId="4" fontId="110" fillId="0" borderId="0" xfId="63" applyNumberFormat="1" applyFont="1" applyBorder="1" applyAlignment="1" applyProtection="1">
      <alignment horizontal="center"/>
      <protection/>
    </xf>
    <xf numFmtId="7" fontId="110" fillId="0" borderId="0" xfId="63" applyNumberFormat="1" applyFont="1" applyFill="1" applyBorder="1" applyAlignment="1">
      <alignment horizontal="center"/>
      <protection/>
    </xf>
    <xf numFmtId="7" fontId="110" fillId="0" borderId="60" xfId="63" applyNumberFormat="1" applyFont="1" applyFill="1" applyBorder="1" applyAlignment="1">
      <alignment horizontal="center"/>
      <protection/>
    </xf>
    <xf numFmtId="7" fontId="21" fillId="0" borderId="0" xfId="63" applyNumberFormat="1" applyFont="1" applyBorder="1" applyAlignment="1">
      <alignment horizontal="right"/>
      <protection/>
    </xf>
    <xf numFmtId="168" fontId="22" fillId="0" borderId="0" xfId="63" applyNumberFormat="1" applyFont="1" applyBorder="1" applyAlignment="1" applyProtection="1">
      <alignment horizontal="left"/>
      <protection/>
    </xf>
    <xf numFmtId="10" fontId="21" fillId="0" borderId="0" xfId="63" applyNumberFormat="1" applyFont="1" applyBorder="1" applyAlignment="1" applyProtection="1">
      <alignment horizontal="center"/>
      <protection/>
    </xf>
    <xf numFmtId="7" fontId="21" fillId="0" borderId="0" xfId="63" applyNumberFormat="1" applyFont="1" applyAlignment="1">
      <alignment horizontal="right"/>
      <protection/>
    </xf>
    <xf numFmtId="0" fontId="21" fillId="0" borderId="0" xfId="63" applyFont="1" quotePrefix="1">
      <alignment/>
      <protection/>
    </xf>
    <xf numFmtId="168" fontId="21" fillId="0" borderId="0" xfId="63" applyNumberFormat="1" applyFont="1" applyBorder="1" applyAlignment="1" applyProtection="1" quotePrefix="1">
      <alignment horizontal="center"/>
      <protection/>
    </xf>
    <xf numFmtId="168" fontId="4" fillId="0" borderId="0" xfId="63" applyNumberFormat="1" applyFont="1" applyBorder="1" applyAlignment="1" applyProtection="1">
      <alignment horizontal="center"/>
      <protection/>
    </xf>
    <xf numFmtId="7" fontId="21" fillId="0" borderId="0" xfId="63" applyNumberFormat="1" applyFont="1" applyBorder="1" applyAlignment="1" applyProtection="1">
      <alignment horizontal="left"/>
      <protection/>
    </xf>
    <xf numFmtId="0" fontId="111" fillId="0" borderId="0" xfId="63" applyFont="1" quotePrefix="1">
      <alignment/>
      <protection/>
    </xf>
    <xf numFmtId="0" fontId="23" fillId="0" borderId="13" xfId="63" applyFont="1" applyBorder="1" applyAlignment="1">
      <alignment vertical="center"/>
      <protection/>
    </xf>
    <xf numFmtId="0" fontId="23" fillId="0" borderId="0" xfId="63" applyFont="1" applyBorder="1" applyAlignment="1">
      <alignment horizontal="center" vertical="center"/>
      <protection/>
    </xf>
    <xf numFmtId="168" fontId="23" fillId="0" borderId="0" xfId="63" applyNumberFormat="1" applyFont="1" applyBorder="1" applyAlignment="1" applyProtection="1">
      <alignment horizontal="left" vertical="center"/>
      <protection/>
    </xf>
    <xf numFmtId="0" fontId="114" fillId="0" borderId="0" xfId="63" applyFont="1" applyAlignment="1" quotePrefix="1">
      <alignment vertical="center"/>
      <protection/>
    </xf>
    <xf numFmtId="0" fontId="23" fillId="0" borderId="0" xfId="63" applyFont="1" applyBorder="1" applyAlignment="1" applyProtection="1">
      <alignment horizontal="center" vertical="center"/>
      <protection/>
    </xf>
    <xf numFmtId="165" fontId="23" fillId="0" borderId="0" xfId="63" applyNumberFormat="1" applyFont="1" applyBorder="1" applyAlignment="1" applyProtection="1">
      <alignment horizontal="center" vertical="center"/>
      <protection/>
    </xf>
    <xf numFmtId="0" fontId="114" fillId="0" borderId="0" xfId="63" applyFont="1" applyAlignment="1">
      <alignment vertical="center"/>
      <protection/>
    </xf>
    <xf numFmtId="4" fontId="10" fillId="0" borderId="15" xfId="63" applyNumberFormat="1" applyFont="1" applyBorder="1" applyAlignment="1" applyProtection="1">
      <alignment horizontal="center" vertical="center"/>
      <protection/>
    </xf>
    <xf numFmtId="7" fontId="115" fillId="0" borderId="16" xfId="63" applyNumberFormat="1" applyFont="1" applyFill="1" applyBorder="1" applyAlignment="1">
      <alignment horizontal="center" vertical="center"/>
      <protection/>
    </xf>
    <xf numFmtId="0" fontId="119" fillId="0" borderId="0" xfId="63" applyFont="1" applyBorder="1">
      <alignment/>
      <protection/>
    </xf>
    <xf numFmtId="168" fontId="120" fillId="0" borderId="0" xfId="63" applyNumberFormat="1" applyFont="1" applyBorder="1" applyAlignment="1" applyProtection="1">
      <alignment horizontal="left" vertical="center"/>
      <protection/>
    </xf>
    <xf numFmtId="168" fontId="23" fillId="0" borderId="0" xfId="63" applyNumberFormat="1" applyFont="1" applyBorder="1" applyAlignment="1" applyProtection="1">
      <alignment horizontal="center" vertical="center"/>
      <protection/>
    </xf>
    <xf numFmtId="2" fontId="116" fillId="0" borderId="0" xfId="63" applyNumberFormat="1" applyFont="1" applyBorder="1" applyAlignment="1" applyProtection="1">
      <alignment horizontal="center" vertical="center"/>
      <protection/>
    </xf>
    <xf numFmtId="168" fontId="117" fillId="0" borderId="0" xfId="63" applyNumberFormat="1" applyFont="1" applyBorder="1" applyAlignment="1" applyProtection="1" quotePrefix="1">
      <alignment horizontal="center" vertical="center"/>
      <protection/>
    </xf>
    <xf numFmtId="4" fontId="23" fillId="0" borderId="14" xfId="63" applyNumberFormat="1" applyFont="1" applyFill="1" applyBorder="1" applyAlignment="1">
      <alignment horizontal="center" vertical="center"/>
      <protection/>
    </xf>
    <xf numFmtId="0" fontId="94" fillId="0" borderId="0" xfId="63" applyFont="1" applyBorder="1" applyAlignment="1">
      <alignment/>
      <protection/>
    </xf>
    <xf numFmtId="4" fontId="10" fillId="0" borderId="0" xfId="63" applyNumberFormat="1" applyFont="1" applyBorder="1" applyAlignment="1" applyProtection="1">
      <alignment horizontal="center" vertical="center"/>
      <protection/>
    </xf>
    <xf numFmtId="7" fontId="115" fillId="0" borderId="0" xfId="63" applyNumberFormat="1" applyFont="1" applyFill="1" applyBorder="1" applyAlignment="1">
      <alignment horizontal="center" vertical="center"/>
      <protection/>
    </xf>
    <xf numFmtId="0" fontId="3" fillId="0" borderId="18" xfId="63" applyBorder="1">
      <alignment/>
      <protection/>
    </xf>
    <xf numFmtId="0" fontId="21" fillId="0" borderId="19" xfId="63" applyFont="1" applyFill="1" applyBorder="1">
      <alignment/>
      <protection/>
    </xf>
    <xf numFmtId="22" fontId="13" fillId="0" borderId="27" xfId="63" applyNumberFormat="1" applyFont="1" applyFill="1" applyBorder="1" applyAlignment="1" applyProtection="1">
      <alignment horizontal="center"/>
      <protection/>
    </xf>
    <xf numFmtId="168" fontId="10" fillId="0" borderId="0" xfId="63" applyNumberFormat="1" applyFont="1" applyBorder="1" applyAlignment="1" applyProtection="1">
      <alignment horizontal="left" vertical="center"/>
      <protection/>
    </xf>
    <xf numFmtId="8" fontId="77" fillId="0" borderId="20" xfId="53" applyNumberFormat="1" applyFont="1" applyFill="1" applyBorder="1" applyAlignment="1">
      <alignment horizontal="right"/>
    </xf>
    <xf numFmtId="0" fontId="13" fillId="0" borderId="26" xfId="63" applyFont="1" applyBorder="1" applyAlignment="1" applyProtection="1">
      <alignment horizontal="center"/>
      <protection/>
    </xf>
    <xf numFmtId="0" fontId="29" fillId="0" borderId="0" xfId="63" applyFont="1" applyFill="1" applyBorder="1" applyAlignment="1">
      <alignment horizontal="center"/>
      <protection/>
    </xf>
    <xf numFmtId="0" fontId="29" fillId="0" borderId="0" xfId="63" applyFont="1" applyBorder="1" applyAlignment="1" applyProtection="1">
      <alignment horizontal="center"/>
      <protection/>
    </xf>
    <xf numFmtId="168" fontId="29" fillId="52" borderId="0" xfId="63" applyNumberFormat="1" applyFont="1" applyFill="1" applyBorder="1" applyAlignment="1" applyProtection="1" quotePrefix="1">
      <alignment horizontal="center"/>
      <protection/>
    </xf>
    <xf numFmtId="0" fontId="60" fillId="37" borderId="16" xfId="63" applyFont="1" applyFill="1" applyBorder="1" applyAlignment="1" applyProtection="1">
      <alignment horizontal="center" vertical="center"/>
      <protection/>
    </xf>
    <xf numFmtId="0" fontId="13" fillId="0" borderId="33" xfId="63" applyFont="1" applyFill="1" applyBorder="1" applyAlignment="1">
      <alignment horizontal="center"/>
      <protection/>
    </xf>
    <xf numFmtId="0" fontId="74" fillId="0" borderId="62" xfId="63" applyFont="1" applyBorder="1" applyAlignment="1" applyProtection="1">
      <alignment horizontal="center"/>
      <protection locked="0"/>
    </xf>
    <xf numFmtId="22" fontId="13" fillId="0" borderId="36" xfId="63" applyNumberFormat="1" applyFont="1" applyBorder="1" applyAlignment="1" applyProtection="1">
      <alignment horizontal="center"/>
      <protection locked="0"/>
    </xf>
    <xf numFmtId="22" fontId="13" fillId="0" borderId="66" xfId="63" applyNumberFormat="1" applyFont="1" applyBorder="1" applyAlignment="1" applyProtection="1">
      <alignment horizontal="center"/>
      <protection locked="0"/>
    </xf>
    <xf numFmtId="2" fontId="13" fillId="0" borderId="35" xfId="63" applyNumberFormat="1" applyFont="1" applyFill="1" applyBorder="1" applyAlignment="1" applyProtection="1" quotePrefix="1">
      <alignment horizontal="center"/>
      <protection/>
    </xf>
    <xf numFmtId="173" fontId="13" fillId="0" borderId="49" xfId="63" applyNumberFormat="1" applyFont="1" applyBorder="1" applyAlignment="1" applyProtection="1" quotePrefix="1">
      <alignment horizontal="center"/>
      <protection/>
    </xf>
    <xf numFmtId="164" fontId="63" fillId="37" borderId="62" xfId="63" applyNumberFormat="1" applyFont="1" applyFill="1" applyBorder="1" applyAlignment="1" applyProtection="1">
      <alignment horizontal="center"/>
      <protection/>
    </xf>
    <xf numFmtId="2" fontId="80" fillId="39" borderId="35" xfId="63" applyNumberFormat="1" applyFont="1" applyFill="1" applyBorder="1" applyAlignment="1" applyProtection="1">
      <alignment horizontal="center"/>
      <protection/>
    </xf>
    <xf numFmtId="168" fontId="50" fillId="45" borderId="50" xfId="63" applyNumberFormat="1" applyFont="1" applyFill="1" applyBorder="1" applyAlignment="1" applyProtection="1" quotePrefix="1">
      <alignment horizontal="center"/>
      <protection/>
    </xf>
    <xf numFmtId="168" fontId="50" fillId="45" borderId="51" xfId="63" applyNumberFormat="1" applyFont="1" applyFill="1" applyBorder="1" applyAlignment="1" applyProtection="1" quotePrefix="1">
      <alignment horizontal="center"/>
      <protection/>
    </xf>
    <xf numFmtId="168" fontId="72" fillId="43" borderId="50" xfId="63" applyNumberFormat="1" applyFont="1" applyFill="1" applyBorder="1" applyAlignment="1" applyProtection="1" quotePrefix="1">
      <alignment horizontal="center"/>
      <protection/>
    </xf>
    <xf numFmtId="168" fontId="72" fillId="43" borderId="51" xfId="63" applyNumberFormat="1" applyFont="1" applyFill="1" applyBorder="1" applyAlignment="1" applyProtection="1" quotePrefix="1">
      <alignment horizontal="center"/>
      <protection/>
    </xf>
    <xf numFmtId="168" fontId="53" fillId="36" borderId="33" xfId="63" applyNumberFormat="1" applyFont="1" applyFill="1" applyBorder="1" applyAlignment="1" applyProtection="1" quotePrefix="1">
      <alignment horizontal="center"/>
      <protection/>
    </xf>
    <xf numFmtId="2" fontId="71" fillId="36" borderId="35" xfId="63" applyNumberFormat="1" applyFont="1" applyFill="1" applyBorder="1" applyAlignment="1" applyProtection="1">
      <alignment horizontal="center"/>
      <protection/>
    </xf>
    <xf numFmtId="4" fontId="77" fillId="0" borderId="35" xfId="63" applyNumberFormat="1" applyFont="1" applyFill="1" applyBorder="1" applyAlignment="1">
      <alignment horizontal="right"/>
      <protection/>
    </xf>
    <xf numFmtId="8" fontId="77" fillId="0" borderId="0" xfId="53" applyNumberFormat="1" applyFont="1" applyFill="1" applyBorder="1" applyAlignment="1">
      <alignment horizontal="right"/>
    </xf>
    <xf numFmtId="1" fontId="21" fillId="0" borderId="0" xfId="63" applyNumberFormat="1" applyFont="1" applyBorder="1" applyAlignment="1" applyProtection="1">
      <alignment horizontal="left"/>
      <protection/>
    </xf>
    <xf numFmtId="1" fontId="21" fillId="0" borderId="0" xfId="63" applyNumberFormat="1" applyFont="1" applyBorder="1" applyAlignment="1" applyProtection="1">
      <alignment horizontal="centerContinuous"/>
      <protection/>
    </xf>
    <xf numFmtId="0" fontId="121" fillId="0" borderId="15" xfId="63" applyFont="1" applyBorder="1" applyAlignment="1">
      <alignment horizontal="center"/>
      <protection/>
    </xf>
    <xf numFmtId="0" fontId="74" fillId="0" borderId="60" xfId="63" applyFont="1" applyBorder="1" applyAlignment="1" applyProtection="1">
      <alignment horizontal="center"/>
      <protection/>
    </xf>
    <xf numFmtId="168" fontId="13" fillId="0" borderId="46" xfId="63" applyNumberFormat="1" applyFont="1" applyBorder="1" applyAlignment="1" applyProtection="1">
      <alignment horizontal="center"/>
      <protection locked="0"/>
    </xf>
    <xf numFmtId="168" fontId="29" fillId="52" borderId="86" xfId="63" applyNumberFormat="1" applyFont="1" applyFill="1" applyBorder="1" applyAlignment="1" applyProtection="1" quotePrefix="1">
      <alignment horizontal="center"/>
      <protection/>
    </xf>
    <xf numFmtId="4" fontId="77" fillId="0" borderId="26" xfId="63" applyNumberFormat="1" applyFont="1" applyFill="1" applyBorder="1" applyAlignment="1">
      <alignment horizontal="right"/>
      <protection/>
    </xf>
    <xf numFmtId="164" fontId="63" fillId="37" borderId="59" xfId="63" applyNumberFormat="1" applyFont="1" applyFill="1" applyBorder="1" applyAlignment="1" applyProtection="1">
      <alignment horizontal="center"/>
      <protection/>
    </xf>
    <xf numFmtId="2" fontId="80" fillId="39" borderId="26" xfId="63" applyNumberFormat="1" applyFont="1" applyFill="1" applyBorder="1" applyAlignment="1" applyProtection="1">
      <alignment horizontal="center"/>
      <protection/>
    </xf>
    <xf numFmtId="0" fontId="23" fillId="0" borderId="21" xfId="63" applyFont="1" applyBorder="1">
      <alignment/>
      <protection/>
    </xf>
    <xf numFmtId="0" fontId="27" fillId="0" borderId="0" xfId="61" applyNumberFormat="1" applyFont="1" applyBorder="1" applyAlignment="1">
      <alignment horizontal="left"/>
      <protection/>
    </xf>
    <xf numFmtId="0" fontId="27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11" fillId="0" borderId="0" xfId="0" applyFont="1" applyAlignment="1">
      <alignment horizontal="right" vertical="top"/>
    </xf>
    <xf numFmtId="0" fontId="8" fillId="0" borderId="0" xfId="0" applyFont="1" applyFill="1" applyAlignment="1">
      <alignment/>
    </xf>
    <xf numFmtId="0" fontId="9" fillId="0" borderId="0" xfId="0" applyFont="1" applyAlignment="1">
      <alignment horizontal="centerContinuous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Border="1" applyAlignment="1" applyProtection="1">
      <alignment horizontal="centerContinuous"/>
      <protection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 applyProtection="1">
      <alignment horizontal="left"/>
      <protection/>
    </xf>
    <xf numFmtId="0" fontId="13" fillId="0" borderId="12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6" fillId="0" borderId="14" xfId="0" applyFont="1" applyFill="1" applyBorder="1" applyAlignment="1">
      <alignment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0" xfId="0" applyFont="1" applyBorder="1" applyAlignment="1" applyProtection="1">
      <alignment/>
      <protection/>
    </xf>
    <xf numFmtId="0" fontId="23" fillId="0" borderId="0" xfId="0" applyFont="1" applyAlignment="1">
      <alignment/>
    </xf>
    <xf numFmtId="0" fontId="24" fillId="0" borderId="13" xfId="0" applyFont="1" applyBorder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14" xfId="0" applyFont="1" applyFill="1" applyBorder="1" applyAlignment="1">
      <alignment horizontal="centerContinuous"/>
    </xf>
    <xf numFmtId="0" fontId="1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3" fillId="0" borderId="15" xfId="0" applyFont="1" applyBorder="1" applyAlignment="1" applyProtection="1">
      <alignment horizontal="center"/>
      <protection/>
    </xf>
    <xf numFmtId="174" fontId="0" fillId="0" borderId="15" xfId="0" applyNumberFormat="1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3" fillId="0" borderId="0" xfId="0" applyFont="1" applyBorder="1" applyAlignment="1" applyProtection="1">
      <alignment horizontal="center"/>
      <protection/>
    </xf>
    <xf numFmtId="174" fontId="3" fillId="0" borderId="0" xfId="0" applyNumberFormat="1" applyFont="1" applyBorder="1" applyAlignment="1">
      <alignment horizontal="centerContinuous"/>
    </xf>
    <xf numFmtId="22" fontId="13" fillId="0" borderId="0" xfId="0" applyNumberFormat="1" applyFont="1" applyBorder="1" applyAlignment="1">
      <alignment/>
    </xf>
    <xf numFmtId="0" fontId="13" fillId="0" borderId="0" xfId="0" applyFont="1" applyBorder="1" applyAlignment="1" applyProtection="1">
      <alignment horizontal="center"/>
      <protection/>
    </xf>
    <xf numFmtId="0" fontId="13" fillId="0" borderId="62" xfId="0" applyFont="1" applyBorder="1" applyAlignment="1">
      <alignment/>
    </xf>
    <xf numFmtId="0" fontId="30" fillId="0" borderId="20" xfId="0" applyFont="1" applyBorder="1" applyAlignment="1">
      <alignment horizontal="center" vertical="center"/>
    </xf>
    <xf numFmtId="0" fontId="30" fillId="0" borderId="20" xfId="0" applyFont="1" applyBorder="1" applyAlignment="1" applyProtection="1">
      <alignment horizontal="center" vertical="center"/>
      <protection/>
    </xf>
    <xf numFmtId="164" fontId="30" fillId="0" borderId="20" xfId="0" applyNumberFormat="1" applyFont="1" applyBorder="1" applyAlignment="1" applyProtection="1">
      <alignment horizontal="center" vertical="center" wrapText="1"/>
      <protection/>
    </xf>
    <xf numFmtId="0" fontId="30" fillId="0" borderId="20" xfId="0" applyFont="1" applyBorder="1" applyAlignment="1" applyProtection="1">
      <alignment horizontal="center" vertical="center" wrapText="1"/>
      <protection/>
    </xf>
    <xf numFmtId="168" fontId="30" fillId="0" borderId="20" xfId="0" applyNumberFormat="1" applyFont="1" applyBorder="1" applyAlignment="1" applyProtection="1">
      <alignment horizontal="center" vertical="center"/>
      <protection/>
    </xf>
    <xf numFmtId="168" fontId="31" fillId="33" borderId="20" xfId="0" applyNumberFormat="1" applyFont="1" applyFill="1" applyBorder="1" applyAlignment="1" applyProtection="1">
      <alignment horizontal="center" vertical="center"/>
      <protection/>
    </xf>
    <xf numFmtId="0" fontId="32" fillId="34" borderId="20" xfId="0" applyFont="1" applyFill="1" applyBorder="1" applyAlignment="1" applyProtection="1">
      <alignment horizontal="center" vertical="center"/>
      <protection/>
    </xf>
    <xf numFmtId="0" fontId="30" fillId="0" borderId="15" xfId="0" applyFont="1" applyBorder="1" applyAlignment="1" applyProtection="1">
      <alignment horizontal="center" vertical="center"/>
      <protection/>
    </xf>
    <xf numFmtId="0" fontId="30" fillId="0" borderId="15" xfId="0" applyFont="1" applyBorder="1" applyAlignment="1" applyProtection="1">
      <alignment horizontal="center" vertical="center" wrapText="1"/>
      <protection/>
    </xf>
    <xf numFmtId="0" fontId="34" fillId="35" borderId="20" xfId="0" applyFont="1" applyFill="1" applyBorder="1" applyAlignment="1">
      <alignment horizontal="center" vertical="center" wrapText="1"/>
    </xf>
    <xf numFmtId="0" fontId="35" fillId="36" borderId="20" xfId="0" applyFont="1" applyFill="1" applyBorder="1" applyAlignment="1">
      <alignment horizontal="center" vertical="center" wrapText="1"/>
    </xf>
    <xf numFmtId="0" fontId="36" fillId="37" borderId="15" xfId="0" applyFont="1" applyFill="1" applyBorder="1" applyAlignment="1" applyProtection="1">
      <alignment horizontal="centerContinuous" vertical="center" wrapText="1"/>
      <protection/>
    </xf>
    <xf numFmtId="0" fontId="7" fillId="37" borderId="21" xfId="0" applyFont="1" applyFill="1" applyBorder="1" applyAlignment="1">
      <alignment horizontal="centerContinuous"/>
    </xf>
    <xf numFmtId="0" fontId="36" fillId="37" borderId="16" xfId="0" applyFont="1" applyFill="1" applyBorder="1" applyAlignment="1">
      <alignment horizontal="centerContinuous" vertical="center"/>
    </xf>
    <xf numFmtId="0" fontId="37" fillId="38" borderId="15" xfId="0" applyFont="1" applyFill="1" applyBorder="1" applyAlignment="1">
      <alignment horizontal="centerContinuous" vertical="center" wrapText="1"/>
    </xf>
    <xf numFmtId="0" fontId="38" fillId="38" borderId="21" xfId="0" applyFont="1" applyFill="1" applyBorder="1" applyAlignment="1">
      <alignment horizontal="centerContinuous"/>
    </xf>
    <xf numFmtId="0" fontId="37" fillId="38" borderId="16" xfId="0" applyFont="1" applyFill="1" applyBorder="1" applyAlignment="1">
      <alignment horizontal="centerContinuous" vertical="center"/>
    </xf>
    <xf numFmtId="0" fontId="39" fillId="39" borderId="20" xfId="0" applyFont="1" applyFill="1" applyBorder="1" applyAlignment="1">
      <alignment horizontal="center" vertical="center" wrapText="1"/>
    </xf>
    <xf numFmtId="0" fontId="40" fillId="40" borderId="20" xfId="0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/>
    </xf>
    <xf numFmtId="0" fontId="13" fillId="0" borderId="27" xfId="0" applyFont="1" applyFill="1" applyBorder="1" applyAlignment="1" applyProtection="1">
      <alignment horizontal="center"/>
      <protection locked="0"/>
    </xf>
    <xf numFmtId="0" fontId="41" fillId="33" borderId="27" xfId="0" applyFont="1" applyFill="1" applyBorder="1" applyAlignment="1" applyProtection="1">
      <alignment horizontal="center"/>
      <protection/>
    </xf>
    <xf numFmtId="174" fontId="42" fillId="34" borderId="27" xfId="0" applyNumberFormat="1" applyFont="1" applyFill="1" applyBorder="1" applyAlignment="1" applyProtection="1">
      <alignment horizontal="center"/>
      <protection/>
    </xf>
    <xf numFmtId="4" fontId="13" fillId="41" borderId="27" xfId="0" applyNumberFormat="1" applyFont="1" applyFill="1" applyBorder="1" applyAlignment="1" applyProtection="1" quotePrefix="1">
      <alignment horizontal="center"/>
      <protection/>
    </xf>
    <xf numFmtId="164" fontId="13" fillId="41" borderId="27" xfId="0" applyNumberFormat="1" applyFont="1" applyFill="1" applyBorder="1" applyAlignment="1" applyProtection="1" quotePrefix="1">
      <alignment horizontal="center"/>
      <protection/>
    </xf>
    <xf numFmtId="168" fontId="13" fillId="0" borderId="28" xfId="0" applyNumberFormat="1" applyFont="1" applyBorder="1" applyAlignment="1" applyProtection="1">
      <alignment horizontal="center"/>
      <protection locked="0"/>
    </xf>
    <xf numFmtId="173" fontId="13" fillId="0" borderId="27" xfId="0" applyNumberFormat="1" applyFont="1" applyBorder="1" applyAlignment="1" applyProtection="1" quotePrefix="1">
      <alignment horizontal="center"/>
      <protection locked="0"/>
    </xf>
    <xf numFmtId="168" fontId="13" fillId="0" borderId="27" xfId="0" applyNumberFormat="1" applyFont="1" applyBorder="1" applyAlignment="1" applyProtection="1">
      <alignment horizontal="center"/>
      <protection locked="0"/>
    </xf>
    <xf numFmtId="2" fontId="50" fillId="35" borderId="27" xfId="0" applyNumberFormat="1" applyFont="1" applyFill="1" applyBorder="1" applyAlignment="1" applyProtection="1">
      <alignment horizontal="center"/>
      <protection locked="0"/>
    </xf>
    <xf numFmtId="2" fontId="51" fillId="36" borderId="28" xfId="0" applyNumberFormat="1" applyFont="1" applyFill="1" applyBorder="1" applyAlignment="1" applyProtection="1">
      <alignment horizontal="center"/>
      <protection locked="0"/>
    </xf>
    <xf numFmtId="168" fontId="52" fillId="37" borderId="29" xfId="0" applyNumberFormat="1" applyFont="1" applyFill="1" applyBorder="1" applyAlignment="1" applyProtection="1" quotePrefix="1">
      <alignment horizontal="center"/>
      <protection locked="0"/>
    </xf>
    <xf numFmtId="168" fontId="52" fillId="37" borderId="30" xfId="0" applyNumberFormat="1" applyFont="1" applyFill="1" applyBorder="1" applyAlignment="1" applyProtection="1" quotePrefix="1">
      <alignment horizontal="center"/>
      <protection locked="0"/>
    </xf>
    <xf numFmtId="4" fontId="52" fillId="37" borderId="28" xfId="0" applyNumberFormat="1" applyFont="1" applyFill="1" applyBorder="1" applyAlignment="1" applyProtection="1">
      <alignment horizontal="center"/>
      <protection locked="0"/>
    </xf>
    <xf numFmtId="168" fontId="53" fillId="38" borderId="29" xfId="0" applyNumberFormat="1" applyFont="1" applyFill="1" applyBorder="1" applyAlignment="1" applyProtection="1" quotePrefix="1">
      <alignment horizontal="center"/>
      <protection locked="0"/>
    </xf>
    <xf numFmtId="168" fontId="53" fillId="38" borderId="30" xfId="0" applyNumberFormat="1" applyFont="1" applyFill="1" applyBorder="1" applyAlignment="1" applyProtection="1" quotePrefix="1">
      <alignment horizontal="center"/>
      <protection locked="0"/>
    </xf>
    <xf numFmtId="4" fontId="53" fillId="38" borderId="28" xfId="0" applyNumberFormat="1" applyFont="1" applyFill="1" applyBorder="1" applyAlignment="1" applyProtection="1">
      <alignment horizontal="center"/>
      <protection locked="0"/>
    </xf>
    <xf numFmtId="4" fontId="54" fillId="39" borderId="27" xfId="0" applyNumberFormat="1" applyFont="1" applyFill="1" applyBorder="1" applyAlignment="1" applyProtection="1">
      <alignment horizontal="center"/>
      <protection locked="0"/>
    </xf>
    <xf numFmtId="4" fontId="55" fillId="40" borderId="27" xfId="0" applyNumberFormat="1" applyFont="1" applyFill="1" applyBorder="1" applyAlignment="1" applyProtection="1">
      <alignment horizontal="center"/>
      <protection locked="0"/>
    </xf>
    <xf numFmtId="4" fontId="49" fillId="0" borderId="27" xfId="0" applyNumberFormat="1" applyFont="1" applyBorder="1" applyAlignment="1" applyProtection="1">
      <alignment horizontal="center"/>
      <protection locked="0"/>
    </xf>
    <xf numFmtId="4" fontId="48" fillId="0" borderId="28" xfId="0" applyNumberFormat="1" applyFont="1" applyFill="1" applyBorder="1" applyAlignment="1">
      <alignment horizontal="right"/>
    </xf>
    <xf numFmtId="2" fontId="13" fillId="0" borderId="14" xfId="0" applyNumberFormat="1" applyFont="1" applyFill="1" applyBorder="1" applyAlignment="1">
      <alignment horizontal="center"/>
    </xf>
    <xf numFmtId="0" fontId="13" fillId="0" borderId="27" xfId="0" applyFont="1" applyBorder="1" applyAlignment="1" applyProtection="1">
      <alignment horizontal="center"/>
      <protection locked="0"/>
    </xf>
    <xf numFmtId="22" fontId="13" fillId="0" borderId="28" xfId="0" applyNumberFormat="1" applyFont="1" applyFill="1" applyBorder="1" applyAlignment="1" applyProtection="1">
      <alignment horizontal="center"/>
      <protection locked="0"/>
    </xf>
    <xf numFmtId="22" fontId="13" fillId="0" borderId="31" xfId="0" applyNumberFormat="1" applyFont="1" applyFill="1" applyBorder="1" applyAlignment="1" applyProtection="1">
      <alignment horizontal="center"/>
      <protection locked="0"/>
    </xf>
    <xf numFmtId="4" fontId="13" fillId="0" borderId="27" xfId="0" applyNumberFormat="1" applyFont="1" applyBorder="1" applyAlignment="1" applyProtection="1">
      <alignment horizontal="center"/>
      <protection locked="0"/>
    </xf>
    <xf numFmtId="0" fontId="13" fillId="0" borderId="26" xfId="0" applyFont="1" applyFill="1" applyBorder="1" applyAlignment="1">
      <alignment horizontal="center"/>
    </xf>
    <xf numFmtId="164" fontId="13" fillId="0" borderId="27" xfId="0" applyNumberFormat="1" applyFont="1" applyFill="1" applyBorder="1" applyAlignment="1" applyProtection="1">
      <alignment horizontal="center"/>
      <protection locked="0"/>
    </xf>
    <xf numFmtId="170" fontId="13" fillId="0" borderId="27" xfId="0" applyNumberFormat="1" applyFont="1" applyFill="1" applyBorder="1" applyAlignment="1" applyProtection="1">
      <alignment horizontal="center"/>
      <protection locked="0"/>
    </xf>
    <xf numFmtId="0" fontId="13" fillId="0" borderId="35" xfId="0" applyFont="1" applyBorder="1" applyAlignment="1" applyProtection="1">
      <alignment horizontal="center"/>
      <protection locked="0"/>
    </xf>
    <xf numFmtId="164" fontId="49" fillId="0" borderId="35" xfId="0" applyNumberFormat="1" applyFont="1" applyBorder="1" applyAlignment="1" applyProtection="1">
      <alignment horizontal="center"/>
      <protection locked="0"/>
    </xf>
    <xf numFmtId="170" fontId="13" fillId="0" borderId="35" xfId="0" applyNumberFormat="1" applyFont="1" applyBorder="1" applyAlignment="1" applyProtection="1">
      <alignment horizontal="center"/>
      <protection locked="0"/>
    </xf>
    <xf numFmtId="165" fontId="13" fillId="0" borderId="35" xfId="0" applyNumberFormat="1" applyFont="1" applyBorder="1" applyAlignment="1" applyProtection="1">
      <alignment horizontal="center"/>
      <protection locked="0"/>
    </xf>
    <xf numFmtId="0" fontId="41" fillId="33" borderId="35" xfId="0" applyFont="1" applyFill="1" applyBorder="1" applyAlignment="1" applyProtection="1">
      <alignment horizontal="center"/>
      <protection/>
    </xf>
    <xf numFmtId="174" fontId="42" fillId="34" borderId="35" xfId="0" applyNumberFormat="1" applyFont="1" applyFill="1" applyBorder="1" applyAlignment="1" applyProtection="1">
      <alignment horizontal="center"/>
      <protection/>
    </xf>
    <xf numFmtId="22" fontId="13" fillId="0" borderId="35" xfId="0" applyNumberFormat="1" applyFont="1" applyBorder="1" applyAlignment="1" applyProtection="1">
      <alignment horizontal="center"/>
      <protection locked="0"/>
    </xf>
    <xf numFmtId="168" fontId="13" fillId="0" borderId="35" xfId="0" applyNumberFormat="1" applyFont="1" applyBorder="1" applyAlignment="1" applyProtection="1">
      <alignment horizontal="center"/>
      <protection/>
    </xf>
    <xf numFmtId="168" fontId="13" fillId="0" borderId="35" xfId="0" applyNumberFormat="1" applyFont="1" applyBorder="1" applyAlignment="1" applyProtection="1">
      <alignment horizontal="center"/>
      <protection locked="0"/>
    </xf>
    <xf numFmtId="173" fontId="13" fillId="0" borderId="35" xfId="0" applyNumberFormat="1" applyFont="1" applyBorder="1" applyAlignment="1" applyProtection="1" quotePrefix="1">
      <alignment horizontal="center"/>
      <protection locked="0"/>
    </xf>
    <xf numFmtId="2" fontId="43" fillId="35" borderId="35" xfId="0" applyNumberFormat="1" applyFont="1" applyFill="1" applyBorder="1" applyAlignment="1" applyProtection="1">
      <alignment horizontal="center"/>
      <protection locked="0"/>
    </xf>
    <xf numFmtId="2" fontId="51" fillId="36" borderId="35" xfId="0" applyNumberFormat="1" applyFont="1" applyFill="1" applyBorder="1" applyAlignment="1" applyProtection="1">
      <alignment horizontal="center"/>
      <protection locked="0"/>
    </xf>
    <xf numFmtId="168" fontId="52" fillId="37" borderId="36" xfId="0" applyNumberFormat="1" applyFont="1" applyFill="1" applyBorder="1" applyAlignment="1" applyProtection="1" quotePrefix="1">
      <alignment horizontal="center"/>
      <protection locked="0"/>
    </xf>
    <xf numFmtId="168" fontId="52" fillId="37" borderId="37" xfId="0" applyNumberFormat="1" applyFont="1" applyFill="1" applyBorder="1" applyAlignment="1" applyProtection="1" quotePrefix="1">
      <alignment horizontal="center"/>
      <protection locked="0"/>
    </xf>
    <xf numFmtId="4" fontId="52" fillId="37" borderId="38" xfId="0" applyNumberFormat="1" applyFont="1" applyFill="1" applyBorder="1" applyAlignment="1" applyProtection="1">
      <alignment horizontal="center"/>
      <protection locked="0"/>
    </xf>
    <xf numFmtId="168" fontId="53" fillId="38" borderId="36" xfId="0" applyNumberFormat="1" applyFont="1" applyFill="1" applyBorder="1" applyAlignment="1" applyProtection="1" quotePrefix="1">
      <alignment horizontal="center"/>
      <protection locked="0"/>
    </xf>
    <xf numFmtId="168" fontId="53" fillId="38" borderId="37" xfId="0" applyNumberFormat="1" applyFont="1" applyFill="1" applyBorder="1" applyAlignment="1" applyProtection="1" quotePrefix="1">
      <alignment horizontal="center"/>
      <protection locked="0"/>
    </xf>
    <xf numFmtId="4" fontId="53" fillId="38" borderId="38" xfId="0" applyNumberFormat="1" applyFont="1" applyFill="1" applyBorder="1" applyAlignment="1" applyProtection="1">
      <alignment horizontal="center"/>
      <protection locked="0"/>
    </xf>
    <xf numFmtId="4" fontId="54" fillId="39" borderId="35" xfId="0" applyNumberFormat="1" applyFont="1" applyFill="1" applyBorder="1" applyAlignment="1" applyProtection="1">
      <alignment horizontal="center"/>
      <protection locked="0"/>
    </xf>
    <xf numFmtId="4" fontId="55" fillId="40" borderId="35" xfId="0" applyNumberFormat="1" applyFont="1" applyFill="1" applyBorder="1" applyAlignment="1" applyProtection="1">
      <alignment horizontal="center"/>
      <protection locked="0"/>
    </xf>
    <xf numFmtId="4" fontId="49" fillId="0" borderId="35" xfId="0" applyNumberFormat="1" applyFont="1" applyBorder="1" applyAlignment="1" applyProtection="1">
      <alignment horizontal="center"/>
      <protection locked="0"/>
    </xf>
    <xf numFmtId="2" fontId="48" fillId="0" borderId="39" xfId="0" applyNumberFormat="1" applyFont="1" applyFill="1" applyBorder="1" applyAlignment="1">
      <alignment horizontal="right"/>
    </xf>
    <xf numFmtId="0" fontId="57" fillId="0" borderId="40" xfId="0" applyFont="1" applyBorder="1" applyAlignment="1">
      <alignment horizontal="center"/>
    </xf>
    <xf numFmtId="0" fontId="58" fillId="0" borderId="0" xfId="0" applyFont="1" applyBorder="1" applyAlignment="1" applyProtection="1">
      <alignment horizontal="left" vertical="top"/>
      <protection/>
    </xf>
    <xf numFmtId="164" fontId="49" fillId="0" borderId="0" xfId="0" applyNumberFormat="1" applyFont="1" applyBorder="1" applyAlignment="1" applyProtection="1">
      <alignment horizontal="center"/>
      <protection/>
    </xf>
    <xf numFmtId="165" fontId="13" fillId="0" borderId="0" xfId="0" applyNumberFormat="1" applyFont="1" applyBorder="1" applyAlignment="1" applyProtection="1">
      <alignment horizontal="center"/>
      <protection/>
    </xf>
    <xf numFmtId="168" fontId="13" fillId="0" borderId="0" xfId="0" applyNumberFormat="1" applyFont="1" applyBorder="1" applyAlignment="1" applyProtection="1">
      <alignment horizontal="center"/>
      <protection/>
    </xf>
    <xf numFmtId="173" fontId="13" fillId="0" borderId="0" xfId="0" applyNumberFormat="1" applyFont="1" applyBorder="1" applyAlignment="1" applyProtection="1" quotePrefix="1">
      <alignment horizontal="center"/>
      <protection/>
    </xf>
    <xf numFmtId="2" fontId="50" fillId="35" borderId="20" xfId="0" applyNumberFormat="1" applyFont="1" applyFill="1" applyBorder="1" applyAlignment="1" applyProtection="1">
      <alignment horizontal="center"/>
      <protection/>
    </xf>
    <xf numFmtId="2" fontId="51" fillId="36" borderId="20" xfId="0" applyNumberFormat="1" applyFont="1" applyFill="1" applyBorder="1" applyAlignment="1" applyProtection="1">
      <alignment horizontal="center"/>
      <protection/>
    </xf>
    <xf numFmtId="2" fontId="52" fillId="37" borderId="20" xfId="0" applyNumberFormat="1" applyFont="1" applyFill="1" applyBorder="1" applyAlignment="1" applyProtection="1">
      <alignment horizontal="center"/>
      <protection/>
    </xf>
    <xf numFmtId="2" fontId="53" fillId="38" borderId="20" xfId="0" applyNumberFormat="1" applyFont="1" applyFill="1" applyBorder="1" applyAlignment="1" applyProtection="1">
      <alignment horizontal="center"/>
      <protection/>
    </xf>
    <xf numFmtId="2" fontId="54" fillId="39" borderId="20" xfId="0" applyNumberFormat="1" applyFont="1" applyFill="1" applyBorder="1" applyAlignment="1" applyProtection="1">
      <alignment horizontal="center"/>
      <protection/>
    </xf>
    <xf numFmtId="2" fontId="55" fillId="40" borderId="20" xfId="0" applyNumberFormat="1" applyFont="1" applyFill="1" applyBorder="1" applyAlignment="1" applyProtection="1">
      <alignment horizontal="center"/>
      <protection/>
    </xf>
    <xf numFmtId="2" fontId="59" fillId="0" borderId="41" xfId="0" applyNumberFormat="1" applyFont="1" applyBorder="1" applyAlignment="1" applyProtection="1">
      <alignment horizontal="center"/>
      <protection/>
    </xf>
    <xf numFmtId="7" fontId="4" fillId="0" borderId="20" xfId="0" applyNumberFormat="1" applyFont="1" applyFill="1" applyBorder="1" applyAlignment="1" applyProtection="1">
      <alignment horizontal="right"/>
      <protection/>
    </xf>
    <xf numFmtId="0" fontId="57" fillId="0" borderId="0" xfId="0" applyFont="1" applyAlignment="1">
      <alignment/>
    </xf>
    <xf numFmtId="0" fontId="57" fillId="0" borderId="13" xfId="0" applyFont="1" applyBorder="1" applyAlignment="1">
      <alignment/>
    </xf>
    <xf numFmtId="0" fontId="57" fillId="0" borderId="0" xfId="0" applyFont="1" applyBorder="1" applyAlignment="1">
      <alignment horizontal="center"/>
    </xf>
    <xf numFmtId="164" fontId="122" fillId="0" borderId="0" xfId="0" applyNumberFormat="1" applyFont="1" applyBorder="1" applyAlignment="1" applyProtection="1">
      <alignment horizontal="center"/>
      <protection/>
    </xf>
    <xf numFmtId="0" fontId="57" fillId="0" borderId="0" xfId="0" applyFont="1" applyBorder="1" applyAlignment="1" applyProtection="1">
      <alignment horizontal="center"/>
      <protection/>
    </xf>
    <xf numFmtId="165" fontId="57" fillId="0" borderId="0" xfId="0" applyNumberFormat="1" applyFont="1" applyBorder="1" applyAlignment="1" applyProtection="1">
      <alignment horizontal="center"/>
      <protection/>
    </xf>
    <xf numFmtId="168" fontId="57" fillId="0" borderId="0" xfId="0" applyNumberFormat="1" applyFont="1" applyBorder="1" applyAlignment="1" applyProtection="1">
      <alignment horizontal="center"/>
      <protection/>
    </xf>
    <xf numFmtId="173" fontId="57" fillId="0" borderId="0" xfId="0" applyNumberFormat="1" applyFont="1" applyBorder="1" applyAlignment="1" applyProtection="1" quotePrefix="1">
      <alignment horizontal="center"/>
      <protection/>
    </xf>
    <xf numFmtId="2" fontId="123" fillId="0" borderId="0" xfId="0" applyNumberFormat="1" applyFont="1" applyBorder="1" applyAlignment="1" applyProtection="1">
      <alignment horizontal="center"/>
      <protection/>
    </xf>
    <xf numFmtId="7" fontId="124" fillId="0" borderId="0" xfId="0" applyNumberFormat="1" applyFont="1" applyFill="1" applyBorder="1" applyAlignment="1" applyProtection="1">
      <alignment horizontal="right"/>
      <protection/>
    </xf>
    <xf numFmtId="4" fontId="57" fillId="0" borderId="14" xfId="0" applyNumberFormat="1" applyFont="1" applyFill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0" fillId="0" borderId="0" xfId="0" applyBorder="1" applyAlignment="1">
      <alignment/>
    </xf>
    <xf numFmtId="0" fontId="21" fillId="0" borderId="0" xfId="59" applyFont="1" applyBorder="1" applyAlignment="1" applyProtection="1">
      <alignment horizontal="right"/>
      <protection/>
    </xf>
    <xf numFmtId="2" fontId="95" fillId="1" borderId="20" xfId="59" applyNumberFormat="1" applyFont="1" applyFill="1" applyBorder="1" applyAlignment="1">
      <alignment horizontal="center" vertical="center"/>
      <protection/>
    </xf>
    <xf numFmtId="0" fontId="13" fillId="0" borderId="59" xfId="59" applyFont="1" applyBorder="1" applyAlignment="1" applyProtection="1">
      <alignment horizontal="center"/>
      <protection locked="0"/>
    </xf>
    <xf numFmtId="0" fontId="13" fillId="0" borderId="46" xfId="59" applyFont="1" applyBorder="1" applyAlignment="1" applyProtection="1">
      <alignment horizontal="center"/>
      <protection locked="0"/>
    </xf>
    <xf numFmtId="168" fontId="13" fillId="0" borderId="59" xfId="59" applyNumberFormat="1" applyFont="1" applyBorder="1" applyAlignment="1" applyProtection="1">
      <alignment horizontal="center"/>
      <protection/>
    </xf>
    <xf numFmtId="168" fontId="13" fillId="0" borderId="46" xfId="59" applyNumberFormat="1" applyFont="1" applyBorder="1" applyAlignment="1" applyProtection="1">
      <alignment horizontal="center"/>
      <protection/>
    </xf>
    <xf numFmtId="164" fontId="13" fillId="0" borderId="85" xfId="59" applyNumberFormat="1" applyFont="1" applyBorder="1" applyAlignment="1" applyProtection="1">
      <alignment horizontal="center"/>
      <protection/>
    </xf>
    <xf numFmtId="164" fontId="13" fillId="0" borderId="71" xfId="59" applyNumberFormat="1" applyFont="1" applyBorder="1" applyAlignment="1" applyProtection="1">
      <alignment horizontal="center"/>
      <protection/>
    </xf>
    <xf numFmtId="0" fontId="13" fillId="0" borderId="67" xfId="59" applyFont="1" applyFill="1" applyBorder="1" applyAlignment="1">
      <alignment horizontal="center"/>
      <protection/>
    </xf>
    <xf numFmtId="0" fontId="13" fillId="0" borderId="55" xfId="59" applyFont="1" applyFill="1" applyBorder="1" applyAlignment="1">
      <alignment horizontal="center"/>
      <protection/>
    </xf>
    <xf numFmtId="168" fontId="13" fillId="0" borderId="85" xfId="59" applyNumberFormat="1" applyFont="1" applyBorder="1" applyAlignment="1" applyProtection="1">
      <alignment horizontal="center"/>
      <protection/>
    </xf>
    <xf numFmtId="168" fontId="13" fillId="0" borderId="71" xfId="59" applyNumberFormat="1" applyFont="1" applyBorder="1" applyAlignment="1" applyProtection="1">
      <alignment horizontal="center"/>
      <protection/>
    </xf>
    <xf numFmtId="0" fontId="30" fillId="0" borderId="15" xfId="59" applyFont="1" applyBorder="1" applyAlignment="1" applyProtection="1" quotePrefix="1">
      <alignment horizontal="center" vertical="center" wrapText="1"/>
      <protection/>
    </xf>
    <xf numFmtId="0" fontId="30" fillId="0" borderId="16" xfId="59" applyFont="1" applyBorder="1" applyAlignment="1" applyProtection="1" quotePrefix="1">
      <alignment horizontal="center" vertical="center" wrapText="1"/>
      <protection/>
    </xf>
    <xf numFmtId="0" fontId="30" fillId="0" borderId="15" xfId="59" applyFont="1" applyBorder="1" applyAlignment="1" applyProtection="1">
      <alignment horizontal="center" vertical="center"/>
      <protection/>
    </xf>
    <xf numFmtId="0" fontId="30" fillId="0" borderId="16" xfId="59" applyFont="1" applyBorder="1" applyAlignment="1" applyProtection="1">
      <alignment horizontal="center" vertical="center"/>
      <protection/>
    </xf>
    <xf numFmtId="164" fontId="13" fillId="0" borderId="59" xfId="59" applyNumberFormat="1" applyFont="1" applyBorder="1" applyAlignment="1" applyProtection="1">
      <alignment horizontal="center"/>
      <protection/>
    </xf>
    <xf numFmtId="164" fontId="13" fillId="0" borderId="46" xfId="59" applyNumberFormat="1" applyFont="1" applyBorder="1" applyAlignment="1" applyProtection="1">
      <alignment horizontal="center"/>
      <protection/>
    </xf>
    <xf numFmtId="165" fontId="13" fillId="0" borderId="59" xfId="59" applyNumberFormat="1" applyFont="1" applyBorder="1" applyAlignment="1" applyProtection="1">
      <alignment horizontal="center"/>
      <protection/>
    </xf>
    <xf numFmtId="165" fontId="13" fillId="0" borderId="46" xfId="59" applyNumberFormat="1" applyFont="1" applyBorder="1" applyAlignment="1" applyProtection="1">
      <alignment horizontal="center"/>
      <protection/>
    </xf>
    <xf numFmtId="0" fontId="30" fillId="0" borderId="15" xfId="59" applyFont="1" applyFill="1" applyBorder="1" applyAlignment="1" applyProtection="1" quotePrefix="1">
      <alignment horizontal="center" vertical="center" wrapText="1"/>
      <protection/>
    </xf>
    <xf numFmtId="0" fontId="30" fillId="0" borderId="16" xfId="59" applyFont="1" applyFill="1" applyBorder="1" applyAlignment="1" applyProtection="1" quotePrefix="1">
      <alignment horizontal="center" vertical="center" wrapText="1"/>
      <protection/>
    </xf>
    <xf numFmtId="0" fontId="30" fillId="0" borderId="15" xfId="59" applyFont="1" applyFill="1" applyBorder="1" applyAlignment="1" applyProtection="1">
      <alignment horizontal="center" vertical="center"/>
      <protection/>
    </xf>
    <xf numFmtId="0" fontId="30" fillId="0" borderId="16" xfId="59" applyFont="1" applyFill="1" applyBorder="1" applyAlignment="1" applyProtection="1">
      <alignment horizontal="center" vertical="center"/>
      <protection/>
    </xf>
    <xf numFmtId="0" fontId="30" fillId="0" borderId="21" xfId="59" applyFont="1" applyBorder="1" applyAlignment="1" applyProtection="1">
      <alignment horizontal="center" vertical="center"/>
      <protection/>
    </xf>
    <xf numFmtId="0" fontId="74" fillId="0" borderId="59" xfId="59" applyFont="1" applyBorder="1" applyAlignment="1" applyProtection="1">
      <alignment horizontal="center"/>
      <protection/>
    </xf>
    <xf numFmtId="0" fontId="74" fillId="0" borderId="46" xfId="59" applyFont="1" applyBorder="1" applyAlignment="1" applyProtection="1">
      <alignment horizontal="center"/>
      <protection/>
    </xf>
    <xf numFmtId="0" fontId="74" fillId="0" borderId="67" xfId="59" applyFont="1" applyBorder="1" applyAlignment="1" applyProtection="1">
      <alignment horizontal="center"/>
      <protection/>
    </xf>
    <xf numFmtId="0" fontId="74" fillId="0" borderId="55" xfId="59" applyFont="1" applyBorder="1" applyAlignment="1" applyProtection="1">
      <alignment horizontal="center"/>
      <protection/>
    </xf>
    <xf numFmtId="0" fontId="13" fillId="0" borderId="59" xfId="59" applyFont="1" applyBorder="1" applyAlignment="1" applyProtection="1">
      <alignment horizontal="center"/>
      <protection/>
    </xf>
    <xf numFmtId="0" fontId="13" fillId="0" borderId="46" xfId="59" applyFont="1" applyBorder="1" applyAlignment="1" applyProtection="1">
      <alignment horizontal="center"/>
      <protection/>
    </xf>
    <xf numFmtId="0" fontId="0" fillId="0" borderId="46" xfId="0" applyBorder="1" applyAlignment="1">
      <alignment/>
    </xf>
    <xf numFmtId="0" fontId="74" fillId="0" borderId="85" xfId="59" applyFont="1" applyBorder="1" applyAlignment="1" applyProtection="1">
      <alignment horizontal="center"/>
      <protection/>
    </xf>
    <xf numFmtId="0" fontId="74" fillId="0" borderId="71" xfId="59" applyFont="1" applyBorder="1" applyAlignment="1" applyProtection="1">
      <alignment horizontal="center"/>
      <protection/>
    </xf>
    <xf numFmtId="7" fontId="48" fillId="0" borderId="0" xfId="59" applyNumberFormat="1" applyFont="1" applyFill="1" applyBorder="1" applyAlignment="1">
      <alignment horizontal="center"/>
      <protection/>
    </xf>
    <xf numFmtId="7" fontId="48" fillId="0" borderId="60" xfId="59" applyNumberFormat="1" applyFont="1" applyFill="1" applyBorder="1" applyAlignment="1">
      <alignment horizontal="center"/>
      <protection/>
    </xf>
    <xf numFmtId="168" fontId="13" fillId="0" borderId="59" xfId="63" applyNumberFormat="1" applyFont="1" applyBorder="1" applyAlignment="1" applyProtection="1">
      <alignment horizontal="center"/>
      <protection/>
    </xf>
    <xf numFmtId="168" fontId="13" fillId="0" borderId="46" xfId="63" applyNumberFormat="1" applyFont="1" applyBorder="1" applyAlignment="1" applyProtection="1">
      <alignment horizontal="center"/>
      <protection/>
    </xf>
    <xf numFmtId="0" fontId="74" fillId="0" borderId="59" xfId="63" applyFont="1" applyBorder="1" applyAlignment="1" applyProtection="1">
      <alignment horizontal="center"/>
      <protection/>
    </xf>
    <xf numFmtId="0" fontId="74" fillId="0" borderId="46" xfId="63" applyFont="1" applyBorder="1" applyAlignment="1" applyProtection="1">
      <alignment horizontal="center"/>
      <protection/>
    </xf>
    <xf numFmtId="183" fontId="21" fillId="0" borderId="0" xfId="63" applyNumberFormat="1" applyFont="1" applyBorder="1" applyAlignment="1" applyProtection="1">
      <alignment horizontal="center"/>
      <protection/>
    </xf>
    <xf numFmtId="0" fontId="3" fillId="0" borderId="0" xfId="63" applyAlignment="1">
      <alignment horizontal="center"/>
      <protection/>
    </xf>
    <xf numFmtId="0" fontId="3" fillId="0" borderId="0" xfId="63" applyAlignment="1">
      <alignment/>
      <protection/>
    </xf>
    <xf numFmtId="164" fontId="13" fillId="0" borderId="85" xfId="63" applyNumberFormat="1" applyFont="1" applyBorder="1" applyAlignment="1" applyProtection="1">
      <alignment horizontal="center"/>
      <protection/>
    </xf>
    <xf numFmtId="164" fontId="13" fillId="0" borderId="71" xfId="63" applyNumberFormat="1" applyFont="1" applyBorder="1" applyAlignment="1" applyProtection="1">
      <alignment horizontal="center"/>
      <protection/>
    </xf>
    <xf numFmtId="0" fontId="30" fillId="0" borderId="15" xfId="63" applyFont="1" applyFill="1" applyBorder="1" applyAlignment="1" applyProtection="1">
      <alignment horizontal="center" vertical="center"/>
      <protection/>
    </xf>
    <xf numFmtId="0" fontId="30" fillId="0" borderId="21" xfId="63" applyFont="1" applyFill="1" applyBorder="1" applyAlignment="1" applyProtection="1">
      <alignment horizontal="center" vertical="center"/>
      <protection/>
    </xf>
    <xf numFmtId="0" fontId="30" fillId="0" borderId="16" xfId="63" applyFont="1" applyFill="1" applyBorder="1" applyAlignment="1" applyProtection="1">
      <alignment horizontal="center" vertical="center"/>
      <protection/>
    </xf>
    <xf numFmtId="0" fontId="13" fillId="0" borderId="67" xfId="63" applyFont="1" applyFill="1" applyBorder="1" applyAlignment="1">
      <alignment horizontal="center"/>
      <protection/>
    </xf>
    <xf numFmtId="0" fontId="13" fillId="0" borderId="72" xfId="63" applyFont="1" applyFill="1" applyBorder="1" applyAlignment="1">
      <alignment horizontal="center"/>
      <protection/>
    </xf>
    <xf numFmtId="0" fontId="13" fillId="0" borderId="55" xfId="63" applyFont="1" applyFill="1" applyBorder="1" applyAlignment="1">
      <alignment horizontal="center"/>
      <protection/>
    </xf>
    <xf numFmtId="0" fontId="30" fillId="0" borderId="15" xfId="63" applyFont="1" applyFill="1" applyBorder="1" applyAlignment="1" applyProtection="1" quotePrefix="1">
      <alignment horizontal="center" vertical="center" wrapText="1"/>
      <protection/>
    </xf>
    <xf numFmtId="0" fontId="30" fillId="0" borderId="16" xfId="63" applyFont="1" applyFill="1" applyBorder="1" applyAlignment="1" applyProtection="1" quotePrefix="1">
      <alignment horizontal="center" vertical="center" wrapText="1"/>
      <protection/>
    </xf>
    <xf numFmtId="168" fontId="13" fillId="0" borderId="85" xfId="63" applyNumberFormat="1" applyFont="1" applyBorder="1" applyAlignment="1" applyProtection="1">
      <alignment horizontal="center"/>
      <protection/>
    </xf>
    <xf numFmtId="168" fontId="13" fillId="0" borderId="70" xfId="63" applyNumberFormat="1" applyFont="1" applyBorder="1" applyAlignment="1" applyProtection="1">
      <alignment horizontal="center"/>
      <protection/>
    </xf>
    <xf numFmtId="168" fontId="13" fillId="0" borderId="71" xfId="63" applyNumberFormat="1" applyFont="1" applyBorder="1" applyAlignment="1" applyProtection="1">
      <alignment horizontal="center"/>
      <protection/>
    </xf>
    <xf numFmtId="164" fontId="13" fillId="0" borderId="59" xfId="63" applyNumberFormat="1" applyFont="1" applyBorder="1" applyAlignment="1" applyProtection="1" quotePrefix="1">
      <alignment horizontal="center"/>
      <protection locked="0"/>
    </xf>
    <xf numFmtId="0" fontId="0" fillId="0" borderId="46" xfId="0" applyBorder="1" applyAlignment="1">
      <alignment horizontal="center"/>
    </xf>
    <xf numFmtId="168" fontId="13" fillId="0" borderId="59" xfId="63" applyNumberFormat="1" applyFont="1" applyBorder="1" applyAlignment="1" applyProtection="1" quotePrefix="1">
      <alignment horizontal="center"/>
      <protection/>
    </xf>
    <xf numFmtId="168" fontId="13" fillId="0" borderId="31" xfId="63" applyNumberFormat="1" applyFont="1" applyBorder="1" applyAlignment="1" applyProtection="1" quotePrefix="1">
      <alignment horizontal="center"/>
      <protection/>
    </xf>
    <xf numFmtId="168" fontId="13" fillId="0" borderId="46" xfId="63" applyNumberFormat="1" applyFont="1" applyBorder="1" applyAlignment="1" applyProtection="1" quotePrefix="1">
      <alignment horizontal="center"/>
      <protection/>
    </xf>
    <xf numFmtId="168" fontId="120" fillId="0" borderId="0" xfId="63" applyNumberFormat="1" applyFont="1" applyBorder="1" applyAlignment="1" applyProtection="1">
      <alignment horizontal="left" vertical="center"/>
      <protection/>
    </xf>
    <xf numFmtId="0" fontId="74" fillId="0" borderId="85" xfId="63" applyFont="1" applyBorder="1" applyAlignment="1" applyProtection="1">
      <alignment horizontal="center"/>
      <protection locked="0"/>
    </xf>
    <xf numFmtId="0" fontId="74" fillId="0" borderId="71" xfId="63" applyFont="1" applyBorder="1" applyAlignment="1" applyProtection="1">
      <alignment horizontal="center"/>
      <protection locked="0"/>
    </xf>
    <xf numFmtId="0" fontId="30" fillId="0" borderId="15" xfId="63" applyFont="1" applyBorder="1" applyAlignment="1" applyProtection="1">
      <alignment horizontal="center" vertical="center"/>
      <protection/>
    </xf>
    <xf numFmtId="0" fontId="30" fillId="0" borderId="16" xfId="63" applyFont="1" applyBorder="1" applyAlignment="1" applyProtection="1">
      <alignment horizontal="center" vertical="center"/>
      <protection/>
    </xf>
    <xf numFmtId="0" fontId="13" fillId="0" borderId="67" xfId="63" applyFont="1" applyBorder="1" applyAlignment="1">
      <alignment horizontal="center"/>
      <protection/>
    </xf>
    <xf numFmtId="0" fontId="13" fillId="0" borderId="55" xfId="63" applyFont="1" applyBorder="1" applyAlignment="1">
      <alignment horizontal="center"/>
      <protection/>
    </xf>
    <xf numFmtId="0" fontId="30" fillId="0" borderId="15" xfId="63" applyFont="1" applyBorder="1" applyAlignment="1" applyProtection="1" quotePrefix="1">
      <alignment horizontal="center" vertical="center" wrapText="1"/>
      <protection/>
    </xf>
    <xf numFmtId="0" fontId="30" fillId="0" borderId="16" xfId="63" applyFont="1" applyBorder="1" applyAlignment="1" applyProtection="1" quotePrefix="1">
      <alignment horizontal="center" vertical="center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_F0911NER" xfId="52"/>
    <cellStyle name="Moneda_Transener_V8" xfId="53"/>
    <cellStyle name="Neutral" xfId="54"/>
    <cellStyle name="Normal_A0101 ANEXO I NEA" xfId="55"/>
    <cellStyle name="Normal_Comahue" xfId="56"/>
    <cellStyle name="Normal_EDENOR9604" xfId="57"/>
    <cellStyle name="Normal_F0711NER" xfId="58"/>
    <cellStyle name="Normal_F0911NER" xfId="59"/>
    <cellStyle name="Normal_líneas" xfId="60"/>
    <cellStyle name="Normal_PAFTT Anexo 28" xfId="61"/>
    <cellStyle name="Normal_TRANS" xfId="62"/>
    <cellStyle name="Normal_Transener_V8" xfId="63"/>
    <cellStyle name="Normal_Transener_V8_1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externalLink" Target="externalLinks/externalLink5.xml" /><Relationship Id="rId35" Type="http://schemas.openxmlformats.org/officeDocument/2006/relationships/externalLink" Target="externalLinks/externalLink6.xml" /><Relationship Id="rId36" Type="http://schemas.openxmlformats.org/officeDocument/2006/relationships/externalLink" Target="externalLinks/externalLink7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352425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6000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314325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5810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361950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6096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0</xdr:rowOff>
    </xdr:from>
    <xdr:to>
      <xdr:col>3</xdr:col>
      <xdr:colOff>352425</xdr:colOff>
      <xdr:row>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561975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352425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6000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0</xdr:rowOff>
    </xdr:from>
    <xdr:to>
      <xdr:col>3</xdr:col>
      <xdr:colOff>352425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0</xdr:rowOff>
    </xdr:from>
    <xdr:to>
      <xdr:col>3</xdr:col>
      <xdr:colOff>381000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0</xdr:rowOff>
    </xdr:from>
    <xdr:to>
      <xdr:col>3</xdr:col>
      <xdr:colOff>295275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6286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0</xdr:row>
      <xdr:rowOff>0</xdr:rowOff>
    </xdr:from>
    <xdr:to>
      <xdr:col>3</xdr:col>
      <xdr:colOff>361950</xdr:colOff>
      <xdr:row>2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552450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0</xdr:row>
      <xdr:rowOff>0</xdr:rowOff>
    </xdr:from>
    <xdr:to>
      <xdr:col>3</xdr:col>
      <xdr:colOff>419100</xdr:colOff>
      <xdr:row>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533400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0</xdr:rowOff>
    </xdr:from>
    <xdr:to>
      <xdr:col>3</xdr:col>
      <xdr:colOff>400050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6191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0</xdr:row>
      <xdr:rowOff>0</xdr:rowOff>
    </xdr:from>
    <xdr:to>
      <xdr:col>3</xdr:col>
      <xdr:colOff>400050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0</xdr:row>
      <xdr:rowOff>0</xdr:rowOff>
    </xdr:from>
    <xdr:to>
      <xdr:col>3</xdr:col>
      <xdr:colOff>428625</xdr:colOff>
      <xdr:row>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542925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9525</xdr:rowOff>
    </xdr:from>
    <xdr:to>
      <xdr:col>1</xdr:col>
      <xdr:colOff>685800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9525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11</xdr:col>
      <xdr:colOff>47625</xdr:colOff>
      <xdr:row>17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3409950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0</xdr:rowOff>
    </xdr:from>
    <xdr:to>
      <xdr:col>0</xdr:col>
      <xdr:colOff>1076325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3267075"/>
          <a:ext cx="29527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1114425</xdr:colOff>
      <xdr:row>2</xdr:row>
      <xdr:rowOff>352425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95300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58150" y="3267075"/>
          <a:ext cx="28289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123825</xdr:rowOff>
    </xdr:from>
    <xdr:to>
      <xdr:col>0</xdr:col>
      <xdr:colOff>1323975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23825"/>
          <a:ext cx="514350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3409950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28575</xdr:rowOff>
    </xdr:from>
    <xdr:to>
      <xdr:col>1</xdr:col>
      <xdr:colOff>57150</xdr:colOff>
      <xdr:row>1</xdr:row>
      <xdr:rowOff>295275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8575"/>
          <a:ext cx="4762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304800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28575</xdr:rowOff>
    </xdr:from>
    <xdr:to>
      <xdr:col>3</xdr:col>
      <xdr:colOff>400050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8575"/>
          <a:ext cx="619125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28575</xdr:rowOff>
    </xdr:from>
    <xdr:to>
      <xdr:col>3</xdr:col>
      <xdr:colOff>390525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8575"/>
          <a:ext cx="628650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28575</xdr:rowOff>
    </xdr:from>
    <xdr:to>
      <xdr:col>3</xdr:col>
      <xdr:colOff>361950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8575"/>
          <a:ext cx="619125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0</xdr:rowOff>
    </xdr:from>
    <xdr:to>
      <xdr:col>3</xdr:col>
      <xdr:colOff>295275</xdr:colOff>
      <xdr:row>2</xdr:row>
      <xdr:rowOff>247650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552450" cy="914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28575</xdr:rowOff>
    </xdr:from>
    <xdr:to>
      <xdr:col>3</xdr:col>
      <xdr:colOff>285750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28575"/>
          <a:ext cx="495300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57150</xdr:rowOff>
    </xdr:from>
    <xdr:to>
      <xdr:col>3</xdr:col>
      <xdr:colOff>323850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619125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0512N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0212N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0412N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0812N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0112NE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ENER\TBASEN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TBASE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-0512"/>
      <sheetName val="LI-05 (1)"/>
      <sheetName val="LI-YACY-05 (1)"/>
      <sheetName val="TR-05 (1)"/>
      <sheetName val="TR-INTESA3-05 (1)"/>
      <sheetName val="TR-LITLSAWT-05 (1)"/>
      <sheetName val="TR-TIBA-05 (1)"/>
      <sheetName val="SA-05 (1)"/>
      <sheetName val="SA-INTESA3-05 (1)"/>
      <sheetName val=" SA- LITLSAWT-05 (1)"/>
      <sheetName val="SA-TIBA-05 (1)"/>
      <sheetName val="RE-05 (1)"/>
      <sheetName val="R YACYLEC-05 (1)"/>
      <sheetName val="R IV-05 (1)"/>
      <sheetName val="VST-05 (1)"/>
      <sheetName val="DAG"/>
      <sheetName val="SUP-INTESA3"/>
      <sheetName val="SUP-LITSAWT"/>
      <sheetName val="SUP-TIBA"/>
      <sheetName val="SUP-YACYLEC"/>
      <sheetName val="TASA FALLA"/>
      <sheetName val="DATO"/>
    </sheetNames>
    <definedNames>
      <definedName name="Actualizar_Referencia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-0212"/>
      <sheetName val="LI-02 (1)"/>
      <sheetName val="TR-02 (1)"/>
      <sheetName val="SA-02 (1)"/>
      <sheetName val="SA-02 (2)"/>
      <sheetName val="TR-TIBA-02 (1)"/>
      <sheetName val="SA-TIBA-02 (1)"/>
      <sheetName val="LI-INTESA5-02 (1)"/>
      <sheetName val="RE-INTESA5-02 (1)"/>
      <sheetName val="LI-LINSA-02 (1)"/>
      <sheetName val="RE-LINSA-09 (1)"/>
      <sheetName val="LI-INTESA4-02 (1)"/>
      <sheetName val="SA-TESA-02 (1)"/>
      <sheetName val="RE-02 (1)"/>
      <sheetName val="RE-YACYLEC-02 (1)"/>
      <sheetName val="R IV-02 (01)"/>
      <sheetName val="DAG"/>
      <sheetName val="VST-02 (1)"/>
      <sheetName val="SUP-YACYLEC"/>
      <sheetName val="SUP-LINSA"/>
      <sheetName val="SUP-TIBA"/>
      <sheetName val="SUP-TESA"/>
      <sheetName val="SUP-INTESAR 5"/>
      <sheetName val="SUP-INTESAR 4"/>
      <sheetName val="TASA FALLA"/>
      <sheetName val="DATO"/>
    </sheetNames>
    <definedNames>
      <definedName name="Actualizar_Referencias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T-0412"/>
      <sheetName val="LI-04 (1)"/>
      <sheetName val="LI-YACY-04 (1)"/>
      <sheetName val="LI-INTESAR-04 (1)"/>
      <sheetName val="LI-INTESA2-04 (1)"/>
      <sheetName val="LI-INTESA5-04 (1)"/>
      <sheetName val="LI-CUYANA-04 (1)"/>
      <sheetName val="TR-04 (1)"/>
      <sheetName val="TR-INTESAR-04 (1)"/>
      <sheetName val="TR-INTESA3-04 (1)"/>
      <sheetName val="TR-INTESA4-04 (1)"/>
      <sheetName val="TR-LICCSA-04 (1)"/>
      <sheetName val="SA-04 (1)"/>
      <sheetName val="SA-04 (2)"/>
      <sheetName val="SA-TIBA-04 (1)"/>
      <sheetName val="SA-CTM-04 (1)"/>
      <sheetName val="SA-LIMSA-04 (1)"/>
      <sheetName val=" SA- LITSA-04 (1)"/>
      <sheetName val=" SA- LICCSA-04 (1)"/>
      <sheetName val="SA-TRANSPORTEL-01 (1)"/>
      <sheetName val="R-04 (1)"/>
      <sheetName val="RE-YACY-04 (1)"/>
      <sheetName val="RE-INTESAR 2-04 (1)"/>
      <sheetName val="DAG"/>
      <sheetName val="SUP-YACYLEC"/>
      <sheetName val="SUP-LITSA"/>
      <sheetName val="SUP-TIBA"/>
      <sheetName val="SUP-CTM"/>
      <sheetName val="SUP-INTESAR"/>
      <sheetName val="SUP-INTESA2"/>
      <sheetName val="SUP-INTESA3"/>
      <sheetName val="SUP-INTESAR 4"/>
      <sheetName val="SUP-INTESAR 5"/>
      <sheetName val="SUP-CUYANA (1)"/>
      <sheetName val="SUP-LIMSA"/>
      <sheetName val="SUP-TRANSPORTEL"/>
      <sheetName val="SUP-LICCSA (1)"/>
      <sheetName val="TASA FALLA"/>
      <sheetName val="DATO"/>
    </sheetNames>
    <definedNames>
      <definedName name="Actualizar_Referencias"/>
    </definedNames>
    <sheetDataSet>
      <sheetData sheetId="38">
        <row r="14">
          <cell r="G14" t="str">
            <v>04</v>
          </cell>
          <cell r="H14" t="str">
            <v>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T-0812"/>
      <sheetName val="LI-08 (1)"/>
      <sheetName val="LI-08 (2)"/>
      <sheetName val="LI-YACY-08 (1)"/>
      <sheetName val="LI-TPORTEAT-08 (1)"/>
      <sheetName val="LI-INTESA4T-08 (1)"/>
      <sheetName val="TR-08 (1)"/>
      <sheetName val="TR-LITLSGET-08 (1)"/>
      <sheetName val="TR-COBRA-08 (1)"/>
      <sheetName val="SA-08 (1)"/>
      <sheetName val="SA-08 (2)"/>
      <sheetName val="SA-08 (3)"/>
      <sheetName val="SA-TIBA-08 (1)"/>
      <sheetName val="SA-TPORTEAT-08 (1)"/>
      <sheetName val="SA-ENECOR-08 (1)"/>
      <sheetName val="RE-08 (1)"/>
      <sheetName val="RE-Res.01_03"/>
      <sheetName val="RE-YACYLEC-08 (1)"/>
      <sheetName val="VST-08 (1)"/>
      <sheetName val="DAG"/>
      <sheetName val="SUP-YACYLEC"/>
      <sheetName val="SUP-TPORTEAT"/>
      <sheetName val="SUP-INTESA4T"/>
      <sheetName val="SUP-LITLSGET"/>
      <sheetName val="SUP-COBRA"/>
      <sheetName val="SUP-TIBA"/>
      <sheetName val="SUP-ENECOR"/>
      <sheetName val="TASA FALLA"/>
      <sheetName val="DATO"/>
    </sheetNames>
    <sheetDataSet>
      <sheetData sheetId="0">
        <row r="14">
          <cell r="B14" t="str">
            <v>Desde el 01 al 31 de agosto de 2012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T-0112"/>
      <sheetName val="LI-01 (1)"/>
      <sheetName val="LI-IV-01 (1)"/>
      <sheetName val="LI-INTESAR-01 (1)"/>
      <sheetName val="LI-INTESA3-01 (1)"/>
      <sheetName val="TR-01 (1)"/>
      <sheetName val="TR-TIBA-01 (1)"/>
      <sheetName val="TR-INTESA3-01 (1)"/>
      <sheetName val="SA-01 (1)"/>
      <sheetName val="SA-01 (2)"/>
      <sheetName val="SA-TIBA-01 (1)"/>
      <sheetName val="SA-ENECOR (1)"/>
      <sheetName val="SA-LIMSA-01 (1)"/>
      <sheetName val="SA-TRANSPORTEL-01 (1)"/>
      <sheetName val="RE-01 (1)"/>
      <sheetName val="SUP-TIBA-01 (1)"/>
      <sheetName val="SUP-ENECOR-01 (1)"/>
      <sheetName val="SUP-INTESAR"/>
      <sheetName val="SUP-INTESA3"/>
      <sheetName val="SUP-LIMSA"/>
      <sheetName val="SUP-TRANSPORTEL"/>
      <sheetName val="TASA FALLA"/>
      <sheetName val="DATO"/>
    </sheetNames>
    <definedNames>
      <definedName name="Actualizar_Referencias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7">
          <cell r="G17" t="str">
            <v>B</v>
          </cell>
        </row>
        <row r="20">
          <cell r="G20" t="str">
            <v>C</v>
          </cell>
        </row>
        <row r="21">
          <cell r="G21" t="str">
            <v>C</v>
          </cell>
        </row>
        <row r="22">
          <cell r="G22" t="str">
            <v>A</v>
          </cell>
        </row>
        <row r="23">
          <cell r="G23" t="str">
            <v>B</v>
          </cell>
        </row>
        <row r="24">
          <cell r="G24" t="str">
            <v>B</v>
          </cell>
        </row>
        <row r="26">
          <cell r="G26" t="str">
            <v>C</v>
          </cell>
        </row>
        <row r="27">
          <cell r="G27" t="str">
            <v>C</v>
          </cell>
        </row>
        <row r="28">
          <cell r="G28" t="str">
            <v>B</v>
          </cell>
        </row>
        <row r="29">
          <cell r="G29" t="str">
            <v>C</v>
          </cell>
        </row>
        <row r="30">
          <cell r="G30" t="str">
            <v>C</v>
          </cell>
        </row>
        <row r="31">
          <cell r="G31" t="str">
            <v>C</v>
          </cell>
        </row>
        <row r="32">
          <cell r="G32" t="str">
            <v>C</v>
          </cell>
        </row>
        <row r="33">
          <cell r="G33" t="str">
            <v>C</v>
          </cell>
        </row>
        <row r="34">
          <cell r="G34" t="str">
            <v>A</v>
          </cell>
        </row>
        <row r="35">
          <cell r="G35" t="str">
            <v>A</v>
          </cell>
        </row>
        <row r="36">
          <cell r="G36" t="str">
            <v>C</v>
          </cell>
        </row>
        <row r="37">
          <cell r="G37" t="str">
            <v>C</v>
          </cell>
        </row>
        <row r="38">
          <cell r="G38" t="str">
            <v>C</v>
          </cell>
        </row>
        <row r="39">
          <cell r="G39" t="str">
            <v>C</v>
          </cell>
        </row>
        <row r="40">
          <cell r="G40" t="str">
            <v>C</v>
          </cell>
        </row>
        <row r="41">
          <cell r="G41" t="str">
            <v>C</v>
          </cell>
        </row>
        <row r="42">
          <cell r="G42" t="str">
            <v>C</v>
          </cell>
        </row>
        <row r="43">
          <cell r="G43" t="str">
            <v>A</v>
          </cell>
        </row>
        <row r="44">
          <cell r="G44" t="str">
            <v>A</v>
          </cell>
        </row>
        <row r="45">
          <cell r="G45" t="str">
            <v>B</v>
          </cell>
        </row>
        <row r="46">
          <cell r="G46" t="str">
            <v>C</v>
          </cell>
        </row>
        <row r="47">
          <cell r="G47" t="str">
            <v>B</v>
          </cell>
        </row>
        <row r="48">
          <cell r="G48" t="str">
            <v>B</v>
          </cell>
        </row>
        <row r="51">
          <cell r="G51" t="str">
            <v>A</v>
          </cell>
        </row>
        <row r="52">
          <cell r="G52" t="str">
            <v>A</v>
          </cell>
        </row>
        <row r="53">
          <cell r="G53" t="str">
            <v>A</v>
          </cell>
        </row>
        <row r="54">
          <cell r="G54" t="str">
            <v>A</v>
          </cell>
        </row>
        <row r="55">
          <cell r="G55" t="str">
            <v>C</v>
          </cell>
        </row>
        <row r="56">
          <cell r="G56" t="str">
            <v>B</v>
          </cell>
        </row>
        <row r="57">
          <cell r="G57" t="str">
            <v>B</v>
          </cell>
        </row>
        <row r="58">
          <cell r="G58" t="str">
            <v>A</v>
          </cell>
        </row>
        <row r="59">
          <cell r="G59" t="str">
            <v>B</v>
          </cell>
        </row>
        <row r="60">
          <cell r="G60" t="str">
            <v>A</v>
          </cell>
        </row>
        <row r="61">
          <cell r="G61" t="str">
            <v>C</v>
          </cell>
        </row>
        <row r="62">
          <cell r="G62" t="str">
            <v>C</v>
          </cell>
        </row>
        <row r="63">
          <cell r="G63" t="str">
            <v>A</v>
          </cell>
        </row>
        <row r="64">
          <cell r="G64" t="str">
            <v>C</v>
          </cell>
        </row>
        <row r="65">
          <cell r="G65" t="str">
            <v>C</v>
          </cell>
        </row>
        <row r="66">
          <cell r="G66" t="str">
            <v>C</v>
          </cell>
        </row>
        <row r="67">
          <cell r="G67" t="str">
            <v>C</v>
          </cell>
        </row>
        <row r="68">
          <cell r="G68" t="str">
            <v>C</v>
          </cell>
        </row>
        <row r="69">
          <cell r="G69" t="str">
            <v>C</v>
          </cell>
        </row>
        <row r="70">
          <cell r="G70" t="str">
            <v>C</v>
          </cell>
        </row>
        <row r="71">
          <cell r="G71" t="str">
            <v>C</v>
          </cell>
        </row>
        <row r="72">
          <cell r="G72" t="str">
            <v>C</v>
          </cell>
        </row>
        <row r="73">
          <cell r="G73" t="str">
            <v>C</v>
          </cell>
        </row>
        <row r="74">
          <cell r="G74" t="str">
            <v>C</v>
          </cell>
        </row>
        <row r="75">
          <cell r="G75" t="str">
            <v>C</v>
          </cell>
        </row>
        <row r="76">
          <cell r="G76" t="str">
            <v>C</v>
          </cell>
        </row>
        <row r="77">
          <cell r="G77" t="str">
            <v>C</v>
          </cell>
        </row>
        <row r="78">
          <cell r="G78" t="str">
            <v>A</v>
          </cell>
        </row>
        <row r="79">
          <cell r="G79" t="str">
            <v>A</v>
          </cell>
        </row>
        <row r="80">
          <cell r="G80" t="str">
            <v>A</v>
          </cell>
        </row>
        <row r="81">
          <cell r="G81" t="str">
            <v>A</v>
          </cell>
        </row>
        <row r="82">
          <cell r="G82" t="str">
            <v>B</v>
          </cell>
        </row>
        <row r="83">
          <cell r="G83" t="str">
            <v>B</v>
          </cell>
        </row>
        <row r="84">
          <cell r="G84" t="str">
            <v>B</v>
          </cell>
        </row>
        <row r="85">
          <cell r="G85" t="str">
            <v>A</v>
          </cell>
        </row>
        <row r="86">
          <cell r="G86" t="str">
            <v>C</v>
          </cell>
        </row>
        <row r="87">
          <cell r="G87" t="str">
            <v>B</v>
          </cell>
        </row>
        <row r="88">
          <cell r="G88" t="str">
            <v>C</v>
          </cell>
        </row>
        <row r="89">
          <cell r="G89" t="str">
            <v>A</v>
          </cell>
        </row>
        <row r="90">
          <cell r="G90" t="str">
            <v>C</v>
          </cell>
        </row>
        <row r="91">
          <cell r="G91" t="str">
            <v>A</v>
          </cell>
        </row>
        <row r="92">
          <cell r="G92" t="str">
            <v>C</v>
          </cell>
        </row>
        <row r="94">
          <cell r="G94" t="str">
            <v>C</v>
          </cell>
        </row>
        <row r="95">
          <cell r="G95" t="str">
            <v>C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7">
          <cell r="C17">
            <v>1</v>
          </cell>
          <cell r="D17" t="str">
            <v>ABASTO - OLAVARRIA 1</v>
          </cell>
          <cell r="E17">
            <v>500</v>
          </cell>
          <cell r="F17">
            <v>291</v>
          </cell>
        </row>
        <row r="18">
          <cell r="C18">
            <v>2</v>
          </cell>
          <cell r="D18" t="str">
            <v>ABASTO - OLAVARRIA 2</v>
          </cell>
          <cell r="E18">
            <v>500</v>
          </cell>
          <cell r="F18">
            <v>301.9</v>
          </cell>
          <cell r="HQ18">
            <v>1</v>
          </cell>
        </row>
        <row r="19">
          <cell r="C19">
            <v>3</v>
          </cell>
          <cell r="D19" t="str">
            <v>AGUA DEL CAJON - CHOCON OESTE</v>
          </cell>
          <cell r="E19">
            <v>500</v>
          </cell>
          <cell r="F19">
            <v>52</v>
          </cell>
        </row>
        <row r="20">
          <cell r="C20">
            <v>4</v>
          </cell>
          <cell r="D20" t="str">
            <v>ALICURA - E.T. P.del A. 1 (5LG1)</v>
          </cell>
          <cell r="E20">
            <v>500</v>
          </cell>
          <cell r="F20">
            <v>76</v>
          </cell>
        </row>
        <row r="21">
          <cell r="C21">
            <v>5</v>
          </cell>
          <cell r="D21" t="str">
            <v>ALICURA - E.T. P.del A. 2 (5LG2)</v>
          </cell>
          <cell r="E21">
            <v>500</v>
          </cell>
          <cell r="F21">
            <v>76</v>
          </cell>
        </row>
        <row r="22">
          <cell r="C22">
            <v>6</v>
          </cell>
          <cell r="D22" t="str">
            <v>ALMAFUERTE - EMBALSE </v>
          </cell>
          <cell r="E22">
            <v>500</v>
          </cell>
          <cell r="F22">
            <v>12</v>
          </cell>
        </row>
        <row r="23">
          <cell r="C23">
            <v>7</v>
          </cell>
          <cell r="D23" t="str">
            <v> ALMAFUERTE - ROSARIO OESTE</v>
          </cell>
          <cell r="E23">
            <v>500</v>
          </cell>
          <cell r="F23">
            <v>345</v>
          </cell>
          <cell r="HP23">
            <v>2</v>
          </cell>
          <cell r="HR23">
            <v>4</v>
          </cell>
          <cell r="HT23">
            <v>1</v>
          </cell>
          <cell r="HU23">
            <v>1</v>
          </cell>
          <cell r="HX23">
            <v>1</v>
          </cell>
        </row>
        <row r="24">
          <cell r="C24">
            <v>8</v>
          </cell>
          <cell r="D24" t="str">
            <v>BAHIA BLANCA - CHOELE CHOEL 1</v>
          </cell>
          <cell r="E24">
            <v>500</v>
          </cell>
          <cell r="F24">
            <v>346</v>
          </cell>
        </row>
        <row r="25">
          <cell r="C25">
            <v>9</v>
          </cell>
          <cell r="D25" t="str">
            <v>BAHIA BLANCA - CHOELE CHOEL 2</v>
          </cell>
          <cell r="E25">
            <v>500</v>
          </cell>
          <cell r="F25">
            <v>348.4</v>
          </cell>
          <cell r="HQ25">
            <v>2</v>
          </cell>
        </row>
        <row r="26">
          <cell r="C26">
            <v>10</v>
          </cell>
          <cell r="D26" t="str">
            <v>CERR. de la CTA - P.BAND. (A3)</v>
          </cell>
          <cell r="E26">
            <v>500</v>
          </cell>
          <cell r="F26">
            <v>27</v>
          </cell>
        </row>
        <row r="27">
          <cell r="C27">
            <v>11</v>
          </cell>
          <cell r="D27" t="str">
            <v>COLONIA ELIA - CAMPANA</v>
          </cell>
          <cell r="E27">
            <v>500</v>
          </cell>
          <cell r="F27">
            <v>194</v>
          </cell>
          <cell r="HP27">
            <v>1</v>
          </cell>
        </row>
        <row r="28">
          <cell r="C28">
            <v>12</v>
          </cell>
          <cell r="D28" t="str">
            <v>CHO. W. - CHOELE CHOEL (5WH1)</v>
          </cell>
          <cell r="E28">
            <v>500</v>
          </cell>
          <cell r="F28">
            <v>269</v>
          </cell>
        </row>
        <row r="29">
          <cell r="C29">
            <v>13</v>
          </cell>
          <cell r="D29" t="str">
            <v>CHO.W. - CHO. 1 (5WC1)</v>
          </cell>
          <cell r="E29">
            <v>500</v>
          </cell>
          <cell r="F29">
            <v>4.5</v>
          </cell>
        </row>
        <row r="30">
          <cell r="C30">
            <v>14</v>
          </cell>
          <cell r="D30" t="str">
            <v>CHO.W. - CHO. 2 (5WC2)</v>
          </cell>
          <cell r="E30">
            <v>500</v>
          </cell>
          <cell r="F30">
            <v>4.5</v>
          </cell>
        </row>
        <row r="31">
          <cell r="C31">
            <v>15</v>
          </cell>
          <cell r="D31" t="str">
            <v>CHOCON - C.H. CHOCON 1</v>
          </cell>
          <cell r="E31">
            <v>500</v>
          </cell>
          <cell r="F31">
            <v>3</v>
          </cell>
        </row>
        <row r="32">
          <cell r="C32">
            <v>16</v>
          </cell>
          <cell r="D32" t="str">
            <v>CHOCON - C.H. CHOCON 2</v>
          </cell>
          <cell r="E32">
            <v>500</v>
          </cell>
          <cell r="F32">
            <v>3</v>
          </cell>
        </row>
        <row r="33">
          <cell r="C33">
            <v>17</v>
          </cell>
          <cell r="D33" t="str">
            <v>CHOCON - C.H. CHOCON 3</v>
          </cell>
          <cell r="E33">
            <v>500</v>
          </cell>
          <cell r="F33">
            <v>3</v>
          </cell>
        </row>
        <row r="34">
          <cell r="C34">
            <v>18</v>
          </cell>
          <cell r="D34" t="str">
            <v>CHOCON - PUELCHES 1</v>
          </cell>
          <cell r="E34">
            <v>500</v>
          </cell>
          <cell r="F34">
            <v>304</v>
          </cell>
        </row>
        <row r="35">
          <cell r="C35">
            <v>19</v>
          </cell>
          <cell r="D35" t="str">
            <v>CHOCON - PUELCHES 2</v>
          </cell>
          <cell r="E35">
            <v>500</v>
          </cell>
          <cell r="F35">
            <v>304</v>
          </cell>
        </row>
        <row r="36">
          <cell r="C36">
            <v>20</v>
          </cell>
          <cell r="D36" t="str">
            <v>E.T.P.del AGUILA - CENTRAL P.del A. 1</v>
          </cell>
          <cell r="E36">
            <v>500</v>
          </cell>
          <cell r="F36">
            <v>5.6</v>
          </cell>
        </row>
        <row r="37">
          <cell r="C37">
            <v>21</v>
          </cell>
          <cell r="D37" t="str">
            <v>E.T.P.del AGUILA - CENTRAL P.del A. 2</v>
          </cell>
          <cell r="E37">
            <v>500</v>
          </cell>
          <cell r="F37">
            <v>5.6</v>
          </cell>
        </row>
        <row r="38">
          <cell r="C38">
            <v>22</v>
          </cell>
          <cell r="D38" t="str">
            <v>EL BRACHO - RECREO(5)</v>
          </cell>
          <cell r="E38">
            <v>500</v>
          </cell>
          <cell r="F38">
            <v>255</v>
          </cell>
          <cell r="HS38">
            <v>1</v>
          </cell>
        </row>
        <row r="39">
          <cell r="C39">
            <v>23</v>
          </cell>
          <cell r="D39" t="str">
            <v>EZEIZA - ABASTO 1</v>
          </cell>
          <cell r="E39">
            <v>500</v>
          </cell>
          <cell r="F39">
            <v>58</v>
          </cell>
          <cell r="HV39">
            <v>1</v>
          </cell>
        </row>
        <row r="40">
          <cell r="C40">
            <v>24</v>
          </cell>
          <cell r="D40" t="str">
            <v>EZEIZA - ABASTO 2</v>
          </cell>
          <cell r="E40">
            <v>500</v>
          </cell>
          <cell r="F40">
            <v>58</v>
          </cell>
          <cell r="HW40">
            <v>1</v>
          </cell>
        </row>
        <row r="41">
          <cell r="C41">
            <v>25</v>
          </cell>
          <cell r="D41" t="str">
            <v>EZEIZA - RODRIGUEZ 1</v>
          </cell>
          <cell r="E41">
            <v>500</v>
          </cell>
          <cell r="F41">
            <v>53</v>
          </cell>
        </row>
        <row r="42">
          <cell r="C42">
            <v>26</v>
          </cell>
          <cell r="D42" t="str">
            <v>EZEIZA - RODRIGUEZ 2</v>
          </cell>
          <cell r="E42">
            <v>500</v>
          </cell>
          <cell r="F42">
            <v>53</v>
          </cell>
        </row>
        <row r="43">
          <cell r="C43">
            <v>27</v>
          </cell>
          <cell r="D43" t="str">
            <v>EZEIZA- HENDERSON 1</v>
          </cell>
          <cell r="E43">
            <v>500</v>
          </cell>
          <cell r="F43">
            <v>313</v>
          </cell>
        </row>
        <row r="44">
          <cell r="C44">
            <v>28</v>
          </cell>
          <cell r="D44" t="str">
            <v>EZEIZA - HENDERSON 2</v>
          </cell>
          <cell r="E44">
            <v>500</v>
          </cell>
          <cell r="F44">
            <v>313</v>
          </cell>
          <cell r="HO44">
            <v>1</v>
          </cell>
          <cell r="HP44">
            <v>1</v>
          </cell>
        </row>
        <row r="45">
          <cell r="C45">
            <v>29</v>
          </cell>
          <cell r="D45" t="str">
            <v>GRAL. RODRIGUEZ - CAMPANA </v>
          </cell>
          <cell r="E45">
            <v>500</v>
          </cell>
          <cell r="F45">
            <v>42</v>
          </cell>
          <cell r="HM45">
            <v>1</v>
          </cell>
        </row>
        <row r="46">
          <cell r="C46">
            <v>30</v>
          </cell>
          <cell r="D46" t="str">
            <v>GRAL. RODRIGUEZ- ROSARIO OESTE </v>
          </cell>
          <cell r="E46">
            <v>500</v>
          </cell>
          <cell r="F46">
            <v>258</v>
          </cell>
          <cell r="HM46" t="str">
            <v>XXXX</v>
          </cell>
          <cell r="HN46" t="str">
            <v>XXXX</v>
          </cell>
          <cell r="HO46" t="str">
            <v>XXXX</v>
          </cell>
          <cell r="HP46" t="str">
            <v>XXXX</v>
          </cell>
          <cell r="HQ46" t="str">
            <v>XXXX</v>
          </cell>
          <cell r="HR46" t="str">
            <v>XXXX</v>
          </cell>
          <cell r="HS46" t="str">
            <v>XXXX</v>
          </cell>
          <cell r="HT46" t="str">
            <v>XXXX</v>
          </cell>
          <cell r="HU46" t="str">
            <v>XXXX</v>
          </cell>
          <cell r="HV46" t="str">
            <v>XXXX</v>
          </cell>
          <cell r="HW46" t="str">
            <v>XXXX</v>
          </cell>
          <cell r="HX46" t="str">
            <v>XXXX</v>
          </cell>
        </row>
        <row r="47">
          <cell r="C47">
            <v>31</v>
          </cell>
          <cell r="D47" t="str">
            <v>MALVINAS ARG. - ALMAFUERTE </v>
          </cell>
          <cell r="E47">
            <v>500</v>
          </cell>
          <cell r="F47">
            <v>105</v>
          </cell>
        </row>
        <row r="48">
          <cell r="C48">
            <v>32</v>
          </cell>
          <cell r="D48" t="str">
            <v>OLAVARRIA - BAHIA BLANCA 1</v>
          </cell>
          <cell r="E48">
            <v>500</v>
          </cell>
          <cell r="F48">
            <v>255</v>
          </cell>
          <cell r="HX48">
            <v>1</v>
          </cell>
        </row>
        <row r="49">
          <cell r="C49">
            <v>33</v>
          </cell>
          <cell r="D49" t="str">
            <v>OLAVARRIA - BAHIA BLANCA 2</v>
          </cell>
          <cell r="E49">
            <v>500</v>
          </cell>
          <cell r="F49">
            <v>254.8</v>
          </cell>
        </row>
        <row r="50">
          <cell r="C50">
            <v>34</v>
          </cell>
          <cell r="D50" t="str">
            <v>P.del AGUILA  - CHOELE CHOEL</v>
          </cell>
          <cell r="E50">
            <v>500</v>
          </cell>
          <cell r="F50">
            <v>386.7</v>
          </cell>
        </row>
        <row r="51">
          <cell r="C51">
            <v>35</v>
          </cell>
          <cell r="D51" t="str">
            <v>P.del AGUILA  - CHO. W. 1 (5GW1)</v>
          </cell>
          <cell r="E51">
            <v>500</v>
          </cell>
          <cell r="F51">
            <v>165</v>
          </cell>
          <cell r="HM51">
            <v>1</v>
          </cell>
          <cell r="HP51">
            <v>1</v>
          </cell>
        </row>
        <row r="52">
          <cell r="C52">
            <v>36</v>
          </cell>
          <cell r="D52" t="str">
            <v>P.del AGUILA  - CHO. W. 2 (5GW2)</v>
          </cell>
          <cell r="E52">
            <v>500</v>
          </cell>
          <cell r="F52">
            <v>170</v>
          </cell>
        </row>
        <row r="53">
          <cell r="C53">
            <v>37</v>
          </cell>
          <cell r="D53" t="str">
            <v>PUELCHES - HENDERSON 1 (B1)</v>
          </cell>
          <cell r="E53">
            <v>500</v>
          </cell>
          <cell r="F53">
            <v>421</v>
          </cell>
          <cell r="HM53">
            <v>1</v>
          </cell>
          <cell r="HR53">
            <v>1</v>
          </cell>
        </row>
        <row r="54">
          <cell r="C54">
            <v>38</v>
          </cell>
          <cell r="D54" t="str">
            <v>PUELCHES - HENDERSON 2 (B2)</v>
          </cell>
          <cell r="E54">
            <v>500</v>
          </cell>
          <cell r="F54">
            <v>421</v>
          </cell>
          <cell r="HM54" t="str">
            <v>XXXX</v>
          </cell>
          <cell r="HN54" t="str">
            <v>XXXX</v>
          </cell>
          <cell r="HO54" t="str">
            <v>XXXX</v>
          </cell>
          <cell r="HP54" t="str">
            <v>XXXX</v>
          </cell>
          <cell r="HQ54" t="str">
            <v>XXXX</v>
          </cell>
          <cell r="HR54" t="str">
            <v>XXXX</v>
          </cell>
          <cell r="HS54" t="str">
            <v>XXXX</v>
          </cell>
          <cell r="HT54" t="str">
            <v>XXXX</v>
          </cell>
          <cell r="HU54" t="str">
            <v>XXXX</v>
          </cell>
          <cell r="HV54" t="str">
            <v>XXXX</v>
          </cell>
          <cell r="HW54" t="str">
            <v>XXXX</v>
          </cell>
          <cell r="HX54" t="str">
            <v>XXXX</v>
          </cell>
        </row>
        <row r="55">
          <cell r="C55">
            <v>39</v>
          </cell>
          <cell r="D55" t="str">
            <v>RECREO - MALVINAS ARG. </v>
          </cell>
          <cell r="E55">
            <v>500</v>
          </cell>
          <cell r="F55">
            <v>259</v>
          </cell>
        </row>
        <row r="56">
          <cell r="C56">
            <v>40</v>
          </cell>
          <cell r="D56" t="str">
            <v>RIO GRANDE - EMBALSE</v>
          </cell>
          <cell r="E56">
            <v>500</v>
          </cell>
          <cell r="F56">
            <v>30</v>
          </cell>
        </row>
        <row r="57">
          <cell r="C57">
            <v>41</v>
          </cell>
          <cell r="D57" t="str">
            <v>RIO GRANDE - GRAN MENDOZA</v>
          </cell>
          <cell r="E57">
            <v>500</v>
          </cell>
          <cell r="F57">
            <v>407</v>
          </cell>
          <cell r="HM57" t="str">
            <v>XXXX</v>
          </cell>
          <cell r="HN57" t="str">
            <v>XXXX</v>
          </cell>
          <cell r="HO57" t="str">
            <v>XXXX</v>
          </cell>
          <cell r="HP57" t="str">
            <v>XXXX</v>
          </cell>
          <cell r="HQ57" t="str">
            <v>XXXX</v>
          </cell>
          <cell r="HR57" t="str">
            <v>XXXX</v>
          </cell>
          <cell r="HS57" t="str">
            <v>XXXX</v>
          </cell>
          <cell r="HT57" t="str">
            <v>XXXX</v>
          </cell>
          <cell r="HU57" t="str">
            <v>XXXX</v>
          </cell>
          <cell r="HV57" t="str">
            <v>XXXX</v>
          </cell>
          <cell r="HW57" t="str">
            <v>XXXX</v>
          </cell>
          <cell r="HX57" t="str">
            <v>XXXX</v>
          </cell>
        </row>
        <row r="58">
          <cell r="C58">
            <v>42</v>
          </cell>
          <cell r="D58" t="str">
            <v>RIO GRANDE - LUJAN</v>
          </cell>
          <cell r="E58">
            <v>500</v>
          </cell>
          <cell r="F58">
            <v>150</v>
          </cell>
        </row>
        <row r="59">
          <cell r="C59">
            <v>43</v>
          </cell>
          <cell r="D59" t="str">
            <v>LUJAN - GRAN MENDOZA</v>
          </cell>
          <cell r="E59">
            <v>500</v>
          </cell>
          <cell r="F59">
            <v>257</v>
          </cell>
          <cell r="HO59">
            <v>1</v>
          </cell>
        </row>
        <row r="60">
          <cell r="C60">
            <v>44</v>
          </cell>
          <cell r="D60" t="str">
            <v>ROMANG - RESISTENCIA</v>
          </cell>
          <cell r="E60">
            <v>500</v>
          </cell>
          <cell r="F60">
            <v>256</v>
          </cell>
          <cell r="HN60">
            <v>1</v>
          </cell>
          <cell r="HX60">
            <v>2</v>
          </cell>
        </row>
        <row r="61">
          <cell r="C61">
            <v>45</v>
          </cell>
          <cell r="D61" t="str">
            <v>ROSARIO OESTE -SANTO TOME</v>
          </cell>
          <cell r="E61">
            <v>500</v>
          </cell>
          <cell r="F61">
            <v>159</v>
          </cell>
          <cell r="HM61" t="str">
            <v>XXXX</v>
          </cell>
          <cell r="HN61" t="str">
            <v>XXXX</v>
          </cell>
          <cell r="HO61" t="str">
            <v>XXXX</v>
          </cell>
          <cell r="HP61" t="str">
            <v>XXXX</v>
          </cell>
          <cell r="HQ61" t="str">
            <v>XXXX</v>
          </cell>
          <cell r="HR61" t="str">
            <v>XXXX</v>
          </cell>
          <cell r="HS61" t="str">
            <v>XXXX</v>
          </cell>
          <cell r="HT61" t="str">
            <v>XXXX</v>
          </cell>
          <cell r="HU61" t="str">
            <v>XXXX</v>
          </cell>
          <cell r="HV61" t="str">
            <v>XXXX</v>
          </cell>
          <cell r="HW61" t="str">
            <v>XXXX</v>
          </cell>
          <cell r="HX61" t="str">
            <v>XXXX</v>
          </cell>
        </row>
        <row r="62">
          <cell r="D62" t="str">
            <v>ROSARIO OESTE - RIO CORONDA</v>
          </cell>
          <cell r="E62">
            <v>500</v>
          </cell>
          <cell r="F62">
            <v>64.99</v>
          </cell>
        </row>
        <row r="63">
          <cell r="D63" t="str">
            <v>RIO CORONDA - SANTO TOME</v>
          </cell>
          <cell r="E63">
            <v>500</v>
          </cell>
          <cell r="F63">
            <v>137.94</v>
          </cell>
          <cell r="HO63">
            <v>1</v>
          </cell>
        </row>
        <row r="64">
          <cell r="C64">
            <v>46</v>
          </cell>
          <cell r="D64" t="str">
            <v>SALTO GRANDE - SANTO TOME </v>
          </cell>
          <cell r="E64">
            <v>500</v>
          </cell>
          <cell r="F64">
            <v>289</v>
          </cell>
          <cell r="HM64">
            <v>1</v>
          </cell>
          <cell r="HO64">
            <v>1</v>
          </cell>
        </row>
        <row r="65">
          <cell r="C65">
            <v>47</v>
          </cell>
          <cell r="D65" t="str">
            <v>SANTO TOME - ROMANG </v>
          </cell>
          <cell r="E65">
            <v>500</v>
          </cell>
          <cell r="F65">
            <v>270</v>
          </cell>
          <cell r="HT65">
            <v>1</v>
          </cell>
        </row>
        <row r="67">
          <cell r="C67">
            <v>48</v>
          </cell>
          <cell r="D67" t="str">
            <v>GRAL. RODRIGUEZ - VILLA  LIA 1</v>
          </cell>
          <cell r="E67">
            <v>220</v>
          </cell>
          <cell r="F67">
            <v>61</v>
          </cell>
          <cell r="HQ67">
            <v>1</v>
          </cell>
        </row>
        <row r="68">
          <cell r="C68">
            <v>49</v>
          </cell>
          <cell r="D68" t="str">
            <v>GRAL. RODRIGUEZ - VILLA  LIA 2</v>
          </cell>
          <cell r="E68">
            <v>220</v>
          </cell>
          <cell r="F68">
            <v>61</v>
          </cell>
        </row>
        <row r="69">
          <cell r="C69">
            <v>50</v>
          </cell>
          <cell r="D69" t="str">
            <v>RAMALLO - SAN NICOLAS (2)</v>
          </cell>
          <cell r="E69">
            <v>220</v>
          </cell>
          <cell r="F69">
            <v>6</v>
          </cell>
        </row>
        <row r="70">
          <cell r="C70">
            <v>51</v>
          </cell>
          <cell r="D70" t="str">
            <v>RAMALLO - SAN NICOLAS (1)</v>
          </cell>
          <cell r="E70">
            <v>220</v>
          </cell>
          <cell r="F70">
            <v>6</v>
          </cell>
        </row>
        <row r="71">
          <cell r="C71">
            <v>52</v>
          </cell>
          <cell r="D71" t="str">
            <v>RAMALLO - VILLA LIA  1</v>
          </cell>
          <cell r="E71">
            <v>220</v>
          </cell>
          <cell r="F71">
            <v>114</v>
          </cell>
          <cell r="HR71">
            <v>1</v>
          </cell>
          <cell r="HS71">
            <v>1</v>
          </cell>
          <cell r="HU71">
            <v>2</v>
          </cell>
          <cell r="HX71">
            <v>2</v>
          </cell>
        </row>
        <row r="72">
          <cell r="C72">
            <v>53</v>
          </cell>
          <cell r="D72" t="str">
            <v>RAMALLO - VILLA LIA  2</v>
          </cell>
          <cell r="E72">
            <v>220</v>
          </cell>
          <cell r="F72">
            <v>114</v>
          </cell>
          <cell r="HU72">
            <v>1</v>
          </cell>
          <cell r="HV72">
            <v>1</v>
          </cell>
        </row>
        <row r="73">
          <cell r="C73">
            <v>54</v>
          </cell>
          <cell r="D73" t="str">
            <v>ROSARIO OESTE - RAMALLO  1</v>
          </cell>
          <cell r="E73">
            <v>220</v>
          </cell>
          <cell r="F73">
            <v>77</v>
          </cell>
          <cell r="HU73">
            <v>1</v>
          </cell>
        </row>
        <row r="74">
          <cell r="C74">
            <v>55</v>
          </cell>
          <cell r="D74" t="str">
            <v>ROSARIO OESTE - RAMALLO  2</v>
          </cell>
          <cell r="E74">
            <v>220</v>
          </cell>
          <cell r="F74">
            <v>77</v>
          </cell>
        </row>
        <row r="75">
          <cell r="C75">
            <v>56</v>
          </cell>
          <cell r="D75" t="str">
            <v>VILLA LIA - ATUCHA 1</v>
          </cell>
          <cell r="E75">
            <v>220</v>
          </cell>
          <cell r="F75">
            <v>26</v>
          </cell>
        </row>
        <row r="76">
          <cell r="C76">
            <v>57</v>
          </cell>
          <cell r="D76" t="str">
            <v>VILLA LIA - ATUCHA 2</v>
          </cell>
          <cell r="E76">
            <v>220</v>
          </cell>
          <cell r="F76">
            <v>26</v>
          </cell>
          <cell r="HW76">
            <v>4</v>
          </cell>
        </row>
        <row r="78">
          <cell r="C78">
            <v>58</v>
          </cell>
          <cell r="D78" t="str">
            <v>GRAL RODRIGUEZ - RAMALLO</v>
          </cell>
          <cell r="E78">
            <v>500</v>
          </cell>
          <cell r="F78">
            <v>183.9</v>
          </cell>
          <cell r="HP78">
            <v>1</v>
          </cell>
        </row>
        <row r="79">
          <cell r="C79">
            <v>59</v>
          </cell>
          <cell r="D79" t="str">
            <v>RAMALLO - ROSARIO OESTE</v>
          </cell>
          <cell r="E79">
            <v>500</v>
          </cell>
          <cell r="F79">
            <v>77</v>
          </cell>
        </row>
        <row r="80">
          <cell r="C80">
            <v>60</v>
          </cell>
          <cell r="D80" t="str">
            <v>MACACHIN - HENDERSON</v>
          </cell>
          <cell r="E80">
            <v>500</v>
          </cell>
          <cell r="F80">
            <v>194</v>
          </cell>
        </row>
        <row r="81">
          <cell r="C81">
            <v>61</v>
          </cell>
          <cell r="D81" t="str">
            <v>PUELCHES - MACACHIN</v>
          </cell>
          <cell r="E81">
            <v>500</v>
          </cell>
          <cell r="F81">
            <v>227</v>
          </cell>
        </row>
        <row r="84">
          <cell r="C84">
            <v>62</v>
          </cell>
          <cell r="D84" t="str">
            <v>YACYRETÁ - RINCON I</v>
          </cell>
          <cell r="E84">
            <v>500</v>
          </cell>
          <cell r="F84">
            <v>3.6</v>
          </cell>
        </row>
        <row r="85">
          <cell r="C85">
            <v>63</v>
          </cell>
          <cell r="D85" t="str">
            <v>YACYRETÁ - RINCON II</v>
          </cell>
          <cell r="E85">
            <v>500</v>
          </cell>
          <cell r="F85">
            <v>3.6</v>
          </cell>
        </row>
        <row r="86">
          <cell r="C86">
            <v>64</v>
          </cell>
          <cell r="D86" t="str">
            <v>YACYRETÁ - RINCON III</v>
          </cell>
          <cell r="E86">
            <v>500</v>
          </cell>
          <cell r="F86">
            <v>3.6</v>
          </cell>
        </row>
        <row r="87">
          <cell r="C87">
            <v>65</v>
          </cell>
          <cell r="D87" t="str">
            <v>RINCON - PASO DE LA PATRIA</v>
          </cell>
          <cell r="E87">
            <v>500</v>
          </cell>
          <cell r="F87">
            <v>227</v>
          </cell>
        </row>
        <row r="88">
          <cell r="C88">
            <v>66</v>
          </cell>
          <cell r="D88" t="str">
            <v>PASO DE LA PATRIA - RESISTENCIA</v>
          </cell>
          <cell r="E88">
            <v>500</v>
          </cell>
          <cell r="F88">
            <v>40</v>
          </cell>
        </row>
        <row r="89">
          <cell r="C89">
            <v>67</v>
          </cell>
          <cell r="D89" t="str">
            <v>RINCON - RESISTENCIA</v>
          </cell>
          <cell r="E89">
            <v>500</v>
          </cell>
          <cell r="F89">
            <v>267</v>
          </cell>
          <cell r="HM89" t="str">
            <v>XXXX</v>
          </cell>
          <cell r="HN89" t="str">
            <v>XXXX</v>
          </cell>
          <cell r="HO89" t="str">
            <v>XXXX</v>
          </cell>
          <cell r="HP89" t="str">
            <v>XXXX</v>
          </cell>
          <cell r="HQ89" t="str">
            <v>XXXX</v>
          </cell>
          <cell r="HR89" t="str">
            <v>XXXX</v>
          </cell>
          <cell r="HS89" t="str">
            <v>XXXX</v>
          </cell>
          <cell r="HT89" t="str">
            <v>XXXX</v>
          </cell>
          <cell r="HU89" t="str">
            <v>XXXX</v>
          </cell>
          <cell r="HV89" t="str">
            <v>XXXX</v>
          </cell>
          <cell r="HW89" t="str">
            <v>XXXX</v>
          </cell>
          <cell r="HX89" t="str">
            <v>XXXX</v>
          </cell>
        </row>
        <row r="91">
          <cell r="C91">
            <v>68</v>
          </cell>
          <cell r="D91" t="str">
            <v>RINCON - SALTO GRANDE</v>
          </cell>
          <cell r="E91">
            <v>500</v>
          </cell>
          <cell r="F91">
            <v>506</v>
          </cell>
          <cell r="HW91">
            <v>1</v>
          </cell>
        </row>
        <row r="92">
          <cell r="C92">
            <v>69</v>
          </cell>
          <cell r="D92" t="str">
            <v>RINCON - SAN ISIDRO</v>
          </cell>
          <cell r="E92">
            <v>500</v>
          </cell>
          <cell r="F92">
            <v>85</v>
          </cell>
        </row>
        <row r="94">
          <cell r="C94">
            <v>70</v>
          </cell>
          <cell r="D94" t="str">
            <v>RECREO - LA RIOJA SUR</v>
          </cell>
          <cell r="E94">
            <v>500</v>
          </cell>
          <cell r="F94">
            <v>150.3</v>
          </cell>
          <cell r="HW94">
            <v>1</v>
          </cell>
        </row>
        <row r="95">
          <cell r="C95">
            <v>71</v>
          </cell>
          <cell r="D95" t="str">
            <v>M.BELGRANO - G.RODRIGUEZ</v>
          </cell>
          <cell r="E95">
            <v>500</v>
          </cell>
          <cell r="F95">
            <v>41.4</v>
          </cell>
        </row>
        <row r="103">
          <cell r="HY103">
            <v>9902.33</v>
          </cell>
        </row>
        <row r="104">
          <cell r="HM104">
            <v>0.29</v>
          </cell>
          <cell r="HN104">
            <v>0.33</v>
          </cell>
          <cell r="HO104">
            <v>0.32</v>
          </cell>
          <cell r="HP104">
            <v>0.32</v>
          </cell>
          <cell r="HQ104">
            <v>0.34</v>
          </cell>
          <cell r="HR104">
            <v>0.38</v>
          </cell>
          <cell r="HS104">
            <v>0.42</v>
          </cell>
          <cell r="HT104">
            <v>0.43</v>
          </cell>
          <cell r="HU104">
            <v>0.44</v>
          </cell>
          <cell r="HV104">
            <v>0.47</v>
          </cell>
          <cell r="HW104">
            <v>0.44</v>
          </cell>
          <cell r="HX104">
            <v>0.44</v>
          </cell>
          <cell r="HY104">
            <v>0.48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25.xml" /><Relationship Id="rId4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68"/>
  <sheetViews>
    <sheetView tabSelected="1" zoomScale="55" zoomScaleNormal="55" zoomScalePageLayoutView="0" workbookViewId="0" topLeftCell="A1">
      <selection activeCell="B3" sqref="B3"/>
    </sheetView>
  </sheetViews>
  <sheetFormatPr defaultColWidth="11.421875" defaultRowHeight="12.75"/>
  <cols>
    <col min="1" max="1" width="22.7109375" style="8" customWidth="1"/>
    <col min="2" max="2" width="7.7109375" style="8" customWidth="1"/>
    <col min="3" max="3" width="5.00390625" style="8" customWidth="1"/>
    <col min="4" max="4" width="10.7109375" style="8" customWidth="1"/>
    <col min="5" max="5" width="9.57421875" style="8" customWidth="1"/>
    <col min="6" max="6" width="17.00390625" style="8" customWidth="1"/>
    <col min="7" max="7" width="19.8515625" style="8" customWidth="1"/>
    <col min="8" max="8" width="41.57421875" style="8" customWidth="1"/>
    <col min="9" max="9" width="20.7109375" style="8" customWidth="1"/>
    <col min="10" max="10" width="12.28125" style="8" customWidth="1"/>
    <col min="11" max="11" width="15.7109375" style="8" customWidth="1"/>
    <col min="12" max="13" width="11.421875" style="8" customWidth="1"/>
    <col min="14" max="14" width="17.00390625" style="8" customWidth="1"/>
    <col min="15" max="15" width="11.421875" style="8" customWidth="1"/>
    <col min="16" max="16" width="14.7109375" style="8" customWidth="1"/>
    <col min="17" max="17" width="11.421875" style="8" customWidth="1"/>
    <col min="18" max="18" width="12.00390625" style="8" customWidth="1"/>
    <col min="19" max="16384" width="11.421875" style="8" customWidth="1"/>
  </cols>
  <sheetData>
    <row r="1" spans="1:11" s="3" customFormat="1" ht="26.25">
      <c r="A1" s="1"/>
      <c r="B1" s="2"/>
      <c r="E1" s="4"/>
      <c r="K1" s="5"/>
    </row>
    <row r="2" spans="2:10" s="3" customFormat="1" ht="26.25">
      <c r="B2" s="2" t="s">
        <v>514</v>
      </c>
      <c r="C2" s="6"/>
      <c r="D2" s="7"/>
      <c r="E2" s="7"/>
      <c r="F2" s="7"/>
      <c r="G2" s="7"/>
      <c r="H2" s="7"/>
      <c r="I2" s="7"/>
      <c r="J2" s="7"/>
    </row>
    <row r="3" spans="3:19" ht="12.75">
      <c r="C3" s="9"/>
      <c r="D3" s="10"/>
      <c r="E3" s="10"/>
      <c r="F3" s="10"/>
      <c r="G3" s="10"/>
      <c r="H3" s="10"/>
      <c r="I3" s="10"/>
      <c r="J3" s="10"/>
      <c r="P3" s="11"/>
      <c r="Q3" s="11"/>
      <c r="R3" s="11"/>
      <c r="S3" s="11"/>
    </row>
    <row r="4" spans="1:19" s="14" customFormat="1" ht="11.25">
      <c r="A4" s="12" t="s">
        <v>2</v>
      </c>
      <c r="B4" s="13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s="14" customFormat="1" ht="11.25">
      <c r="A5" s="12" t="s">
        <v>3</v>
      </c>
      <c r="B5" s="13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2:19" s="3" customFormat="1" ht="11.25" customHeight="1">
      <c r="B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2:19" s="18" customFormat="1" ht="21">
      <c r="B7" s="19" t="s">
        <v>0</v>
      </c>
      <c r="C7" s="20"/>
      <c r="D7" s="21"/>
      <c r="E7" s="21"/>
      <c r="F7" s="22"/>
      <c r="G7" s="22"/>
      <c r="H7" s="22"/>
      <c r="I7" s="22"/>
      <c r="J7" s="22"/>
      <c r="K7" s="23"/>
      <c r="L7" s="23"/>
      <c r="M7" s="23"/>
      <c r="N7" s="23"/>
      <c r="O7" s="23"/>
      <c r="P7" s="23"/>
      <c r="Q7" s="23"/>
      <c r="R7" s="23"/>
      <c r="S7" s="23"/>
    </row>
    <row r="8" spans="9:19" ht="12.75"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2:19" s="18" customFormat="1" ht="21">
      <c r="B9" s="19" t="s">
        <v>1</v>
      </c>
      <c r="C9" s="20"/>
      <c r="D9" s="21"/>
      <c r="E9" s="21"/>
      <c r="F9" s="21"/>
      <c r="G9" s="21"/>
      <c r="H9" s="21"/>
      <c r="I9" s="22"/>
      <c r="J9" s="22"/>
      <c r="K9" s="23"/>
      <c r="L9" s="23"/>
      <c r="M9" s="23"/>
      <c r="N9" s="23"/>
      <c r="O9" s="23"/>
      <c r="P9" s="23"/>
      <c r="Q9" s="23"/>
      <c r="R9" s="23"/>
      <c r="S9" s="23"/>
    </row>
    <row r="10" spans="4:19" ht="12.75">
      <c r="D10" s="24"/>
      <c r="E10" s="24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2:19" s="18" customFormat="1" ht="20.25">
      <c r="B11" s="19" t="s">
        <v>507</v>
      </c>
      <c r="C11" s="25"/>
      <c r="D11" s="26"/>
      <c r="E11" s="26"/>
      <c r="F11" s="21"/>
      <c r="G11" s="21"/>
      <c r="H11" s="21"/>
      <c r="I11" s="22"/>
      <c r="J11" s="22"/>
      <c r="K11" s="23"/>
      <c r="L11" s="23"/>
      <c r="M11" s="23"/>
      <c r="N11" s="23"/>
      <c r="O11" s="23"/>
      <c r="P11" s="23"/>
      <c r="Q11" s="23"/>
      <c r="R11" s="23"/>
      <c r="S11" s="23"/>
    </row>
    <row r="12" spans="4:19" s="27" customFormat="1" ht="16.5" thickBot="1">
      <c r="D12" s="28"/>
      <c r="E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2:19" s="27" customFormat="1" ht="16.5" thickTop="1">
      <c r="B13" s="30"/>
      <c r="C13" s="31"/>
      <c r="D13" s="31"/>
      <c r="E13" s="32"/>
      <c r="F13" s="31"/>
      <c r="G13" s="31"/>
      <c r="H13" s="31"/>
      <c r="I13" s="31"/>
      <c r="J13" s="33"/>
      <c r="K13" s="29"/>
      <c r="L13" s="29"/>
      <c r="M13" s="29"/>
      <c r="N13" s="29"/>
      <c r="O13" s="29"/>
      <c r="P13" s="29"/>
      <c r="Q13" s="29"/>
      <c r="R13" s="29"/>
      <c r="S13" s="29"/>
    </row>
    <row r="14" spans="2:19" s="34" customFormat="1" ht="19.5">
      <c r="B14" s="35" t="s">
        <v>256</v>
      </c>
      <c r="C14" s="36"/>
      <c r="D14" s="37"/>
      <c r="E14" s="38"/>
      <c r="F14" s="39"/>
      <c r="G14" s="39"/>
      <c r="H14" s="39"/>
      <c r="I14" s="40"/>
      <c r="J14" s="41"/>
      <c r="K14" s="42"/>
      <c r="L14" s="42"/>
      <c r="M14" s="42"/>
      <c r="N14" s="42"/>
      <c r="O14" s="42"/>
      <c r="P14" s="42"/>
      <c r="Q14" s="42"/>
      <c r="R14" s="42"/>
      <c r="S14" s="42"/>
    </row>
    <row r="15" spans="2:19" s="34" customFormat="1" ht="13.5" customHeight="1">
      <c r="B15" s="43"/>
      <c r="C15" s="44"/>
      <c r="D15" s="45"/>
      <c r="E15" s="46"/>
      <c r="F15" s="47"/>
      <c r="G15" s="47"/>
      <c r="H15" s="47"/>
      <c r="I15" s="42"/>
      <c r="J15" s="48"/>
      <c r="K15" s="42"/>
      <c r="L15" s="42"/>
      <c r="M15" s="42"/>
      <c r="N15" s="42"/>
      <c r="O15" s="42"/>
      <c r="P15" s="42"/>
      <c r="Q15" s="42"/>
      <c r="R15" s="42"/>
      <c r="S15" s="42"/>
    </row>
    <row r="16" spans="2:19" s="34" customFormat="1" ht="19.5">
      <c r="B16" s="43"/>
      <c r="C16" s="49" t="s">
        <v>4</v>
      </c>
      <c r="D16" s="45" t="s">
        <v>5</v>
      </c>
      <c r="E16" s="46"/>
      <c r="F16" s="47"/>
      <c r="G16" s="47"/>
      <c r="H16" s="47"/>
      <c r="I16" s="50"/>
      <c r="J16" s="48"/>
      <c r="K16" s="42"/>
      <c r="L16" s="42"/>
      <c r="M16" s="42"/>
      <c r="N16" s="42"/>
      <c r="O16" s="42"/>
      <c r="P16" s="42"/>
      <c r="Q16" s="42"/>
      <c r="R16" s="42"/>
      <c r="S16" s="42"/>
    </row>
    <row r="17" spans="2:19" s="34" customFormat="1" ht="19.5">
      <c r="B17" s="43"/>
      <c r="C17" s="49"/>
      <c r="D17" s="45">
        <v>11</v>
      </c>
      <c r="E17" s="51" t="s">
        <v>6</v>
      </c>
      <c r="F17" s="47"/>
      <c r="G17" s="47"/>
      <c r="H17" s="47"/>
      <c r="I17" s="50">
        <f>'LI-09 (1)'!AE43</f>
        <v>2920.69</v>
      </c>
      <c r="J17" s="48"/>
      <c r="K17" s="42"/>
      <c r="L17" s="42"/>
      <c r="M17" s="42"/>
      <c r="N17" s="42"/>
      <c r="O17" s="42"/>
      <c r="P17" s="42"/>
      <c r="Q17" s="42"/>
      <c r="R17" s="42"/>
      <c r="S17" s="42"/>
    </row>
    <row r="18" spans="2:19" s="34" customFormat="1" ht="19.5">
      <c r="B18" s="43"/>
      <c r="C18" s="49"/>
      <c r="D18" s="45"/>
      <c r="E18" s="51" t="s">
        <v>511</v>
      </c>
      <c r="F18" s="47"/>
      <c r="G18" s="47"/>
      <c r="H18" s="47"/>
      <c r="I18" s="50">
        <f>+Incendio!AD28</f>
        <v>1966.55</v>
      </c>
      <c r="J18" s="48"/>
      <c r="K18" s="42"/>
      <c r="L18" s="42"/>
      <c r="M18" s="42"/>
      <c r="N18" s="42"/>
      <c r="O18" s="42"/>
      <c r="P18" s="42"/>
      <c r="Q18" s="42"/>
      <c r="R18" s="42"/>
      <c r="S18" s="42"/>
    </row>
    <row r="19" spans="2:19" s="34" customFormat="1" ht="19.5">
      <c r="B19" s="43"/>
      <c r="C19" s="49"/>
      <c r="D19" s="45">
        <v>12</v>
      </c>
      <c r="E19" s="51" t="s">
        <v>7</v>
      </c>
      <c r="F19" s="47"/>
      <c r="G19" s="47"/>
      <c r="H19" s="47"/>
      <c r="I19" s="50">
        <f>'LI-YACY-09 (1)'!AE41</f>
        <v>668.86</v>
      </c>
      <c r="J19" s="48"/>
      <c r="K19" s="42"/>
      <c r="L19" s="42"/>
      <c r="M19" s="42"/>
      <c r="N19" s="42"/>
      <c r="O19" s="42"/>
      <c r="P19" s="42"/>
      <c r="Q19" s="42"/>
      <c r="R19" s="42"/>
      <c r="S19" s="42"/>
    </row>
    <row r="20" spans="2:19" s="34" customFormat="1" ht="19.5">
      <c r="B20" s="43"/>
      <c r="C20" s="49"/>
      <c r="D20" s="45">
        <v>13</v>
      </c>
      <c r="E20" s="51" t="s">
        <v>355</v>
      </c>
      <c r="F20" s="47"/>
      <c r="G20" s="47"/>
      <c r="H20" s="47"/>
      <c r="I20" s="50">
        <f>'LI-INTESAR1-09 (1)'!AE41</f>
        <v>4718.82</v>
      </c>
      <c r="J20" s="48"/>
      <c r="K20" s="42"/>
      <c r="L20" s="42"/>
      <c r="M20" s="42"/>
      <c r="N20" s="42"/>
      <c r="O20" s="42"/>
      <c r="P20" s="42"/>
      <c r="Q20" s="42"/>
      <c r="R20" s="42"/>
      <c r="S20" s="42"/>
    </row>
    <row r="21" spans="2:19" s="34" customFormat="1" ht="19.5">
      <c r="B21" s="43"/>
      <c r="C21" s="49"/>
      <c r="D21" s="45">
        <v>14</v>
      </c>
      <c r="E21" s="51" t="s">
        <v>356</v>
      </c>
      <c r="F21" s="47"/>
      <c r="G21" s="47"/>
      <c r="H21" s="47"/>
      <c r="I21" s="50">
        <f>'LI-INTESAR2-09 (1)'!AE40</f>
        <v>568.7</v>
      </c>
      <c r="J21" s="48"/>
      <c r="K21" s="42"/>
      <c r="L21" s="42"/>
      <c r="M21" s="42"/>
      <c r="N21" s="42"/>
      <c r="O21" s="42"/>
      <c r="P21" s="42"/>
      <c r="Q21" s="42"/>
      <c r="R21" s="42"/>
      <c r="S21" s="42"/>
    </row>
    <row r="22" spans="2:19" s="34" customFormat="1" ht="19.5">
      <c r="B22" s="43"/>
      <c r="C22" s="49"/>
      <c r="D22" s="45">
        <v>15</v>
      </c>
      <c r="E22" s="51" t="s">
        <v>357</v>
      </c>
      <c r="F22" s="47"/>
      <c r="G22" s="47"/>
      <c r="H22" s="47"/>
      <c r="I22" s="50">
        <f>'LI-INTESAR3-09 (1)'!AE42</f>
        <v>5509.12</v>
      </c>
      <c r="J22" s="48"/>
      <c r="K22" s="42"/>
      <c r="L22" s="42"/>
      <c r="M22" s="42"/>
      <c r="N22" s="42"/>
      <c r="O22" s="42"/>
      <c r="P22" s="42"/>
      <c r="Q22" s="42"/>
      <c r="R22" s="42"/>
      <c r="S22" s="42"/>
    </row>
    <row r="23" spans="2:19" s="34" customFormat="1" ht="19.5">
      <c r="B23" s="43"/>
      <c r="C23" s="49"/>
      <c r="D23" s="45" t="s">
        <v>371</v>
      </c>
      <c r="E23" s="51" t="s">
        <v>358</v>
      </c>
      <c r="F23" s="47"/>
      <c r="G23" s="47"/>
      <c r="H23" s="47"/>
      <c r="I23" s="50">
        <f>'LI-INTESAR4-9 (1)'!AE41</f>
        <v>84650.91</v>
      </c>
      <c r="J23" s="48"/>
      <c r="K23" s="42"/>
      <c r="L23" s="42"/>
      <c r="M23" s="42"/>
      <c r="N23" s="42"/>
      <c r="O23" s="42"/>
      <c r="P23" s="42"/>
      <c r="Q23" s="42"/>
      <c r="R23" s="42"/>
      <c r="S23" s="42"/>
    </row>
    <row r="24" spans="2:19" s="34" customFormat="1" ht="19.5">
      <c r="B24" s="43"/>
      <c r="C24" s="49"/>
      <c r="D24" s="45" t="s">
        <v>372</v>
      </c>
      <c r="E24" s="51" t="s">
        <v>10</v>
      </c>
      <c r="F24" s="47"/>
      <c r="G24" s="47"/>
      <c r="H24" s="47"/>
      <c r="I24" s="50">
        <f>'LI-LIMSA-09 (1)'!AE41</f>
        <v>13884.99</v>
      </c>
      <c r="J24" s="48"/>
      <c r="K24" s="42"/>
      <c r="L24" s="42"/>
      <c r="M24" s="42"/>
      <c r="N24" s="42"/>
      <c r="O24" s="42"/>
      <c r="P24" s="42"/>
      <c r="Q24" s="42"/>
      <c r="R24" s="42"/>
      <c r="S24" s="42"/>
    </row>
    <row r="25" spans="1:19" ht="12.75" customHeight="1">
      <c r="A25" s="34"/>
      <c r="B25" s="55"/>
      <c r="C25" s="56"/>
      <c r="D25" s="45"/>
      <c r="E25" s="57"/>
      <c r="F25" s="58"/>
      <c r="G25" s="58"/>
      <c r="H25" s="58"/>
      <c r="I25" s="59"/>
      <c r="J25" s="60"/>
      <c r="K25" s="42"/>
      <c r="L25" s="11"/>
      <c r="M25" s="11"/>
      <c r="N25" s="11"/>
      <c r="O25" s="11"/>
      <c r="P25" s="11"/>
      <c r="Q25" s="11"/>
      <c r="R25" s="11"/>
      <c r="S25" s="11"/>
    </row>
    <row r="26" spans="2:19" s="34" customFormat="1" ht="19.5">
      <c r="B26" s="43"/>
      <c r="C26" s="49" t="s">
        <v>11</v>
      </c>
      <c r="D26" s="61" t="s">
        <v>12</v>
      </c>
      <c r="E26" s="62"/>
      <c r="F26" s="53"/>
      <c r="G26" s="53"/>
      <c r="H26" s="53"/>
      <c r="I26" s="54"/>
      <c r="J26" s="48"/>
      <c r="K26" s="42"/>
      <c r="L26" s="42"/>
      <c r="M26" s="42"/>
      <c r="N26" s="42"/>
      <c r="O26" s="42"/>
      <c r="P26" s="42"/>
      <c r="Q26" s="42"/>
      <c r="R26" s="42"/>
      <c r="S26" s="42"/>
    </row>
    <row r="27" spans="2:19" s="34" customFormat="1" ht="19.5">
      <c r="B27" s="43"/>
      <c r="C27" s="49"/>
      <c r="D27" s="45">
        <v>21</v>
      </c>
      <c r="E27" s="52" t="s">
        <v>13</v>
      </c>
      <c r="F27" s="53"/>
      <c r="G27" s="53"/>
      <c r="H27" s="53"/>
      <c r="I27" s="54"/>
      <c r="J27" s="48"/>
      <c r="K27" s="42"/>
      <c r="L27" s="42"/>
      <c r="M27" s="42"/>
      <c r="N27" s="42"/>
      <c r="O27" s="42"/>
      <c r="P27" s="42"/>
      <c r="Q27" s="42"/>
      <c r="R27" s="42"/>
      <c r="S27" s="42"/>
    </row>
    <row r="28" spans="2:19" s="34" customFormat="1" ht="19.5">
      <c r="B28" s="43"/>
      <c r="C28" s="49"/>
      <c r="D28" s="45"/>
      <c r="E28" s="63">
        <v>211</v>
      </c>
      <c r="F28" s="64" t="s">
        <v>6</v>
      </c>
      <c r="G28" s="53"/>
      <c r="H28" s="53"/>
      <c r="I28" s="54">
        <f>'TR-09 (1)'!AC43</f>
        <v>42428.48</v>
      </c>
      <c r="J28" s="48"/>
      <c r="K28" s="42"/>
      <c r="L28" s="42"/>
      <c r="M28" s="42"/>
      <c r="N28" s="42"/>
      <c r="O28" s="42"/>
      <c r="P28" s="42"/>
      <c r="Q28" s="42"/>
      <c r="R28" s="42"/>
      <c r="S28" s="42"/>
    </row>
    <row r="29" spans="2:19" s="34" customFormat="1" ht="19.5">
      <c r="B29" s="43"/>
      <c r="C29" s="49"/>
      <c r="D29" s="45"/>
      <c r="E29" s="63">
        <v>212</v>
      </c>
      <c r="F29" s="64" t="s">
        <v>14</v>
      </c>
      <c r="G29" s="53"/>
      <c r="H29" s="53"/>
      <c r="I29" s="54">
        <f>'TR-TIBA-09 (1)'!AC41</f>
        <v>9466.11</v>
      </c>
      <c r="J29" s="48"/>
      <c r="K29" s="42"/>
      <c r="L29" s="42"/>
      <c r="M29" s="42"/>
      <c r="N29" s="42"/>
      <c r="O29" s="42"/>
      <c r="P29" s="42"/>
      <c r="Q29" s="42"/>
      <c r="R29" s="42"/>
      <c r="S29" s="42"/>
    </row>
    <row r="30" spans="2:19" s="34" customFormat="1" ht="19.5">
      <c r="B30" s="43"/>
      <c r="C30" s="49"/>
      <c r="D30" s="45"/>
      <c r="E30" s="63">
        <v>213</v>
      </c>
      <c r="F30" s="64" t="s">
        <v>8</v>
      </c>
      <c r="G30" s="53"/>
      <c r="H30" s="53"/>
      <c r="I30" s="54">
        <f>'TR-INTESAR-09 (1)'!AC41</f>
        <v>1681.16</v>
      </c>
      <c r="J30" s="48"/>
      <c r="K30" s="42"/>
      <c r="L30" s="42"/>
      <c r="M30" s="42"/>
      <c r="N30" s="42"/>
      <c r="O30" s="42"/>
      <c r="P30" s="42"/>
      <c r="Q30" s="42"/>
      <c r="R30" s="42"/>
      <c r="S30" s="42"/>
    </row>
    <row r="31" spans="2:19" s="34" customFormat="1" ht="19.5">
      <c r="B31" s="43"/>
      <c r="C31" s="49"/>
      <c r="D31" s="45"/>
      <c r="E31" s="63">
        <v>214</v>
      </c>
      <c r="F31" s="51" t="s">
        <v>9</v>
      </c>
      <c r="G31" s="53"/>
      <c r="H31" s="53"/>
      <c r="I31" s="54">
        <f>'TR-INTESA3-09 (1)'!AC41</f>
        <v>4175.31</v>
      </c>
      <c r="J31" s="48"/>
      <c r="K31" s="42"/>
      <c r="L31" s="42"/>
      <c r="M31" s="42"/>
      <c r="N31" s="42"/>
      <c r="O31" s="42"/>
      <c r="P31" s="42"/>
      <c r="Q31" s="42"/>
      <c r="R31" s="42"/>
      <c r="S31" s="42"/>
    </row>
    <row r="32" spans="2:19" s="34" customFormat="1" ht="19.5">
      <c r="B32" s="43"/>
      <c r="C32" s="49"/>
      <c r="D32" s="45">
        <v>22</v>
      </c>
      <c r="E32" s="51" t="s">
        <v>15</v>
      </c>
      <c r="F32" s="47"/>
      <c r="G32" s="47"/>
      <c r="H32" s="47"/>
      <c r="I32" s="50"/>
      <c r="J32" s="48"/>
      <c r="K32" s="42"/>
      <c r="L32" s="42"/>
      <c r="M32" s="42"/>
      <c r="N32" s="42"/>
      <c r="O32" s="42"/>
      <c r="P32" s="42"/>
      <c r="Q32" s="42"/>
      <c r="R32" s="42"/>
      <c r="S32" s="42"/>
    </row>
    <row r="33" spans="2:19" s="34" customFormat="1" ht="19.5">
      <c r="B33" s="43"/>
      <c r="C33" s="49"/>
      <c r="D33" s="45"/>
      <c r="E33" s="65">
        <v>221</v>
      </c>
      <c r="F33" s="4" t="s">
        <v>6</v>
      </c>
      <c r="G33" s="47"/>
      <c r="H33" s="47"/>
      <c r="I33" s="50">
        <f>'SA-09 (3)'!V45</f>
        <v>278234.11</v>
      </c>
      <c r="J33" s="48"/>
      <c r="K33" s="42"/>
      <c r="L33" s="42"/>
      <c r="M33" s="42"/>
      <c r="N33" s="42"/>
      <c r="O33" s="42"/>
      <c r="P33" s="42"/>
      <c r="Q33" s="42"/>
      <c r="R33" s="42"/>
      <c r="S33" s="42"/>
    </row>
    <row r="34" spans="2:19" s="34" customFormat="1" ht="19.5">
      <c r="B34" s="43"/>
      <c r="C34" s="49"/>
      <c r="D34" s="45"/>
      <c r="E34" s="65">
        <v>222</v>
      </c>
      <c r="F34" s="4" t="s">
        <v>14</v>
      </c>
      <c r="G34" s="47"/>
      <c r="H34" s="47"/>
      <c r="I34" s="50">
        <f>'SA-TIBA-09 (1)'!V43</f>
        <v>5543.52</v>
      </c>
      <c r="J34" s="48"/>
      <c r="K34" s="42"/>
      <c r="L34" s="42"/>
      <c r="M34" s="42"/>
      <c r="N34" s="42"/>
      <c r="O34" s="42"/>
      <c r="P34" s="42"/>
      <c r="Q34" s="42"/>
      <c r="R34" s="42"/>
      <c r="S34" s="42"/>
    </row>
    <row r="35" spans="2:19" s="34" customFormat="1" ht="19.5">
      <c r="B35" s="43"/>
      <c r="C35" s="49"/>
      <c r="D35" s="45"/>
      <c r="E35" s="65">
        <v>223</v>
      </c>
      <c r="F35" s="51" t="s">
        <v>368</v>
      </c>
      <c r="G35" s="47"/>
      <c r="H35" s="47"/>
      <c r="I35" s="50">
        <f>'SA-TRANSPORTEL-09 (1)'!V41</f>
        <v>1000.46</v>
      </c>
      <c r="J35" s="48"/>
      <c r="K35" s="42"/>
      <c r="L35" s="42"/>
      <c r="M35" s="42"/>
      <c r="N35" s="42"/>
      <c r="O35" s="42"/>
      <c r="P35" s="42"/>
      <c r="Q35" s="42"/>
      <c r="R35" s="42"/>
      <c r="S35" s="42"/>
    </row>
    <row r="36" spans="1:19" ht="12.75" customHeight="1">
      <c r="A36" s="34"/>
      <c r="B36" s="55"/>
      <c r="C36" s="56"/>
      <c r="D36" s="45"/>
      <c r="E36" s="66"/>
      <c r="F36" s="67"/>
      <c r="G36" s="67"/>
      <c r="H36" s="67"/>
      <c r="I36" s="68" t="s">
        <v>346</v>
      </c>
      <c r="J36" s="60"/>
      <c r="K36" s="42"/>
      <c r="L36" s="11"/>
      <c r="M36" s="11"/>
      <c r="N36" s="11"/>
      <c r="O36" s="11"/>
      <c r="P36" s="11"/>
      <c r="Q36" s="11"/>
      <c r="R36" s="11"/>
      <c r="S36" s="11"/>
    </row>
    <row r="37" spans="2:19" s="34" customFormat="1" ht="19.5">
      <c r="B37" s="43"/>
      <c r="C37" s="49" t="s">
        <v>16</v>
      </c>
      <c r="D37" s="61" t="s">
        <v>17</v>
      </c>
      <c r="E37" s="46"/>
      <c r="F37" s="47"/>
      <c r="G37" s="47"/>
      <c r="H37" s="47"/>
      <c r="I37" s="50"/>
      <c r="J37" s="48"/>
      <c r="K37" s="42"/>
      <c r="L37" s="42"/>
      <c r="M37" s="42"/>
      <c r="N37" s="42"/>
      <c r="O37" s="42"/>
      <c r="P37" s="42"/>
      <c r="Q37" s="42"/>
      <c r="R37" s="42"/>
      <c r="S37" s="42"/>
    </row>
    <row r="38" spans="2:19" s="34" customFormat="1" ht="19.5">
      <c r="B38" s="43"/>
      <c r="C38" s="49"/>
      <c r="D38" s="45">
        <v>31</v>
      </c>
      <c r="E38" s="51" t="s">
        <v>6</v>
      </c>
      <c r="F38" s="47"/>
      <c r="G38" s="47"/>
      <c r="H38" s="47"/>
      <c r="I38" s="50">
        <f>'RE-09 (1)'!Z44</f>
        <v>216643.13</v>
      </c>
      <c r="J38" s="48"/>
      <c r="K38" s="42"/>
      <c r="L38" s="42"/>
      <c r="M38" s="42"/>
      <c r="N38" s="42"/>
      <c r="O38" s="42"/>
      <c r="P38" s="42"/>
      <c r="Q38" s="42"/>
      <c r="R38" s="42"/>
      <c r="S38" s="42"/>
    </row>
    <row r="39" spans="2:19" s="34" customFormat="1" ht="19.5">
      <c r="B39" s="43"/>
      <c r="C39" s="49"/>
      <c r="D39" s="45">
        <v>32</v>
      </c>
      <c r="E39" s="51" t="s">
        <v>7</v>
      </c>
      <c r="F39" s="47"/>
      <c r="G39" s="47"/>
      <c r="H39" s="47"/>
      <c r="I39" s="50">
        <f>'RE-YACYLEC-09 (1)'!Z43</f>
        <v>3825.45</v>
      </c>
      <c r="J39" s="48"/>
      <c r="K39" s="42"/>
      <c r="L39" s="42"/>
      <c r="M39" s="42"/>
      <c r="N39" s="42"/>
      <c r="O39" s="42"/>
      <c r="P39" s="42"/>
      <c r="Q39" s="42"/>
      <c r="R39" s="42"/>
      <c r="S39" s="42"/>
    </row>
    <row r="40" spans="2:19" s="34" customFormat="1" ht="19.5">
      <c r="B40" s="43"/>
      <c r="C40" s="49"/>
      <c r="D40" s="45"/>
      <c r="E40" s="51"/>
      <c r="F40" s="47"/>
      <c r="G40" s="47"/>
      <c r="H40" s="47"/>
      <c r="I40" s="50"/>
      <c r="J40" s="48"/>
      <c r="K40" s="42"/>
      <c r="L40" s="42"/>
      <c r="M40" s="42"/>
      <c r="N40" s="42"/>
      <c r="O40" s="42"/>
      <c r="P40" s="42"/>
      <c r="Q40" s="42"/>
      <c r="R40" s="42"/>
      <c r="S40" s="42"/>
    </row>
    <row r="41" spans="2:19" s="34" customFormat="1" ht="19.5" customHeight="1">
      <c r="B41" s="43"/>
      <c r="C41" s="49"/>
      <c r="D41" s="45" t="s">
        <v>373</v>
      </c>
      <c r="E41" s="51" t="s">
        <v>10</v>
      </c>
      <c r="F41" s="47"/>
      <c r="G41" s="47"/>
      <c r="H41" s="47"/>
      <c r="I41" s="50">
        <f>'RE-LIMSA-09 (1)'!Z42</f>
        <v>3555.91</v>
      </c>
      <c r="J41" s="48"/>
      <c r="K41" s="42"/>
      <c r="L41" s="42"/>
      <c r="M41" s="42"/>
      <c r="N41" s="42"/>
      <c r="O41" s="42"/>
      <c r="P41" s="42"/>
      <c r="Q41" s="42"/>
      <c r="R41" s="42"/>
      <c r="S41" s="42"/>
    </row>
    <row r="42" spans="2:19" s="34" customFormat="1" ht="19.5" customHeight="1">
      <c r="B42" s="43"/>
      <c r="C42" s="49"/>
      <c r="D42" s="45"/>
      <c r="E42" s="51"/>
      <c r="F42" s="47"/>
      <c r="G42" s="47"/>
      <c r="H42" s="47"/>
      <c r="I42" s="50"/>
      <c r="J42" s="48"/>
      <c r="K42" s="42"/>
      <c r="L42" s="42"/>
      <c r="M42" s="42"/>
      <c r="N42" s="802"/>
      <c r="O42" s="42"/>
      <c r="P42" s="42"/>
      <c r="Q42" s="42"/>
      <c r="R42" s="42"/>
      <c r="S42" s="42"/>
    </row>
    <row r="43" spans="2:19" s="34" customFormat="1" ht="12.75" customHeight="1">
      <c r="B43" s="43"/>
      <c r="C43" s="49"/>
      <c r="D43" s="45"/>
      <c r="E43" s="51"/>
      <c r="F43" s="47"/>
      <c r="G43" s="47"/>
      <c r="H43" s="47"/>
      <c r="I43" s="50"/>
      <c r="J43" s="48"/>
      <c r="K43" s="42"/>
      <c r="L43" s="42"/>
      <c r="M43" s="42"/>
      <c r="N43" s="42"/>
      <c r="O43" s="42"/>
      <c r="P43" s="42"/>
      <c r="Q43" s="42"/>
      <c r="R43" s="42"/>
      <c r="S43" s="42"/>
    </row>
    <row r="44" spans="2:19" s="34" customFormat="1" ht="19.5">
      <c r="B44" s="43"/>
      <c r="C44" s="49" t="s">
        <v>18</v>
      </c>
      <c r="D44" s="61" t="s">
        <v>19</v>
      </c>
      <c r="E44" s="46"/>
      <c r="F44" s="47"/>
      <c r="G44" s="47"/>
      <c r="H44" s="47"/>
      <c r="I44" s="50"/>
      <c r="J44" s="48"/>
      <c r="K44" s="42"/>
      <c r="L44" s="42"/>
      <c r="M44" s="42"/>
      <c r="N44" s="42"/>
      <c r="O44" s="42"/>
      <c r="P44" s="42"/>
      <c r="Q44" s="42"/>
      <c r="R44" s="42"/>
      <c r="S44" s="42"/>
    </row>
    <row r="45" spans="2:19" s="34" customFormat="1" ht="19.5">
      <c r="B45" s="43"/>
      <c r="C45" s="49"/>
      <c r="D45" s="45">
        <v>41</v>
      </c>
      <c r="E45" s="51" t="s">
        <v>7</v>
      </c>
      <c r="F45" s="47"/>
      <c r="G45" s="47"/>
      <c r="H45" s="47"/>
      <c r="I45" s="50">
        <f>'SUP-YACYLEC'!K74</f>
        <v>1980.4178562516126</v>
      </c>
      <c r="J45" s="48"/>
      <c r="K45" s="42"/>
      <c r="L45" s="42"/>
      <c r="M45" s="42"/>
      <c r="N45" s="42"/>
      <c r="O45" s="42"/>
      <c r="P45" s="42"/>
      <c r="Q45" s="42"/>
      <c r="R45" s="42"/>
      <c r="S45" s="42"/>
    </row>
    <row r="46" spans="2:19" s="34" customFormat="1" ht="19.5">
      <c r="B46" s="43"/>
      <c r="C46" s="49"/>
      <c r="D46" s="45">
        <v>42</v>
      </c>
      <c r="E46" s="51" t="s">
        <v>14</v>
      </c>
      <c r="F46" s="47"/>
      <c r="G46" s="47"/>
      <c r="H46" s="47"/>
      <c r="I46" s="50">
        <f>'SUP-TIBA'!J80</f>
        <v>3782.077982671085</v>
      </c>
      <c r="J46" s="48"/>
      <c r="K46" s="42"/>
      <c r="L46" s="42"/>
      <c r="M46" s="42"/>
      <c r="N46" s="42"/>
      <c r="O46" s="42"/>
      <c r="P46" s="42"/>
      <c r="Q46" s="42"/>
      <c r="R46" s="42"/>
      <c r="S46" s="42"/>
    </row>
    <row r="47" spans="2:19" s="34" customFormat="1" ht="19.5">
      <c r="B47" s="43"/>
      <c r="C47" s="49"/>
      <c r="D47" s="45">
        <v>43</v>
      </c>
      <c r="E47" s="51" t="s">
        <v>20</v>
      </c>
      <c r="F47" s="47"/>
      <c r="G47" s="47"/>
      <c r="H47" s="69"/>
      <c r="I47" s="50">
        <f>'SUP-INTESAR1'!K66</f>
        <v>2559.9932035199995</v>
      </c>
      <c r="J47" s="48"/>
      <c r="K47" s="42"/>
      <c r="L47" s="42"/>
      <c r="M47" s="42"/>
      <c r="N47" s="42"/>
      <c r="O47" s="42"/>
      <c r="P47" s="42"/>
      <c r="Q47" s="42"/>
      <c r="R47" s="42"/>
      <c r="S47" s="42"/>
    </row>
    <row r="48" spans="2:19" s="34" customFormat="1" ht="19.5">
      <c r="B48" s="43"/>
      <c r="C48" s="49"/>
      <c r="D48" s="45" t="s">
        <v>374</v>
      </c>
      <c r="E48" s="51" t="s">
        <v>21</v>
      </c>
      <c r="F48" s="47"/>
      <c r="G48" s="47"/>
      <c r="H48" s="47"/>
      <c r="I48" s="50">
        <f>'SUP-LIMSA'!K88</f>
        <v>14652.006075365123</v>
      </c>
      <c r="J48" s="48"/>
      <c r="K48" s="42"/>
      <c r="L48" s="42"/>
      <c r="M48" s="42"/>
      <c r="N48" s="42"/>
      <c r="O48" s="42"/>
      <c r="P48" s="42"/>
      <c r="Q48" s="42"/>
      <c r="R48" s="42"/>
      <c r="S48" s="42"/>
    </row>
    <row r="49" spans="2:19" s="34" customFormat="1" ht="19.5">
      <c r="B49" s="43"/>
      <c r="C49" s="49"/>
      <c r="D49" s="45"/>
      <c r="E49" s="51"/>
      <c r="F49" s="47"/>
      <c r="G49" s="47"/>
      <c r="H49" s="69"/>
      <c r="I49" s="50"/>
      <c r="J49" s="48"/>
      <c r="K49" s="42"/>
      <c r="L49" s="42"/>
      <c r="M49" s="42"/>
      <c r="N49" s="42"/>
      <c r="O49" s="42"/>
      <c r="P49" s="42"/>
      <c r="Q49" s="42"/>
      <c r="R49" s="42"/>
      <c r="S49" s="42"/>
    </row>
    <row r="50" spans="2:19" s="34" customFormat="1" ht="11.25" customHeight="1">
      <c r="B50" s="43"/>
      <c r="C50" s="49"/>
      <c r="D50" s="45"/>
      <c r="E50" s="51"/>
      <c r="F50" s="47"/>
      <c r="G50" s="47"/>
      <c r="H50" s="69"/>
      <c r="I50" s="50"/>
      <c r="J50" s="48"/>
      <c r="K50" s="42"/>
      <c r="L50" s="42"/>
      <c r="M50" s="42"/>
      <c r="N50" s="42"/>
      <c r="O50" s="42"/>
      <c r="P50" s="42"/>
      <c r="Q50" s="42"/>
      <c r="R50" s="42"/>
      <c r="S50" s="42"/>
    </row>
    <row r="51" spans="2:19" s="34" customFormat="1" ht="20.25" thickBot="1">
      <c r="B51" s="43"/>
      <c r="C51" s="44"/>
      <c r="D51" s="45"/>
      <c r="E51" s="46"/>
      <c r="F51" s="47"/>
      <c r="G51" s="47"/>
      <c r="H51" s="47"/>
      <c r="I51" s="42"/>
      <c r="J51" s="48"/>
      <c r="K51" s="42"/>
      <c r="L51" s="42"/>
      <c r="M51" s="42"/>
      <c r="N51" s="42"/>
      <c r="O51" s="42"/>
      <c r="P51" s="42"/>
      <c r="Q51" s="42"/>
      <c r="R51" s="42"/>
      <c r="S51" s="42"/>
    </row>
    <row r="52" spans="2:19" s="34" customFormat="1" ht="20.25" thickBot="1" thickTop="1">
      <c r="B52" s="43"/>
      <c r="C52" s="49"/>
      <c r="D52" s="49"/>
      <c r="F52" s="70" t="s">
        <v>22</v>
      </c>
      <c r="G52" s="1641"/>
      <c r="H52" s="71">
        <f>SUM(I17:I49)</f>
        <v>704416.7751178077</v>
      </c>
      <c r="J52" s="48"/>
      <c r="K52" s="42"/>
      <c r="L52" s="42"/>
      <c r="M52" s="42"/>
      <c r="N52" s="42"/>
      <c r="O52" s="42"/>
      <c r="P52" s="42"/>
      <c r="Q52" s="42"/>
      <c r="R52" s="42"/>
      <c r="S52" s="42"/>
    </row>
    <row r="53" spans="2:19" s="34" customFormat="1" ht="9.75" customHeight="1" thickTop="1">
      <c r="B53" s="43"/>
      <c r="C53" s="49"/>
      <c r="D53" s="49"/>
      <c r="F53" s="73"/>
      <c r="G53" s="72"/>
      <c r="H53" s="72"/>
      <c r="J53" s="48"/>
      <c r="K53" s="42"/>
      <c r="L53" s="42"/>
      <c r="M53" s="42"/>
      <c r="N53" s="42"/>
      <c r="O53" s="42"/>
      <c r="P53" s="42"/>
      <c r="Q53" s="42"/>
      <c r="R53" s="42"/>
      <c r="S53" s="42"/>
    </row>
    <row r="54" spans="2:19" s="34" customFormat="1" ht="9.75" customHeight="1">
      <c r="B54" s="43"/>
      <c r="C54" s="49"/>
      <c r="D54" s="49"/>
      <c r="F54" s="73"/>
      <c r="G54" s="72"/>
      <c r="H54" s="72"/>
      <c r="J54" s="48"/>
      <c r="K54" s="42"/>
      <c r="L54" s="42"/>
      <c r="M54" s="42"/>
      <c r="N54" s="42"/>
      <c r="O54" s="42"/>
      <c r="P54" s="42"/>
      <c r="Q54" s="42"/>
      <c r="R54" s="42"/>
      <c r="S54" s="42"/>
    </row>
    <row r="55" spans="2:19" s="34" customFormat="1" ht="18.75">
      <c r="B55" s="43"/>
      <c r="C55" s="1642" t="s">
        <v>505</v>
      </c>
      <c r="D55" s="49"/>
      <c r="F55" s="73"/>
      <c r="G55" s="72"/>
      <c r="H55" s="72"/>
      <c r="I55" s="74"/>
      <c r="J55" s="48"/>
      <c r="K55" s="42"/>
      <c r="L55" s="42"/>
      <c r="M55" s="42"/>
      <c r="N55" s="42"/>
      <c r="O55" s="42"/>
      <c r="P55" s="42"/>
      <c r="Q55" s="42"/>
      <c r="R55" s="42"/>
      <c r="S55" s="42"/>
    </row>
    <row r="56" spans="2:19" s="34" customFormat="1" ht="18.75">
      <c r="B56" s="43"/>
      <c r="C56" s="1643" t="s">
        <v>506</v>
      </c>
      <c r="D56" s="49"/>
      <c r="F56" s="73"/>
      <c r="G56" s="72"/>
      <c r="H56" s="72"/>
      <c r="I56" s="74"/>
      <c r="J56" s="48"/>
      <c r="K56" s="42"/>
      <c r="L56" s="42"/>
      <c r="M56" s="42"/>
      <c r="N56" s="42"/>
      <c r="O56" s="42"/>
      <c r="P56" s="42"/>
      <c r="Q56" s="42"/>
      <c r="R56" s="42"/>
      <c r="S56" s="42"/>
    </row>
    <row r="57" spans="2:19" s="27" customFormat="1" ht="10.5" customHeight="1" thickBot="1">
      <c r="B57" s="75"/>
      <c r="C57" s="76"/>
      <c r="D57" s="76"/>
      <c r="E57" s="77"/>
      <c r="F57" s="77"/>
      <c r="G57" s="77"/>
      <c r="H57" s="77"/>
      <c r="I57" s="77"/>
      <c r="J57" s="78"/>
      <c r="K57" s="29"/>
      <c r="L57" s="29"/>
      <c r="M57" s="79"/>
      <c r="N57" s="80"/>
      <c r="O57" s="80"/>
      <c r="P57" s="81"/>
      <c r="Q57" s="82"/>
      <c r="R57" s="29"/>
      <c r="S57" s="29"/>
    </row>
    <row r="58" spans="4:19" ht="13.5" thickTop="1">
      <c r="D58" s="11"/>
      <c r="F58" s="11"/>
      <c r="G58" s="11"/>
      <c r="H58" s="11"/>
      <c r="I58" s="11"/>
      <c r="J58" s="11"/>
      <c r="K58" s="11"/>
      <c r="L58" s="11"/>
      <c r="M58" s="83"/>
      <c r="N58" s="84"/>
      <c r="O58" s="84"/>
      <c r="P58" s="11"/>
      <c r="Q58" s="85"/>
      <c r="R58" s="11"/>
      <c r="S58" s="11"/>
    </row>
    <row r="59" spans="4:19" ht="12.75">
      <c r="D59" s="11"/>
      <c r="F59" s="11"/>
      <c r="G59" s="11"/>
      <c r="H59" s="11"/>
      <c r="I59" s="11"/>
      <c r="J59" s="11"/>
      <c r="K59" s="11"/>
      <c r="L59" s="11"/>
      <c r="M59" s="11"/>
      <c r="N59" s="86"/>
      <c r="O59" s="86"/>
      <c r="P59" s="87"/>
      <c r="Q59" s="85"/>
      <c r="R59" s="11"/>
      <c r="S59" s="11"/>
    </row>
    <row r="60" spans="4:19" ht="12.75"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86"/>
      <c r="O60" s="86"/>
      <c r="P60" s="87"/>
      <c r="Q60" s="85"/>
      <c r="R60" s="11"/>
      <c r="S60" s="11"/>
    </row>
    <row r="61" spans="4:19" ht="12.75">
      <c r="D61" s="11"/>
      <c r="E61" s="11"/>
      <c r="L61" s="11"/>
      <c r="M61" s="11"/>
      <c r="N61" s="11"/>
      <c r="O61" s="11"/>
      <c r="P61" s="11"/>
      <c r="Q61" s="11"/>
      <c r="R61" s="11"/>
      <c r="S61" s="11"/>
    </row>
    <row r="62" spans="4:19" ht="12.75">
      <c r="D62" s="11"/>
      <c r="E62" s="11"/>
      <c r="P62" s="11"/>
      <c r="Q62" s="11"/>
      <c r="R62" s="11"/>
      <c r="S62" s="11"/>
    </row>
    <row r="63" spans="4:19" ht="12.75">
      <c r="D63" s="11"/>
      <c r="E63" s="11"/>
      <c r="P63" s="11"/>
      <c r="Q63" s="11"/>
      <c r="R63" s="11"/>
      <c r="S63" s="11"/>
    </row>
    <row r="64" spans="4:19" ht="12.75">
      <c r="D64" s="11"/>
      <c r="E64" s="11"/>
      <c r="P64" s="11"/>
      <c r="Q64" s="11"/>
      <c r="R64" s="11"/>
      <c r="S64" s="11"/>
    </row>
    <row r="65" spans="4:19" ht="12.75">
      <c r="D65" s="11"/>
      <c r="E65" s="11"/>
      <c r="P65" s="11"/>
      <c r="Q65" s="11"/>
      <c r="R65" s="11"/>
      <c r="S65" s="11"/>
    </row>
    <row r="66" spans="4:19" ht="12.75">
      <c r="D66" s="11"/>
      <c r="E66" s="11"/>
      <c r="P66" s="11"/>
      <c r="Q66" s="11"/>
      <c r="R66" s="11"/>
      <c r="S66" s="11"/>
    </row>
    <row r="67" spans="16:19" ht="12.75">
      <c r="P67" s="11"/>
      <c r="Q67" s="11"/>
      <c r="R67" s="11"/>
      <c r="S67" s="11"/>
    </row>
    <row r="68" spans="16:19" ht="12.75">
      <c r="P68" s="11"/>
      <c r="Q68" s="11"/>
      <c r="R68" s="11"/>
      <c r="S68" s="11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portrait" paperSize="9" scale="59" r:id="rId2"/>
  <headerFooter alignWithMargins="0">
    <oddFooter>&amp;L&amp;"Times New Roman,Normal"&amp;8&amp;F-&amp;A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AE156"/>
  <sheetViews>
    <sheetView zoomScale="70" zoomScaleNormal="70" zoomScalePageLayoutView="0" workbookViewId="0" topLeftCell="A1">
      <selection activeCell="N51" sqref="N51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57421875" style="9" customWidth="1"/>
    <col min="6" max="7" width="25.7109375" style="9" customWidth="1"/>
    <col min="8" max="8" width="9.7109375" style="9" customWidth="1"/>
    <col min="9" max="9" width="12.7109375" style="9" customWidth="1"/>
    <col min="10" max="10" width="13.7109375" style="9" hidden="1" customWidth="1"/>
    <col min="11" max="12" width="15.7109375" style="9" customWidth="1"/>
    <col min="13" max="16" width="9.7109375" style="9" customWidth="1"/>
    <col min="17" max="17" width="5.8515625" style="9" customWidth="1"/>
    <col min="18" max="18" width="7.00390625" style="9" customWidth="1"/>
    <col min="19" max="19" width="13.140625" style="9" hidden="1" customWidth="1"/>
    <col min="20" max="21" width="16.421875" style="9" hidden="1" customWidth="1"/>
    <col min="22" max="22" width="16.57421875" style="9" hidden="1" customWidth="1"/>
    <col min="23" max="27" width="16.28125" style="9" hidden="1" customWidth="1"/>
    <col min="28" max="28" width="9.7109375" style="9" customWidth="1"/>
    <col min="29" max="29" width="15.7109375" style="9" customWidth="1"/>
    <col min="30" max="30" width="4.140625" style="9" customWidth="1"/>
    <col min="31" max="16384" width="11.421875" style="9" customWidth="1"/>
  </cols>
  <sheetData>
    <row r="1" spans="2:30" s="3" customFormat="1" ht="26.25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280"/>
    </row>
    <row r="2" spans="1:30" s="3" customFormat="1" ht="26.25">
      <c r="A2" s="88"/>
      <c r="B2" s="281" t="str">
        <f>+'TOT-0912'!B2</f>
        <v>ANEXO IV al Memorándum  D.T.E.E.  N° 295 / 2014</v>
      </c>
      <c r="C2" s="281"/>
      <c r="D2" s="281"/>
      <c r="E2" s="281"/>
      <c r="F2" s="281"/>
      <c r="G2" s="2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</row>
    <row r="3" spans="1:30" s="8" customFormat="1" ht="12.7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</row>
    <row r="4" spans="1:30" s="14" customFormat="1" ht="11.25">
      <c r="A4" s="282" t="s">
        <v>53</v>
      </c>
      <c r="B4" s="283"/>
      <c r="C4" s="283"/>
      <c r="D4" s="283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</row>
    <row r="5" spans="1:30" s="14" customFormat="1" ht="11.25">
      <c r="A5" s="282" t="s">
        <v>3</v>
      </c>
      <c r="B5" s="283"/>
      <c r="C5" s="283"/>
      <c r="D5" s="283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</row>
    <row r="6" spans="1:30" s="8" customFormat="1" ht="13.5" thickBo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</row>
    <row r="7" spans="1:30" s="8" customFormat="1" ht="13.5" thickTop="1">
      <c r="A7" s="89"/>
      <c r="B7" s="285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94"/>
    </row>
    <row r="8" spans="1:30" s="18" customFormat="1" ht="20.25">
      <c r="A8" s="287"/>
      <c r="B8" s="288"/>
      <c r="C8" s="289"/>
      <c r="D8" s="289"/>
      <c r="E8" s="287"/>
      <c r="F8" s="290" t="s">
        <v>23</v>
      </c>
      <c r="G8" s="287"/>
      <c r="H8" s="287"/>
      <c r="I8" s="291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98"/>
    </row>
    <row r="9" spans="1:30" s="8" customFormat="1" ht="12.75">
      <c r="A9" s="89"/>
      <c r="B9" s="292"/>
      <c r="C9" s="83"/>
      <c r="D9" s="83"/>
      <c r="E9" s="89"/>
      <c r="F9" s="83"/>
      <c r="G9" s="293"/>
      <c r="H9" s="89"/>
      <c r="I9" s="83"/>
      <c r="J9" s="89"/>
      <c r="K9" s="89"/>
      <c r="L9" s="89"/>
      <c r="M9" s="89"/>
      <c r="N9" s="89"/>
      <c r="O9" s="89"/>
      <c r="P9" s="89"/>
      <c r="Q9" s="89"/>
      <c r="R9" s="89"/>
      <c r="S9" s="89"/>
      <c r="T9" s="83"/>
      <c r="U9" s="83"/>
      <c r="V9" s="83"/>
      <c r="W9" s="83"/>
      <c r="X9" s="83"/>
      <c r="Y9" s="83"/>
      <c r="Z9" s="83"/>
      <c r="AA9" s="83"/>
      <c r="AB9" s="83"/>
      <c r="AC9" s="83"/>
      <c r="AD9" s="99"/>
    </row>
    <row r="10" spans="1:30" s="300" customFormat="1" ht="30" customHeight="1">
      <c r="A10" s="294"/>
      <c r="B10" s="295"/>
      <c r="C10" s="296"/>
      <c r="D10" s="296"/>
      <c r="E10" s="294"/>
      <c r="F10" s="297" t="s">
        <v>54</v>
      </c>
      <c r="G10" s="294"/>
      <c r="H10" s="298"/>
      <c r="I10" s="296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9"/>
    </row>
    <row r="11" spans="1:30" s="304" customFormat="1" ht="9.75" customHeight="1">
      <c r="A11" s="301"/>
      <c r="B11" s="302"/>
      <c r="C11" s="303"/>
      <c r="D11" s="303"/>
      <c r="E11" s="301"/>
      <c r="G11" s="303"/>
      <c r="H11" s="303"/>
      <c r="I11" s="303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5"/>
    </row>
    <row r="12" spans="1:30" s="304" customFormat="1" ht="21" customHeight="1">
      <c r="A12" s="294"/>
      <c r="B12" s="295"/>
      <c r="C12" s="296"/>
      <c r="D12" s="296"/>
      <c r="E12" s="294"/>
      <c r="F12" s="306" t="s">
        <v>55</v>
      </c>
      <c r="G12" s="294"/>
      <c r="H12" s="294"/>
      <c r="I12" s="294"/>
      <c r="J12" s="307"/>
      <c r="K12" s="307"/>
      <c r="L12" s="307"/>
      <c r="M12" s="307"/>
      <c r="N12" s="307"/>
      <c r="O12" s="301"/>
      <c r="P12" s="301"/>
      <c r="Q12" s="301"/>
      <c r="R12" s="301"/>
      <c r="S12" s="301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5"/>
    </row>
    <row r="13" spans="1:30" s="8" customFormat="1" ht="12.75">
      <c r="A13" s="89"/>
      <c r="B13" s="292"/>
      <c r="C13" s="83"/>
      <c r="D13" s="83"/>
      <c r="E13" s="89"/>
      <c r="F13" s="83"/>
      <c r="G13" s="83"/>
      <c r="H13" s="83"/>
      <c r="I13" s="308"/>
      <c r="J13" s="83"/>
      <c r="K13" s="83"/>
      <c r="L13" s="83"/>
      <c r="M13" s="83"/>
      <c r="N13" s="83"/>
      <c r="O13" s="89"/>
      <c r="P13" s="89"/>
      <c r="Q13" s="89"/>
      <c r="R13" s="89"/>
      <c r="S13" s="89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99"/>
    </row>
    <row r="14" spans="1:30" s="34" customFormat="1" ht="19.5">
      <c r="A14" s="309"/>
      <c r="B14" s="35" t="str">
        <f>'TOT-0912'!B14</f>
        <v>Desde el 01 al 30 de septiembre de 2012</v>
      </c>
      <c r="C14" s="39"/>
      <c r="D14" s="39"/>
      <c r="E14" s="310"/>
      <c r="F14" s="311"/>
      <c r="G14" s="311"/>
      <c r="H14" s="311"/>
      <c r="I14" s="311"/>
      <c r="J14" s="311"/>
      <c r="K14" s="311"/>
      <c r="L14" s="311"/>
      <c r="M14" s="311"/>
      <c r="N14" s="311"/>
      <c r="O14" s="310"/>
      <c r="P14" s="310"/>
      <c r="Q14" s="310"/>
      <c r="R14" s="310"/>
      <c r="S14" s="310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2"/>
    </row>
    <row r="15" spans="1:30" s="8" customFormat="1" ht="13.5" thickBot="1">
      <c r="A15" s="89"/>
      <c r="B15" s="292"/>
      <c r="C15" s="83"/>
      <c r="D15" s="83"/>
      <c r="E15" s="89"/>
      <c r="F15" s="83"/>
      <c r="G15" s="83"/>
      <c r="H15" s="83"/>
      <c r="I15" s="308"/>
      <c r="J15" s="83"/>
      <c r="K15" s="83"/>
      <c r="L15" s="83"/>
      <c r="M15" s="83"/>
      <c r="N15" s="83"/>
      <c r="O15" s="89"/>
      <c r="P15" s="89"/>
      <c r="Q15" s="89"/>
      <c r="R15" s="89"/>
      <c r="S15" s="89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99"/>
    </row>
    <row r="16" spans="1:30" s="8" customFormat="1" ht="16.5" customHeight="1" thickBot="1" thickTop="1">
      <c r="A16" s="89"/>
      <c r="B16" s="292"/>
      <c r="C16" s="83"/>
      <c r="D16" s="83"/>
      <c r="E16" s="89"/>
      <c r="F16" s="313" t="s">
        <v>56</v>
      </c>
      <c r="G16" s="314"/>
      <c r="H16" s="315">
        <v>0.697</v>
      </c>
      <c r="J16" s="89"/>
      <c r="K16" s="89"/>
      <c r="L16" s="89"/>
      <c r="M16" s="89"/>
      <c r="N16" s="89"/>
      <c r="O16" s="89"/>
      <c r="P16" s="89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99"/>
    </row>
    <row r="17" spans="1:30" s="8" customFormat="1" ht="16.5" customHeight="1" thickBot="1" thickTop="1">
      <c r="A17" s="89"/>
      <c r="B17" s="292"/>
      <c r="C17" s="83"/>
      <c r="D17" s="83"/>
      <c r="E17" s="89"/>
      <c r="F17" s="316" t="s">
        <v>57</v>
      </c>
      <c r="G17" s="317"/>
      <c r="H17" s="318">
        <v>200</v>
      </c>
      <c r="I17" s="9"/>
      <c r="J17" s="83"/>
      <c r="K17" s="107"/>
      <c r="L17" s="108"/>
      <c r="M17" s="11"/>
      <c r="N17" s="83"/>
      <c r="O17" s="83"/>
      <c r="P17" s="83"/>
      <c r="Q17" s="83"/>
      <c r="R17" s="83"/>
      <c r="S17" s="83"/>
      <c r="T17" s="83"/>
      <c r="U17" s="83"/>
      <c r="V17" s="83"/>
      <c r="W17" s="319"/>
      <c r="X17" s="319"/>
      <c r="Y17" s="319"/>
      <c r="Z17" s="319"/>
      <c r="AA17" s="319"/>
      <c r="AB17" s="319"/>
      <c r="AC17" s="89"/>
      <c r="AD17" s="99"/>
    </row>
    <row r="18" spans="1:30" s="8" customFormat="1" ht="16.5" customHeight="1" thickBot="1" thickTop="1">
      <c r="A18" s="89"/>
      <c r="B18" s="292"/>
      <c r="C18" s="320">
        <v>3</v>
      </c>
      <c r="D18" s="320">
        <v>4</v>
      </c>
      <c r="E18" s="320">
        <v>5</v>
      </c>
      <c r="F18" s="320">
        <v>6</v>
      </c>
      <c r="G18" s="320">
        <v>7</v>
      </c>
      <c r="H18" s="320">
        <v>8</v>
      </c>
      <c r="I18" s="320">
        <v>9</v>
      </c>
      <c r="J18" s="320">
        <v>10</v>
      </c>
      <c r="K18" s="320">
        <v>11</v>
      </c>
      <c r="L18" s="320">
        <v>12</v>
      </c>
      <c r="M18" s="320">
        <v>13</v>
      </c>
      <c r="N18" s="320">
        <v>14</v>
      </c>
      <c r="O18" s="320">
        <v>15</v>
      </c>
      <c r="P18" s="320">
        <v>16</v>
      </c>
      <c r="Q18" s="320">
        <v>17</v>
      </c>
      <c r="R18" s="320">
        <v>18</v>
      </c>
      <c r="S18" s="320">
        <v>19</v>
      </c>
      <c r="T18" s="320">
        <v>20</v>
      </c>
      <c r="U18" s="320">
        <v>21</v>
      </c>
      <c r="V18" s="320">
        <v>22</v>
      </c>
      <c r="W18" s="320">
        <v>23</v>
      </c>
      <c r="X18" s="320">
        <v>24</v>
      </c>
      <c r="Y18" s="320">
        <v>25</v>
      </c>
      <c r="Z18" s="320">
        <v>26</v>
      </c>
      <c r="AA18" s="320">
        <v>27</v>
      </c>
      <c r="AB18" s="320">
        <v>28</v>
      </c>
      <c r="AC18" s="320">
        <v>29</v>
      </c>
      <c r="AD18" s="99"/>
    </row>
    <row r="19" spans="1:30" s="8" customFormat="1" ht="33.75" customHeight="1" thickBot="1" thickTop="1">
      <c r="A19" s="89"/>
      <c r="B19" s="292"/>
      <c r="C19" s="321" t="s">
        <v>28</v>
      </c>
      <c r="D19" s="111" t="s">
        <v>29</v>
      </c>
      <c r="E19" s="111" t="s">
        <v>30</v>
      </c>
      <c r="F19" s="322" t="s">
        <v>58</v>
      </c>
      <c r="G19" s="323" t="s">
        <v>59</v>
      </c>
      <c r="H19" s="324" t="s">
        <v>60</v>
      </c>
      <c r="I19" s="325" t="s">
        <v>31</v>
      </c>
      <c r="J19" s="326" t="s">
        <v>35</v>
      </c>
      <c r="K19" s="323" t="s">
        <v>36</v>
      </c>
      <c r="L19" s="323" t="s">
        <v>37</v>
      </c>
      <c r="M19" s="322" t="s">
        <v>61</v>
      </c>
      <c r="N19" s="322" t="s">
        <v>39</v>
      </c>
      <c r="O19" s="119" t="s">
        <v>254</v>
      </c>
      <c r="P19" s="119" t="s">
        <v>40</v>
      </c>
      <c r="Q19" s="327" t="s">
        <v>42</v>
      </c>
      <c r="R19" s="323" t="s">
        <v>62</v>
      </c>
      <c r="S19" s="328" t="s">
        <v>34</v>
      </c>
      <c r="T19" s="329" t="s">
        <v>43</v>
      </c>
      <c r="U19" s="330" t="s">
        <v>44</v>
      </c>
      <c r="V19" s="122" t="s">
        <v>63</v>
      </c>
      <c r="W19" s="124"/>
      <c r="X19" s="331" t="s">
        <v>64</v>
      </c>
      <c r="Y19" s="332"/>
      <c r="Z19" s="333" t="s">
        <v>47</v>
      </c>
      <c r="AA19" s="334" t="s">
        <v>48</v>
      </c>
      <c r="AB19" s="130" t="s">
        <v>49</v>
      </c>
      <c r="AC19" s="325" t="s">
        <v>50</v>
      </c>
      <c r="AD19" s="99"/>
    </row>
    <row r="20" spans="1:30" s="8" customFormat="1" ht="16.5" customHeight="1" thickTop="1">
      <c r="A20" s="89"/>
      <c r="B20" s="292"/>
      <c r="C20" s="335"/>
      <c r="D20" s="335"/>
      <c r="E20" s="335"/>
      <c r="F20" s="335"/>
      <c r="G20" s="335"/>
      <c r="H20" s="335"/>
      <c r="I20" s="336"/>
      <c r="J20" s="337"/>
      <c r="K20" s="335"/>
      <c r="L20" s="335"/>
      <c r="M20" s="335"/>
      <c r="N20" s="335"/>
      <c r="O20" s="335"/>
      <c r="P20" s="132"/>
      <c r="Q20" s="338"/>
      <c r="R20" s="335"/>
      <c r="S20" s="339"/>
      <c r="T20" s="340"/>
      <c r="U20" s="341"/>
      <c r="V20" s="342"/>
      <c r="W20" s="343"/>
      <c r="X20" s="344"/>
      <c r="Y20" s="345"/>
      <c r="Z20" s="346"/>
      <c r="AA20" s="347"/>
      <c r="AB20" s="338"/>
      <c r="AC20" s="348"/>
      <c r="AD20" s="99"/>
    </row>
    <row r="21" spans="1:30" s="8" customFormat="1" ht="16.5" customHeight="1">
      <c r="A21" s="89"/>
      <c r="B21" s="292"/>
      <c r="C21" s="150"/>
      <c r="D21" s="150"/>
      <c r="E21" s="150"/>
      <c r="F21" s="150"/>
      <c r="G21" s="150"/>
      <c r="H21" s="150"/>
      <c r="I21" s="349"/>
      <c r="J21" s="350"/>
      <c r="K21" s="150"/>
      <c r="L21" s="150"/>
      <c r="M21" s="150"/>
      <c r="N21" s="150"/>
      <c r="O21" s="150"/>
      <c r="P21" s="157"/>
      <c r="Q21" s="351"/>
      <c r="R21" s="150"/>
      <c r="S21" s="352"/>
      <c r="T21" s="353"/>
      <c r="U21" s="354"/>
      <c r="V21" s="355"/>
      <c r="W21" s="356"/>
      <c r="X21" s="357"/>
      <c r="Y21" s="358"/>
      <c r="Z21" s="359"/>
      <c r="AA21" s="360"/>
      <c r="AB21" s="351"/>
      <c r="AC21" s="361"/>
      <c r="AD21" s="99"/>
    </row>
    <row r="22" spans="1:30" s="8" customFormat="1" ht="16.5" customHeight="1">
      <c r="A22" s="89"/>
      <c r="B22" s="292"/>
      <c r="C22" s="169">
        <v>31</v>
      </c>
      <c r="D22" s="169">
        <v>250984</v>
      </c>
      <c r="E22" s="169">
        <v>69</v>
      </c>
      <c r="F22" s="362" t="s">
        <v>270</v>
      </c>
      <c r="G22" s="363" t="s">
        <v>271</v>
      </c>
      <c r="H22" s="364">
        <v>300</v>
      </c>
      <c r="I22" s="803" t="s">
        <v>80</v>
      </c>
      <c r="J22" s="366">
        <f aca="true" t="shared" si="0" ref="J22:J41">H22*$H$16</f>
        <v>209.1</v>
      </c>
      <c r="K22" s="367">
        <v>41154.35</v>
      </c>
      <c r="L22" s="367">
        <v>41154.70347222222</v>
      </c>
      <c r="M22" s="368">
        <f aca="true" t="shared" si="1" ref="M22:M41">IF(F22="","",(L22-K22)*24)</f>
        <v>8.483333333395422</v>
      </c>
      <c r="N22" s="369">
        <f aca="true" t="shared" si="2" ref="N22:N41">IF(F22="","",ROUND((L22-K22)*24*60,0))</f>
        <v>509</v>
      </c>
      <c r="O22" s="370" t="s">
        <v>259</v>
      </c>
      <c r="P22" s="274" t="str">
        <f aca="true" t="shared" si="3" ref="P22:P41">IF(F22="","","--")</f>
        <v>--</v>
      </c>
      <c r="Q22" s="371" t="str">
        <f aca="true" t="shared" si="4" ref="Q22:Q41">IF(F22="","",IF(OR(O22="P",O22="RP"),"--","NO"))</f>
        <v>--</v>
      </c>
      <c r="R22" s="180" t="str">
        <f aca="true" t="shared" si="5" ref="R22:R41">IF(F22="","","NO")</f>
        <v>NO</v>
      </c>
      <c r="S22" s="372">
        <f aca="true" t="shared" si="6" ref="S22:S41">$H$17*IF(OR(O22="P",O22="RP"),0.1,1)*IF(R22="SI",1,0.1)</f>
        <v>2</v>
      </c>
      <c r="T22" s="373">
        <f aca="true" t="shared" si="7" ref="T22:T41">IF(O22="P",J22*S22*ROUND(N22/60,2),"--")</f>
        <v>3546.3360000000002</v>
      </c>
      <c r="U22" s="374" t="str">
        <f aca="true" t="shared" si="8" ref="U22:U41">IF(O22="RP",J22*S22*P22/100*ROUND(N22/60,2),"--")</f>
        <v>--</v>
      </c>
      <c r="V22" s="375" t="str">
        <f aca="true" t="shared" si="9" ref="V22:V41">IF(AND(O22="F",Q22="NO"),J22*S22,"--")</f>
        <v>--</v>
      </c>
      <c r="W22" s="376" t="str">
        <f aca="true" t="shared" si="10" ref="W22:W41">IF(O22="F",J22*S22*ROUND(N22/60,2),"--")</f>
        <v>--</v>
      </c>
      <c r="X22" s="377" t="str">
        <f aca="true" t="shared" si="11" ref="X22:X41">IF(AND(O22="R",Q22="NO"),J22*S22*P22/100,"--")</f>
        <v>--</v>
      </c>
      <c r="Y22" s="378" t="str">
        <f aca="true" t="shared" si="12" ref="Y22:Y41">IF(O22="R",J22*S22*P22/100*ROUND(N22/60,2),"--")</f>
        <v>--</v>
      </c>
      <c r="Z22" s="379" t="str">
        <f aca="true" t="shared" si="13" ref="Z22:Z41">IF(O22="RF",J22*S22*ROUND(N22/60,2),"--")</f>
        <v>--</v>
      </c>
      <c r="AA22" s="380" t="str">
        <f aca="true" t="shared" si="14" ref="AA22:AA41">IF(O22="RR",J22*S22*P22/100*ROUND(N22/60,2),"--")</f>
        <v>--</v>
      </c>
      <c r="AB22" s="381" t="s">
        <v>79</v>
      </c>
      <c r="AC22" s="192">
        <f aca="true" t="shared" si="15" ref="AC22:AC41">IF(F22="","",(SUM(T22:AA22)*IF(AB22="SI",1,2)*IF(AND(P22&lt;&gt;"--",O22="RF"),P22/100,1)))</f>
        <v>3546.3360000000002</v>
      </c>
      <c r="AD22" s="99"/>
    </row>
    <row r="23" spans="1:30" s="8" customFormat="1" ht="16.5" customHeight="1">
      <c r="A23" s="89"/>
      <c r="B23" s="292"/>
      <c r="C23" s="150">
        <v>32</v>
      </c>
      <c r="D23" s="150">
        <v>251384</v>
      </c>
      <c r="E23" s="150">
        <v>72</v>
      </c>
      <c r="F23" s="362" t="s">
        <v>272</v>
      </c>
      <c r="G23" s="363" t="s">
        <v>273</v>
      </c>
      <c r="H23" s="364">
        <v>300</v>
      </c>
      <c r="I23" s="803" t="s">
        <v>361</v>
      </c>
      <c r="J23" s="366">
        <f t="shared" si="0"/>
        <v>209.1</v>
      </c>
      <c r="K23" s="367">
        <v>41159.40416666667</v>
      </c>
      <c r="L23" s="367">
        <v>41159.53472222222</v>
      </c>
      <c r="M23" s="368">
        <f t="shared" si="1"/>
        <v>3.1333333332440816</v>
      </c>
      <c r="N23" s="369">
        <f t="shared" si="2"/>
        <v>188</v>
      </c>
      <c r="O23" s="370" t="s">
        <v>259</v>
      </c>
      <c r="P23" s="274" t="str">
        <f t="shared" si="3"/>
        <v>--</v>
      </c>
      <c r="Q23" s="371" t="str">
        <f t="shared" si="4"/>
        <v>--</v>
      </c>
      <c r="R23" s="180" t="str">
        <f t="shared" si="5"/>
        <v>NO</v>
      </c>
      <c r="S23" s="372">
        <f t="shared" si="6"/>
        <v>2</v>
      </c>
      <c r="T23" s="373">
        <f t="shared" si="7"/>
        <v>1308.966</v>
      </c>
      <c r="U23" s="374" t="str">
        <f t="shared" si="8"/>
        <v>--</v>
      </c>
      <c r="V23" s="375" t="str">
        <f t="shared" si="9"/>
        <v>--</v>
      </c>
      <c r="W23" s="376" t="str">
        <f t="shared" si="10"/>
        <v>--</v>
      </c>
      <c r="X23" s="377" t="str">
        <f t="shared" si="11"/>
        <v>--</v>
      </c>
      <c r="Y23" s="378" t="str">
        <f t="shared" si="12"/>
        <v>--</v>
      </c>
      <c r="Z23" s="379" t="str">
        <f t="shared" si="13"/>
        <v>--</v>
      </c>
      <c r="AA23" s="380" t="str">
        <f t="shared" si="14"/>
        <v>--</v>
      </c>
      <c r="AB23" s="381" t="s">
        <v>79</v>
      </c>
      <c r="AC23" s="192">
        <f t="shared" si="15"/>
        <v>1308.966</v>
      </c>
      <c r="AD23" s="99"/>
    </row>
    <row r="24" spans="1:30" s="8" customFormat="1" ht="16.5" customHeight="1">
      <c r="A24" s="89"/>
      <c r="B24" s="292"/>
      <c r="C24" s="169">
        <v>33</v>
      </c>
      <c r="D24" s="169">
        <v>251390</v>
      </c>
      <c r="E24" s="169">
        <v>70</v>
      </c>
      <c r="F24" s="362" t="s">
        <v>274</v>
      </c>
      <c r="G24" s="363" t="s">
        <v>271</v>
      </c>
      <c r="H24" s="364">
        <v>150</v>
      </c>
      <c r="I24" s="803" t="s">
        <v>82</v>
      </c>
      <c r="J24" s="366">
        <f t="shared" si="0"/>
        <v>104.55</v>
      </c>
      <c r="K24" s="367">
        <v>41161.347916666666</v>
      </c>
      <c r="L24" s="367">
        <v>41161.68680555555</v>
      </c>
      <c r="M24" s="368">
        <f t="shared" si="1"/>
        <v>8.13333333330229</v>
      </c>
      <c r="N24" s="369">
        <f t="shared" si="2"/>
        <v>488</v>
      </c>
      <c r="O24" s="370" t="s">
        <v>259</v>
      </c>
      <c r="P24" s="274" t="str">
        <f t="shared" si="3"/>
        <v>--</v>
      </c>
      <c r="Q24" s="371" t="str">
        <f t="shared" si="4"/>
        <v>--</v>
      </c>
      <c r="R24" s="180" t="str">
        <f t="shared" si="5"/>
        <v>NO</v>
      </c>
      <c r="S24" s="372">
        <f t="shared" si="6"/>
        <v>2</v>
      </c>
      <c r="T24" s="373">
        <f t="shared" si="7"/>
        <v>1699.9830000000002</v>
      </c>
      <c r="U24" s="374" t="str">
        <f t="shared" si="8"/>
        <v>--</v>
      </c>
      <c r="V24" s="375" t="str">
        <f t="shared" si="9"/>
        <v>--</v>
      </c>
      <c r="W24" s="376" t="str">
        <f t="shared" si="10"/>
        <v>--</v>
      </c>
      <c r="X24" s="377" t="str">
        <f t="shared" si="11"/>
        <v>--</v>
      </c>
      <c r="Y24" s="378" t="str">
        <f t="shared" si="12"/>
        <v>--</v>
      </c>
      <c r="Z24" s="379" t="str">
        <f t="shared" si="13"/>
        <v>--</v>
      </c>
      <c r="AA24" s="380" t="str">
        <f t="shared" si="14"/>
        <v>--</v>
      </c>
      <c r="AB24" s="381" t="s">
        <v>79</v>
      </c>
      <c r="AC24" s="192">
        <f t="shared" si="15"/>
        <v>1699.9830000000002</v>
      </c>
      <c r="AD24" s="99"/>
    </row>
    <row r="25" spans="1:30" s="8" customFormat="1" ht="16.5" customHeight="1">
      <c r="A25" s="89"/>
      <c r="B25" s="292"/>
      <c r="C25" s="150">
        <v>34</v>
      </c>
      <c r="D25" s="150">
        <v>251391</v>
      </c>
      <c r="E25" s="150">
        <v>67</v>
      </c>
      <c r="F25" s="362" t="s">
        <v>275</v>
      </c>
      <c r="G25" s="363" t="s">
        <v>276</v>
      </c>
      <c r="H25" s="364">
        <v>300</v>
      </c>
      <c r="I25" s="803" t="s">
        <v>80</v>
      </c>
      <c r="J25" s="366">
        <f t="shared" si="0"/>
        <v>209.1</v>
      </c>
      <c r="K25" s="367">
        <v>41161.38055555556</v>
      </c>
      <c r="L25" s="367">
        <v>41161.686111111114</v>
      </c>
      <c r="M25" s="368">
        <f t="shared" si="1"/>
        <v>7.333333333313931</v>
      </c>
      <c r="N25" s="369">
        <f t="shared" si="2"/>
        <v>440</v>
      </c>
      <c r="O25" s="370" t="s">
        <v>259</v>
      </c>
      <c r="P25" s="274" t="str">
        <f t="shared" si="3"/>
        <v>--</v>
      </c>
      <c r="Q25" s="371" t="str">
        <f t="shared" si="4"/>
        <v>--</v>
      </c>
      <c r="R25" s="180" t="str">
        <f t="shared" si="5"/>
        <v>NO</v>
      </c>
      <c r="S25" s="372">
        <f t="shared" si="6"/>
        <v>2</v>
      </c>
      <c r="T25" s="373">
        <f t="shared" si="7"/>
        <v>3065.406</v>
      </c>
      <c r="U25" s="374" t="str">
        <f t="shared" si="8"/>
        <v>--</v>
      </c>
      <c r="V25" s="375" t="str">
        <f t="shared" si="9"/>
        <v>--</v>
      </c>
      <c r="W25" s="376" t="str">
        <f t="shared" si="10"/>
        <v>--</v>
      </c>
      <c r="X25" s="377" t="str">
        <f t="shared" si="11"/>
        <v>--</v>
      </c>
      <c r="Y25" s="378" t="str">
        <f t="shared" si="12"/>
        <v>--</v>
      </c>
      <c r="Z25" s="379" t="str">
        <f t="shared" si="13"/>
        <v>--</v>
      </c>
      <c r="AA25" s="380" t="str">
        <f t="shared" si="14"/>
        <v>--</v>
      </c>
      <c r="AB25" s="381" t="s">
        <v>79</v>
      </c>
      <c r="AC25" s="192">
        <f t="shared" si="15"/>
        <v>3065.406</v>
      </c>
      <c r="AD25" s="99"/>
    </row>
    <row r="26" spans="1:30" s="8" customFormat="1" ht="16.5" customHeight="1">
      <c r="A26" s="89"/>
      <c r="B26" s="292"/>
      <c r="C26" s="169">
        <v>35</v>
      </c>
      <c r="D26" s="169">
        <v>251587</v>
      </c>
      <c r="E26" s="169">
        <v>3803</v>
      </c>
      <c r="F26" s="362" t="s">
        <v>277</v>
      </c>
      <c r="G26" s="363" t="s">
        <v>271</v>
      </c>
      <c r="H26" s="364">
        <v>150</v>
      </c>
      <c r="I26" s="618" t="s">
        <v>80</v>
      </c>
      <c r="J26" s="366">
        <f t="shared" si="0"/>
        <v>104.55</v>
      </c>
      <c r="K26" s="367">
        <v>41163.37708333333</v>
      </c>
      <c r="L26" s="367">
        <v>41163.73611111111</v>
      </c>
      <c r="M26" s="368">
        <f t="shared" si="1"/>
        <v>8.616666666639503</v>
      </c>
      <c r="N26" s="369">
        <f t="shared" si="2"/>
        <v>517</v>
      </c>
      <c r="O26" s="370" t="s">
        <v>259</v>
      </c>
      <c r="P26" s="274" t="str">
        <f t="shared" si="3"/>
        <v>--</v>
      </c>
      <c r="Q26" s="371" t="str">
        <f t="shared" si="4"/>
        <v>--</v>
      </c>
      <c r="R26" s="180" t="str">
        <f t="shared" si="5"/>
        <v>NO</v>
      </c>
      <c r="S26" s="372">
        <f t="shared" si="6"/>
        <v>2</v>
      </c>
      <c r="T26" s="373">
        <f t="shared" si="7"/>
        <v>1802.4419999999998</v>
      </c>
      <c r="U26" s="374" t="str">
        <f t="shared" si="8"/>
        <v>--</v>
      </c>
      <c r="V26" s="375" t="str">
        <f t="shared" si="9"/>
        <v>--</v>
      </c>
      <c r="W26" s="376" t="str">
        <f t="shared" si="10"/>
        <v>--</v>
      </c>
      <c r="X26" s="377" t="str">
        <f t="shared" si="11"/>
        <v>--</v>
      </c>
      <c r="Y26" s="378" t="str">
        <f t="shared" si="12"/>
        <v>--</v>
      </c>
      <c r="Z26" s="379" t="str">
        <f t="shared" si="13"/>
        <v>--</v>
      </c>
      <c r="AA26" s="380" t="str">
        <f t="shared" si="14"/>
        <v>--</v>
      </c>
      <c r="AB26" s="381" t="s">
        <v>79</v>
      </c>
      <c r="AC26" s="192">
        <f t="shared" si="15"/>
        <v>1802.4419999999998</v>
      </c>
      <c r="AD26" s="99"/>
    </row>
    <row r="27" spans="1:30" s="8" customFormat="1" ht="16.5" customHeight="1">
      <c r="A27" s="89"/>
      <c r="B27" s="292"/>
      <c r="C27" s="150">
        <v>36</v>
      </c>
      <c r="D27" s="150">
        <v>251598</v>
      </c>
      <c r="E27" s="150">
        <v>3803</v>
      </c>
      <c r="F27" s="362" t="s">
        <v>277</v>
      </c>
      <c r="G27" s="363" t="s">
        <v>271</v>
      </c>
      <c r="H27" s="364">
        <v>150</v>
      </c>
      <c r="I27" s="618" t="s">
        <v>80</v>
      </c>
      <c r="J27" s="366">
        <f t="shared" si="0"/>
        <v>104.55</v>
      </c>
      <c r="K27" s="367">
        <v>41164.37847222222</v>
      </c>
      <c r="L27" s="367">
        <v>41164.73819444444</v>
      </c>
      <c r="M27" s="368">
        <f t="shared" si="1"/>
        <v>8.633333333360497</v>
      </c>
      <c r="N27" s="369">
        <f t="shared" si="2"/>
        <v>518</v>
      </c>
      <c r="O27" s="370" t="s">
        <v>259</v>
      </c>
      <c r="P27" s="274" t="str">
        <f t="shared" si="3"/>
        <v>--</v>
      </c>
      <c r="Q27" s="371" t="str">
        <f t="shared" si="4"/>
        <v>--</v>
      </c>
      <c r="R27" s="180" t="str">
        <f t="shared" si="5"/>
        <v>NO</v>
      </c>
      <c r="S27" s="372">
        <f t="shared" si="6"/>
        <v>2</v>
      </c>
      <c r="T27" s="373">
        <f t="shared" si="7"/>
        <v>1804.5330000000001</v>
      </c>
      <c r="U27" s="374" t="str">
        <f t="shared" si="8"/>
        <v>--</v>
      </c>
      <c r="V27" s="375" t="str">
        <f t="shared" si="9"/>
        <v>--</v>
      </c>
      <c r="W27" s="376" t="str">
        <f t="shared" si="10"/>
        <v>--</v>
      </c>
      <c r="X27" s="377" t="str">
        <f t="shared" si="11"/>
        <v>--</v>
      </c>
      <c r="Y27" s="378" t="str">
        <f t="shared" si="12"/>
        <v>--</v>
      </c>
      <c r="Z27" s="379" t="str">
        <f t="shared" si="13"/>
        <v>--</v>
      </c>
      <c r="AA27" s="380" t="str">
        <f t="shared" si="14"/>
        <v>--</v>
      </c>
      <c r="AB27" s="381" t="s">
        <v>79</v>
      </c>
      <c r="AC27" s="192">
        <f t="shared" si="15"/>
        <v>1804.5330000000001</v>
      </c>
      <c r="AD27" s="99"/>
    </row>
    <row r="28" spans="1:31" s="8" customFormat="1" ht="16.5" customHeight="1">
      <c r="A28" s="89"/>
      <c r="B28" s="292"/>
      <c r="C28" s="169">
        <v>37</v>
      </c>
      <c r="D28" s="169">
        <v>251613</v>
      </c>
      <c r="E28" s="169">
        <v>3803</v>
      </c>
      <c r="F28" s="362" t="s">
        <v>277</v>
      </c>
      <c r="G28" s="363" t="s">
        <v>271</v>
      </c>
      <c r="H28" s="364">
        <v>150</v>
      </c>
      <c r="I28" s="618" t="s">
        <v>80</v>
      </c>
      <c r="J28" s="366">
        <f t="shared" si="0"/>
        <v>104.55</v>
      </c>
      <c r="K28" s="367">
        <v>41165.36111111111</v>
      </c>
      <c r="L28" s="367">
        <v>41165.72361111111</v>
      </c>
      <c r="M28" s="368">
        <f t="shared" si="1"/>
        <v>8.70000000006985</v>
      </c>
      <c r="N28" s="369">
        <f t="shared" si="2"/>
        <v>522</v>
      </c>
      <c r="O28" s="370" t="s">
        <v>259</v>
      </c>
      <c r="P28" s="274" t="str">
        <f t="shared" si="3"/>
        <v>--</v>
      </c>
      <c r="Q28" s="371" t="str">
        <f t="shared" si="4"/>
        <v>--</v>
      </c>
      <c r="R28" s="180" t="str">
        <f t="shared" si="5"/>
        <v>NO</v>
      </c>
      <c r="S28" s="372">
        <f t="shared" si="6"/>
        <v>2</v>
      </c>
      <c r="T28" s="373">
        <f t="shared" si="7"/>
        <v>1819.1699999999998</v>
      </c>
      <c r="U28" s="374" t="str">
        <f t="shared" si="8"/>
        <v>--</v>
      </c>
      <c r="V28" s="375" t="str">
        <f t="shared" si="9"/>
        <v>--</v>
      </c>
      <c r="W28" s="376" t="str">
        <f t="shared" si="10"/>
        <v>--</v>
      </c>
      <c r="X28" s="377" t="str">
        <f t="shared" si="11"/>
        <v>--</v>
      </c>
      <c r="Y28" s="378" t="str">
        <f t="shared" si="12"/>
        <v>--</v>
      </c>
      <c r="Z28" s="379" t="str">
        <f t="shared" si="13"/>
        <v>--</v>
      </c>
      <c r="AA28" s="380" t="str">
        <f t="shared" si="14"/>
        <v>--</v>
      </c>
      <c r="AB28" s="381" t="s">
        <v>79</v>
      </c>
      <c r="AC28" s="192">
        <f t="shared" si="15"/>
        <v>1819.1699999999998</v>
      </c>
      <c r="AD28" s="99"/>
      <c r="AE28" s="83"/>
    </row>
    <row r="29" spans="1:30" s="8" customFormat="1" ht="16.5" customHeight="1">
      <c r="A29" s="89"/>
      <c r="B29" s="292"/>
      <c r="C29" s="150">
        <v>38</v>
      </c>
      <c r="D29" s="150">
        <v>251622</v>
      </c>
      <c r="E29" s="150">
        <v>3803</v>
      </c>
      <c r="F29" s="362" t="s">
        <v>277</v>
      </c>
      <c r="G29" s="363" t="s">
        <v>271</v>
      </c>
      <c r="H29" s="364">
        <v>150</v>
      </c>
      <c r="I29" s="618" t="s">
        <v>80</v>
      </c>
      <c r="J29" s="366">
        <f t="shared" si="0"/>
        <v>104.55</v>
      </c>
      <c r="K29" s="367">
        <v>41166.37152777778</v>
      </c>
      <c r="L29" s="367">
        <v>41166.69513888889</v>
      </c>
      <c r="M29" s="368">
        <f t="shared" si="1"/>
        <v>7.766666666662786</v>
      </c>
      <c r="N29" s="369">
        <f t="shared" si="2"/>
        <v>466</v>
      </c>
      <c r="O29" s="370" t="s">
        <v>259</v>
      </c>
      <c r="P29" s="274" t="str">
        <f t="shared" si="3"/>
        <v>--</v>
      </c>
      <c r="Q29" s="371" t="str">
        <f t="shared" si="4"/>
        <v>--</v>
      </c>
      <c r="R29" s="180" t="str">
        <f t="shared" si="5"/>
        <v>NO</v>
      </c>
      <c r="S29" s="372">
        <f t="shared" si="6"/>
        <v>2</v>
      </c>
      <c r="T29" s="373">
        <f t="shared" si="7"/>
        <v>1624.7069999999999</v>
      </c>
      <c r="U29" s="374" t="str">
        <f t="shared" si="8"/>
        <v>--</v>
      </c>
      <c r="V29" s="375" t="str">
        <f t="shared" si="9"/>
        <v>--</v>
      </c>
      <c r="W29" s="376" t="str">
        <f t="shared" si="10"/>
        <v>--</v>
      </c>
      <c r="X29" s="377" t="str">
        <f t="shared" si="11"/>
        <v>--</v>
      </c>
      <c r="Y29" s="378" t="str">
        <f t="shared" si="12"/>
        <v>--</v>
      </c>
      <c r="Z29" s="379" t="str">
        <f t="shared" si="13"/>
        <v>--</v>
      </c>
      <c r="AA29" s="380" t="str">
        <f t="shared" si="14"/>
        <v>--</v>
      </c>
      <c r="AB29" s="381" t="s">
        <v>79</v>
      </c>
      <c r="AC29" s="192">
        <f t="shared" si="15"/>
        <v>1624.7069999999999</v>
      </c>
      <c r="AD29" s="99"/>
    </row>
    <row r="30" spans="1:30" s="8" customFormat="1" ht="16.5" customHeight="1">
      <c r="A30" s="89"/>
      <c r="B30" s="292"/>
      <c r="C30" s="169">
        <v>39</v>
      </c>
      <c r="D30" s="169">
        <v>251626</v>
      </c>
      <c r="E30" s="169">
        <v>1689</v>
      </c>
      <c r="F30" s="362" t="s">
        <v>278</v>
      </c>
      <c r="G30" s="363" t="s">
        <v>279</v>
      </c>
      <c r="H30" s="364">
        <v>150</v>
      </c>
      <c r="I30" s="618" t="s">
        <v>82</v>
      </c>
      <c r="J30" s="366">
        <f t="shared" si="0"/>
        <v>104.55</v>
      </c>
      <c r="K30" s="367">
        <v>41166.44027777778</v>
      </c>
      <c r="L30" s="367">
        <v>41166.65</v>
      </c>
      <c r="M30" s="368">
        <f t="shared" si="1"/>
        <v>5.033333333325572</v>
      </c>
      <c r="N30" s="369">
        <f t="shared" si="2"/>
        <v>302</v>
      </c>
      <c r="O30" s="370" t="s">
        <v>259</v>
      </c>
      <c r="P30" s="274" t="str">
        <f t="shared" si="3"/>
        <v>--</v>
      </c>
      <c r="Q30" s="371" t="str">
        <f t="shared" si="4"/>
        <v>--</v>
      </c>
      <c r="R30" s="180" t="str">
        <f t="shared" si="5"/>
        <v>NO</v>
      </c>
      <c r="S30" s="372">
        <f t="shared" si="6"/>
        <v>2</v>
      </c>
      <c r="T30" s="373">
        <f t="shared" si="7"/>
        <v>1051.773</v>
      </c>
      <c r="U30" s="374" t="str">
        <f t="shared" si="8"/>
        <v>--</v>
      </c>
      <c r="V30" s="375" t="str">
        <f t="shared" si="9"/>
        <v>--</v>
      </c>
      <c r="W30" s="376" t="str">
        <f t="shared" si="10"/>
        <v>--</v>
      </c>
      <c r="X30" s="377" t="str">
        <f t="shared" si="11"/>
        <v>--</v>
      </c>
      <c r="Y30" s="378" t="str">
        <f t="shared" si="12"/>
        <v>--</v>
      </c>
      <c r="Z30" s="379" t="str">
        <f t="shared" si="13"/>
        <v>--</v>
      </c>
      <c r="AA30" s="380" t="str">
        <f t="shared" si="14"/>
        <v>--</v>
      </c>
      <c r="AB30" s="381" t="s">
        <v>79</v>
      </c>
      <c r="AC30" s="192">
        <v>0</v>
      </c>
      <c r="AD30" s="99"/>
    </row>
    <row r="31" spans="1:30" s="8" customFormat="1" ht="16.5" customHeight="1">
      <c r="A31" s="89"/>
      <c r="B31" s="292"/>
      <c r="C31" s="150">
        <v>40</v>
      </c>
      <c r="D31" s="150">
        <v>251632</v>
      </c>
      <c r="E31" s="150">
        <v>81</v>
      </c>
      <c r="F31" s="362" t="s">
        <v>280</v>
      </c>
      <c r="G31" s="363" t="s">
        <v>271</v>
      </c>
      <c r="H31" s="364">
        <v>300</v>
      </c>
      <c r="I31" s="803" t="s">
        <v>80</v>
      </c>
      <c r="J31" s="366">
        <f t="shared" si="0"/>
        <v>209.1</v>
      </c>
      <c r="K31" s="367">
        <v>41168.35208333333</v>
      </c>
      <c r="L31" s="367">
        <v>41168.46319444444</v>
      </c>
      <c r="M31" s="368">
        <f t="shared" si="1"/>
        <v>2.6666666666278616</v>
      </c>
      <c r="N31" s="369">
        <f t="shared" si="2"/>
        <v>160</v>
      </c>
      <c r="O31" s="370" t="s">
        <v>259</v>
      </c>
      <c r="P31" s="274" t="str">
        <f t="shared" si="3"/>
        <v>--</v>
      </c>
      <c r="Q31" s="371" t="str">
        <f t="shared" si="4"/>
        <v>--</v>
      </c>
      <c r="R31" s="180" t="str">
        <f t="shared" si="5"/>
        <v>NO</v>
      </c>
      <c r="S31" s="372">
        <f t="shared" si="6"/>
        <v>2</v>
      </c>
      <c r="T31" s="373">
        <f t="shared" si="7"/>
        <v>1116.594</v>
      </c>
      <c r="U31" s="374" t="str">
        <f t="shared" si="8"/>
        <v>--</v>
      </c>
      <c r="V31" s="375" t="str">
        <f t="shared" si="9"/>
        <v>--</v>
      </c>
      <c r="W31" s="376" t="str">
        <f t="shared" si="10"/>
        <v>--</v>
      </c>
      <c r="X31" s="377" t="str">
        <f t="shared" si="11"/>
        <v>--</v>
      </c>
      <c r="Y31" s="378" t="str">
        <f t="shared" si="12"/>
        <v>--</v>
      </c>
      <c r="Z31" s="379" t="str">
        <f t="shared" si="13"/>
        <v>--</v>
      </c>
      <c r="AA31" s="380" t="str">
        <f t="shared" si="14"/>
        <v>--</v>
      </c>
      <c r="AB31" s="381" t="s">
        <v>79</v>
      </c>
      <c r="AC31" s="192">
        <f t="shared" si="15"/>
        <v>1116.594</v>
      </c>
      <c r="AD31" s="99"/>
    </row>
    <row r="32" spans="1:30" s="8" customFormat="1" ht="16.5" customHeight="1">
      <c r="A32" s="89"/>
      <c r="B32" s="292"/>
      <c r="C32" s="169">
        <v>41</v>
      </c>
      <c r="D32" s="169">
        <v>251839</v>
      </c>
      <c r="E32" s="169">
        <v>74</v>
      </c>
      <c r="F32" s="362" t="s">
        <v>272</v>
      </c>
      <c r="G32" s="382" t="s">
        <v>281</v>
      </c>
      <c r="H32" s="364">
        <v>300</v>
      </c>
      <c r="I32" s="803" t="s">
        <v>82</v>
      </c>
      <c r="J32" s="366">
        <f t="shared" si="0"/>
        <v>209.1</v>
      </c>
      <c r="K32" s="367">
        <v>41170.34652777778</v>
      </c>
      <c r="L32" s="367">
        <v>41170.413194444445</v>
      </c>
      <c r="M32" s="368">
        <f t="shared" si="1"/>
        <v>1.599999999976717</v>
      </c>
      <c r="N32" s="369">
        <f t="shared" si="2"/>
        <v>96</v>
      </c>
      <c r="O32" s="370" t="s">
        <v>259</v>
      </c>
      <c r="P32" s="274" t="str">
        <f t="shared" si="3"/>
        <v>--</v>
      </c>
      <c r="Q32" s="371" t="str">
        <f t="shared" si="4"/>
        <v>--</v>
      </c>
      <c r="R32" s="180" t="str">
        <f t="shared" si="5"/>
        <v>NO</v>
      </c>
      <c r="S32" s="372">
        <f t="shared" si="6"/>
        <v>2</v>
      </c>
      <c r="T32" s="373">
        <f t="shared" si="7"/>
        <v>669.12</v>
      </c>
      <c r="U32" s="374" t="str">
        <f t="shared" si="8"/>
        <v>--</v>
      </c>
      <c r="V32" s="375" t="str">
        <f t="shared" si="9"/>
        <v>--</v>
      </c>
      <c r="W32" s="376" t="str">
        <f t="shared" si="10"/>
        <v>--</v>
      </c>
      <c r="X32" s="377" t="str">
        <f t="shared" si="11"/>
        <v>--</v>
      </c>
      <c r="Y32" s="378" t="str">
        <f t="shared" si="12"/>
        <v>--</v>
      </c>
      <c r="Z32" s="379" t="str">
        <f t="shared" si="13"/>
        <v>--</v>
      </c>
      <c r="AA32" s="380" t="str">
        <f t="shared" si="14"/>
        <v>--</v>
      </c>
      <c r="AB32" s="381" t="s">
        <v>79</v>
      </c>
      <c r="AC32" s="192">
        <f t="shared" si="15"/>
        <v>669.12</v>
      </c>
      <c r="AD32" s="99"/>
    </row>
    <row r="33" spans="1:30" s="8" customFormat="1" ht="16.5" customHeight="1">
      <c r="A33" s="89"/>
      <c r="B33" s="292"/>
      <c r="C33" s="150">
        <v>42</v>
      </c>
      <c r="D33" s="150">
        <v>251843</v>
      </c>
      <c r="E33" s="150">
        <v>73</v>
      </c>
      <c r="F33" s="362" t="s">
        <v>272</v>
      </c>
      <c r="G33" s="382" t="s">
        <v>276</v>
      </c>
      <c r="H33" s="364">
        <v>300</v>
      </c>
      <c r="I33" s="803" t="s">
        <v>82</v>
      </c>
      <c r="J33" s="366">
        <f t="shared" si="0"/>
        <v>209.1</v>
      </c>
      <c r="K33" s="367">
        <v>41170.42152777778</v>
      </c>
      <c r="L33" s="367">
        <v>41170.498611111114</v>
      </c>
      <c r="M33" s="368">
        <f t="shared" si="1"/>
        <v>1.8500000000931323</v>
      </c>
      <c r="N33" s="369">
        <f t="shared" si="2"/>
        <v>111</v>
      </c>
      <c r="O33" s="370" t="s">
        <v>259</v>
      </c>
      <c r="P33" s="274" t="str">
        <f t="shared" si="3"/>
        <v>--</v>
      </c>
      <c r="Q33" s="371" t="str">
        <f t="shared" si="4"/>
        <v>--</v>
      </c>
      <c r="R33" s="180" t="str">
        <f t="shared" si="5"/>
        <v>NO</v>
      </c>
      <c r="S33" s="372">
        <f t="shared" si="6"/>
        <v>2</v>
      </c>
      <c r="T33" s="373">
        <f t="shared" si="7"/>
        <v>773.6700000000001</v>
      </c>
      <c r="U33" s="374" t="str">
        <f t="shared" si="8"/>
        <v>--</v>
      </c>
      <c r="V33" s="375" t="str">
        <f t="shared" si="9"/>
        <v>--</v>
      </c>
      <c r="W33" s="376" t="str">
        <f t="shared" si="10"/>
        <v>--</v>
      </c>
      <c r="X33" s="377" t="str">
        <f t="shared" si="11"/>
        <v>--</v>
      </c>
      <c r="Y33" s="378" t="str">
        <f t="shared" si="12"/>
        <v>--</v>
      </c>
      <c r="Z33" s="379" t="str">
        <f t="shared" si="13"/>
        <v>--</v>
      </c>
      <c r="AA33" s="380" t="str">
        <f t="shared" si="14"/>
        <v>--</v>
      </c>
      <c r="AB33" s="381" t="s">
        <v>79</v>
      </c>
      <c r="AC33" s="192">
        <f t="shared" si="15"/>
        <v>773.6700000000001</v>
      </c>
      <c r="AD33" s="99"/>
    </row>
    <row r="34" spans="1:30" s="8" customFormat="1" ht="16.5" customHeight="1">
      <c r="A34" s="89"/>
      <c r="B34" s="292"/>
      <c r="C34" s="169">
        <v>43</v>
      </c>
      <c r="D34" s="169">
        <v>251849</v>
      </c>
      <c r="E34" s="169">
        <v>60</v>
      </c>
      <c r="F34" s="362" t="s">
        <v>278</v>
      </c>
      <c r="G34" s="382" t="s">
        <v>282</v>
      </c>
      <c r="H34" s="364">
        <v>100</v>
      </c>
      <c r="I34" s="803" t="s">
        <v>82</v>
      </c>
      <c r="J34" s="366">
        <f t="shared" si="0"/>
        <v>69.69999999999999</v>
      </c>
      <c r="K34" s="367">
        <v>41172.427777777775</v>
      </c>
      <c r="L34" s="367">
        <v>41172.572916666664</v>
      </c>
      <c r="M34" s="368">
        <f t="shared" si="1"/>
        <v>3.483333333337214</v>
      </c>
      <c r="N34" s="369">
        <f t="shared" si="2"/>
        <v>209</v>
      </c>
      <c r="O34" s="370" t="s">
        <v>259</v>
      </c>
      <c r="P34" s="274" t="str">
        <f t="shared" si="3"/>
        <v>--</v>
      </c>
      <c r="Q34" s="371" t="str">
        <f t="shared" si="4"/>
        <v>--</v>
      </c>
      <c r="R34" s="180" t="str">
        <f t="shared" si="5"/>
        <v>NO</v>
      </c>
      <c r="S34" s="372">
        <f t="shared" si="6"/>
        <v>2</v>
      </c>
      <c r="T34" s="373">
        <f t="shared" si="7"/>
        <v>485.1119999999999</v>
      </c>
      <c r="U34" s="374" t="str">
        <f t="shared" si="8"/>
        <v>--</v>
      </c>
      <c r="V34" s="375" t="str">
        <f t="shared" si="9"/>
        <v>--</v>
      </c>
      <c r="W34" s="376" t="str">
        <f t="shared" si="10"/>
        <v>--</v>
      </c>
      <c r="X34" s="377" t="str">
        <f t="shared" si="11"/>
        <v>--</v>
      </c>
      <c r="Y34" s="378" t="str">
        <f t="shared" si="12"/>
        <v>--</v>
      </c>
      <c r="Z34" s="379" t="str">
        <f t="shared" si="13"/>
        <v>--</v>
      </c>
      <c r="AA34" s="380" t="str">
        <f t="shared" si="14"/>
        <v>--</v>
      </c>
      <c r="AB34" s="381" t="s">
        <v>79</v>
      </c>
      <c r="AC34" s="192">
        <v>0</v>
      </c>
      <c r="AD34" s="99"/>
    </row>
    <row r="35" spans="1:30" s="8" customFormat="1" ht="16.5" customHeight="1">
      <c r="A35" s="89"/>
      <c r="B35" s="292"/>
      <c r="C35" s="150">
        <v>44</v>
      </c>
      <c r="D35" s="150">
        <v>252047</v>
      </c>
      <c r="E35" s="150">
        <v>82</v>
      </c>
      <c r="F35" s="362" t="s">
        <v>280</v>
      </c>
      <c r="G35" s="382" t="s">
        <v>276</v>
      </c>
      <c r="H35" s="364">
        <v>300</v>
      </c>
      <c r="I35" s="803" t="s">
        <v>80</v>
      </c>
      <c r="J35" s="366">
        <f t="shared" si="0"/>
        <v>209.1</v>
      </c>
      <c r="K35" s="367">
        <v>41178.376388888886</v>
      </c>
      <c r="L35" s="367">
        <v>41179.510416666664</v>
      </c>
      <c r="M35" s="368">
        <f t="shared" si="1"/>
        <v>27.216666666674428</v>
      </c>
      <c r="N35" s="369">
        <f t="shared" si="2"/>
        <v>1633</v>
      </c>
      <c r="O35" s="370" t="s">
        <v>259</v>
      </c>
      <c r="P35" s="274" t="str">
        <f t="shared" si="3"/>
        <v>--</v>
      </c>
      <c r="Q35" s="371" t="str">
        <f t="shared" si="4"/>
        <v>--</v>
      </c>
      <c r="R35" s="180" t="str">
        <f t="shared" si="5"/>
        <v>NO</v>
      </c>
      <c r="S35" s="372">
        <f t="shared" si="6"/>
        <v>2</v>
      </c>
      <c r="T35" s="373">
        <f t="shared" si="7"/>
        <v>11383.403999999999</v>
      </c>
      <c r="U35" s="374" t="str">
        <f t="shared" si="8"/>
        <v>--</v>
      </c>
      <c r="V35" s="375" t="str">
        <f t="shared" si="9"/>
        <v>--</v>
      </c>
      <c r="W35" s="376" t="str">
        <f t="shared" si="10"/>
        <v>--</v>
      </c>
      <c r="X35" s="377" t="str">
        <f t="shared" si="11"/>
        <v>--</v>
      </c>
      <c r="Y35" s="378" t="str">
        <f t="shared" si="12"/>
        <v>--</v>
      </c>
      <c r="Z35" s="379" t="str">
        <f t="shared" si="13"/>
        <v>--</v>
      </c>
      <c r="AA35" s="380" t="str">
        <f t="shared" si="14"/>
        <v>--</v>
      </c>
      <c r="AB35" s="381" t="s">
        <v>79</v>
      </c>
      <c r="AC35" s="192">
        <f t="shared" si="15"/>
        <v>11383.403999999999</v>
      </c>
      <c r="AD35" s="99"/>
    </row>
    <row r="36" spans="1:30" s="8" customFormat="1" ht="16.5" customHeight="1">
      <c r="A36" s="89"/>
      <c r="B36" s="292"/>
      <c r="C36" s="169">
        <v>45</v>
      </c>
      <c r="D36" s="169">
        <v>252051</v>
      </c>
      <c r="E36" s="169">
        <v>84</v>
      </c>
      <c r="F36" s="362" t="s">
        <v>283</v>
      </c>
      <c r="G36" s="382" t="s">
        <v>284</v>
      </c>
      <c r="H36" s="364">
        <v>150</v>
      </c>
      <c r="I36" s="803" t="s">
        <v>362</v>
      </c>
      <c r="J36" s="366">
        <f t="shared" si="0"/>
        <v>104.55</v>
      </c>
      <c r="K36" s="367">
        <v>41179.43680555555</v>
      </c>
      <c r="L36" s="367">
        <v>41179.67222222222</v>
      </c>
      <c r="M36" s="368">
        <f t="shared" si="1"/>
        <v>5.650000000081491</v>
      </c>
      <c r="N36" s="369">
        <f t="shared" si="2"/>
        <v>339</v>
      </c>
      <c r="O36" s="370" t="s">
        <v>262</v>
      </c>
      <c r="P36" s="274" t="str">
        <f t="shared" si="3"/>
        <v>--</v>
      </c>
      <c r="Q36" s="180" t="s">
        <v>79</v>
      </c>
      <c r="R36" s="180" t="str">
        <f t="shared" si="5"/>
        <v>NO</v>
      </c>
      <c r="S36" s="372">
        <f t="shared" si="6"/>
        <v>20</v>
      </c>
      <c r="T36" s="373" t="str">
        <f t="shared" si="7"/>
        <v>--</v>
      </c>
      <c r="U36" s="374" t="str">
        <f t="shared" si="8"/>
        <v>--</v>
      </c>
      <c r="V36" s="375" t="str">
        <f t="shared" si="9"/>
        <v>--</v>
      </c>
      <c r="W36" s="376">
        <f t="shared" si="10"/>
        <v>11814.150000000001</v>
      </c>
      <c r="X36" s="377" t="str">
        <f t="shared" si="11"/>
        <v>--</v>
      </c>
      <c r="Y36" s="378" t="str">
        <f t="shared" si="12"/>
        <v>--</v>
      </c>
      <c r="Z36" s="379" t="str">
        <f t="shared" si="13"/>
        <v>--</v>
      </c>
      <c r="AA36" s="380" t="str">
        <f t="shared" si="14"/>
        <v>--</v>
      </c>
      <c r="AB36" s="381" t="s">
        <v>79</v>
      </c>
      <c r="AC36" s="192">
        <f t="shared" si="15"/>
        <v>11814.150000000001</v>
      </c>
      <c r="AD36" s="99"/>
    </row>
    <row r="37" spans="1:30" s="8" customFormat="1" ht="16.5" customHeight="1">
      <c r="A37" s="89"/>
      <c r="B37" s="292"/>
      <c r="C37" s="150">
        <v>46</v>
      </c>
      <c r="D37" s="150">
        <v>252059</v>
      </c>
      <c r="E37" s="150">
        <v>1885</v>
      </c>
      <c r="F37" s="362" t="s">
        <v>270</v>
      </c>
      <c r="G37" s="382" t="s">
        <v>276</v>
      </c>
      <c r="H37" s="364">
        <v>300</v>
      </c>
      <c r="I37" s="803" t="s">
        <v>80</v>
      </c>
      <c r="J37" s="366">
        <f t="shared" si="0"/>
        <v>209.1</v>
      </c>
      <c r="K37" s="367">
        <v>41181.381944444445</v>
      </c>
      <c r="L37" s="367">
        <v>41181.76180555556</v>
      </c>
      <c r="M37" s="368">
        <f t="shared" si="1"/>
        <v>9.11666666669771</v>
      </c>
      <c r="N37" s="369">
        <f t="shared" si="2"/>
        <v>547</v>
      </c>
      <c r="O37" s="370" t="s">
        <v>259</v>
      </c>
      <c r="P37" s="274" t="str">
        <f t="shared" si="3"/>
        <v>--</v>
      </c>
      <c r="Q37" s="371" t="str">
        <f t="shared" si="4"/>
        <v>--</v>
      </c>
      <c r="R37" s="180" t="str">
        <f t="shared" si="5"/>
        <v>NO</v>
      </c>
      <c r="S37" s="372">
        <f t="shared" si="6"/>
        <v>2</v>
      </c>
      <c r="T37" s="373">
        <f t="shared" si="7"/>
        <v>3813.9839999999995</v>
      </c>
      <c r="U37" s="374" t="str">
        <f t="shared" si="8"/>
        <v>--</v>
      </c>
      <c r="V37" s="375" t="str">
        <f t="shared" si="9"/>
        <v>--</v>
      </c>
      <c r="W37" s="376" t="str">
        <f t="shared" si="10"/>
        <v>--</v>
      </c>
      <c r="X37" s="377" t="str">
        <f t="shared" si="11"/>
        <v>--</v>
      </c>
      <c r="Y37" s="378" t="str">
        <f t="shared" si="12"/>
        <v>--</v>
      </c>
      <c r="Z37" s="379" t="str">
        <f t="shared" si="13"/>
        <v>--</v>
      </c>
      <c r="AA37" s="380" t="str">
        <f t="shared" si="14"/>
        <v>--</v>
      </c>
      <c r="AB37" s="381" t="s">
        <v>79</v>
      </c>
      <c r="AC37" s="192">
        <v>0</v>
      </c>
      <c r="AD37" s="99"/>
    </row>
    <row r="38" spans="1:30" s="8" customFormat="1" ht="16.5" customHeight="1">
      <c r="A38" s="89"/>
      <c r="B38" s="292"/>
      <c r="C38" s="169">
        <v>47</v>
      </c>
      <c r="D38" s="169">
        <v>252061</v>
      </c>
      <c r="E38" s="169">
        <v>1885</v>
      </c>
      <c r="F38" s="362" t="s">
        <v>270</v>
      </c>
      <c r="G38" s="382" t="s">
        <v>276</v>
      </c>
      <c r="H38" s="364">
        <v>300</v>
      </c>
      <c r="I38" s="803" t="s">
        <v>80</v>
      </c>
      <c r="J38" s="366">
        <f t="shared" si="0"/>
        <v>209.1</v>
      </c>
      <c r="K38" s="367">
        <v>41182.31041666667</v>
      </c>
      <c r="L38" s="367">
        <v>41182.592361111114</v>
      </c>
      <c r="M38" s="368">
        <f t="shared" si="1"/>
        <v>6.766666666720994</v>
      </c>
      <c r="N38" s="369">
        <f t="shared" si="2"/>
        <v>406</v>
      </c>
      <c r="O38" s="370" t="s">
        <v>259</v>
      </c>
      <c r="P38" s="274" t="str">
        <f t="shared" si="3"/>
        <v>--</v>
      </c>
      <c r="Q38" s="371" t="str">
        <f t="shared" si="4"/>
        <v>--</v>
      </c>
      <c r="R38" s="180" t="str">
        <f t="shared" si="5"/>
        <v>NO</v>
      </c>
      <c r="S38" s="372">
        <f t="shared" si="6"/>
        <v>2</v>
      </c>
      <c r="T38" s="373">
        <f t="shared" si="7"/>
        <v>2831.214</v>
      </c>
      <c r="U38" s="374" t="str">
        <f t="shared" si="8"/>
        <v>--</v>
      </c>
      <c r="V38" s="375" t="str">
        <f t="shared" si="9"/>
        <v>--</v>
      </c>
      <c r="W38" s="376" t="str">
        <f t="shared" si="10"/>
        <v>--</v>
      </c>
      <c r="X38" s="377" t="str">
        <f t="shared" si="11"/>
        <v>--</v>
      </c>
      <c r="Y38" s="378" t="str">
        <f t="shared" si="12"/>
        <v>--</v>
      </c>
      <c r="Z38" s="379" t="str">
        <f t="shared" si="13"/>
        <v>--</v>
      </c>
      <c r="AA38" s="380" t="str">
        <f t="shared" si="14"/>
        <v>--</v>
      </c>
      <c r="AB38" s="381" t="s">
        <v>79</v>
      </c>
      <c r="AC38" s="192">
        <v>0</v>
      </c>
      <c r="AD38" s="99"/>
    </row>
    <row r="39" spans="1:30" s="8" customFormat="1" ht="16.5" customHeight="1">
      <c r="A39" s="89"/>
      <c r="B39" s="292"/>
      <c r="C39" s="150"/>
      <c r="D39" s="150"/>
      <c r="E39" s="150"/>
      <c r="F39" s="362"/>
      <c r="G39" s="382"/>
      <c r="H39" s="364"/>
      <c r="I39" s="365"/>
      <c r="J39" s="366">
        <f t="shared" si="0"/>
        <v>0</v>
      </c>
      <c r="K39" s="367"/>
      <c r="L39" s="367"/>
      <c r="M39" s="368">
        <f t="shared" si="1"/>
      </c>
      <c r="N39" s="369">
        <f t="shared" si="2"/>
      </c>
      <c r="O39" s="370"/>
      <c r="P39" s="274">
        <f t="shared" si="3"/>
      </c>
      <c r="Q39" s="371">
        <f t="shared" si="4"/>
      </c>
      <c r="R39" s="180">
        <f t="shared" si="5"/>
      </c>
      <c r="S39" s="372">
        <f t="shared" si="6"/>
        <v>20</v>
      </c>
      <c r="T39" s="373" t="str">
        <f t="shared" si="7"/>
        <v>--</v>
      </c>
      <c r="U39" s="374" t="str">
        <f t="shared" si="8"/>
        <v>--</v>
      </c>
      <c r="V39" s="375" t="str">
        <f t="shared" si="9"/>
        <v>--</v>
      </c>
      <c r="W39" s="376" t="str">
        <f t="shared" si="10"/>
        <v>--</v>
      </c>
      <c r="X39" s="377" t="str">
        <f t="shared" si="11"/>
        <v>--</v>
      </c>
      <c r="Y39" s="378" t="str">
        <f t="shared" si="12"/>
        <v>--</v>
      </c>
      <c r="Z39" s="379" t="str">
        <f t="shared" si="13"/>
        <v>--</v>
      </c>
      <c r="AA39" s="380" t="str">
        <f t="shared" si="14"/>
        <v>--</v>
      </c>
      <c r="AB39" s="381">
        <f>IF(F39="","","SI")</f>
      </c>
      <c r="AC39" s="192">
        <f t="shared" si="15"/>
      </c>
      <c r="AD39" s="99"/>
    </row>
    <row r="40" spans="1:30" s="8" customFormat="1" ht="16.5" customHeight="1">
      <c r="A40" s="89"/>
      <c r="B40" s="292"/>
      <c r="C40" s="169"/>
      <c r="D40" s="169"/>
      <c r="E40" s="169"/>
      <c r="F40" s="362"/>
      <c r="G40" s="382"/>
      <c r="H40" s="364"/>
      <c r="I40" s="365"/>
      <c r="J40" s="366">
        <f t="shared" si="0"/>
        <v>0</v>
      </c>
      <c r="K40" s="367"/>
      <c r="L40" s="367"/>
      <c r="M40" s="368">
        <f t="shared" si="1"/>
      </c>
      <c r="N40" s="369">
        <f t="shared" si="2"/>
      </c>
      <c r="O40" s="370"/>
      <c r="P40" s="274">
        <f t="shared" si="3"/>
      </c>
      <c r="Q40" s="371">
        <f t="shared" si="4"/>
      </c>
      <c r="R40" s="180">
        <f t="shared" si="5"/>
      </c>
      <c r="S40" s="372">
        <f t="shared" si="6"/>
        <v>20</v>
      </c>
      <c r="T40" s="373" t="str">
        <f t="shared" si="7"/>
        <v>--</v>
      </c>
      <c r="U40" s="374" t="str">
        <f t="shared" si="8"/>
        <v>--</v>
      </c>
      <c r="V40" s="375" t="str">
        <f t="shared" si="9"/>
        <v>--</v>
      </c>
      <c r="W40" s="376" t="str">
        <f t="shared" si="10"/>
        <v>--</v>
      </c>
      <c r="X40" s="377" t="str">
        <f t="shared" si="11"/>
        <v>--</v>
      </c>
      <c r="Y40" s="378" t="str">
        <f t="shared" si="12"/>
        <v>--</v>
      </c>
      <c r="Z40" s="379" t="str">
        <f t="shared" si="13"/>
        <v>--</v>
      </c>
      <c r="AA40" s="380" t="str">
        <f t="shared" si="14"/>
        <v>--</v>
      </c>
      <c r="AB40" s="381">
        <f>IF(F40="","","SI")</f>
      </c>
      <c r="AC40" s="192">
        <f t="shared" si="15"/>
      </c>
      <c r="AD40" s="99"/>
    </row>
    <row r="41" spans="1:30" s="8" customFormat="1" ht="16.5" customHeight="1">
      <c r="A41" s="89"/>
      <c r="B41" s="292"/>
      <c r="C41" s="150"/>
      <c r="D41" s="150"/>
      <c r="E41" s="150"/>
      <c r="F41" s="362"/>
      <c r="G41" s="382"/>
      <c r="H41" s="364"/>
      <c r="I41" s="365"/>
      <c r="J41" s="366">
        <f t="shared" si="0"/>
        <v>0</v>
      </c>
      <c r="K41" s="367"/>
      <c r="L41" s="367"/>
      <c r="M41" s="368">
        <f t="shared" si="1"/>
      </c>
      <c r="N41" s="369">
        <f t="shared" si="2"/>
      </c>
      <c r="O41" s="370"/>
      <c r="P41" s="274">
        <f t="shared" si="3"/>
      </c>
      <c r="Q41" s="371">
        <f t="shared" si="4"/>
      </c>
      <c r="R41" s="180">
        <f t="shared" si="5"/>
      </c>
      <c r="S41" s="372">
        <f t="shared" si="6"/>
        <v>20</v>
      </c>
      <c r="T41" s="373" t="str">
        <f t="shared" si="7"/>
        <v>--</v>
      </c>
      <c r="U41" s="374" t="str">
        <f t="shared" si="8"/>
        <v>--</v>
      </c>
      <c r="V41" s="375" t="str">
        <f t="shared" si="9"/>
        <v>--</v>
      </c>
      <c r="W41" s="376" t="str">
        <f t="shared" si="10"/>
        <v>--</v>
      </c>
      <c r="X41" s="377" t="str">
        <f t="shared" si="11"/>
        <v>--</v>
      </c>
      <c r="Y41" s="378" t="str">
        <f t="shared" si="12"/>
        <v>--</v>
      </c>
      <c r="Z41" s="379" t="str">
        <f t="shared" si="13"/>
        <v>--</v>
      </c>
      <c r="AA41" s="380" t="str">
        <f t="shared" si="14"/>
        <v>--</v>
      </c>
      <c r="AB41" s="381">
        <f>IF(F41="","","SI")</f>
      </c>
      <c r="AC41" s="192">
        <f t="shared" si="15"/>
      </c>
      <c r="AD41" s="99"/>
    </row>
    <row r="42" spans="1:30" s="8" customFormat="1" ht="16.5" customHeight="1" thickBot="1">
      <c r="A42" s="89"/>
      <c r="B42" s="292"/>
      <c r="C42" s="169"/>
      <c r="D42" s="169"/>
      <c r="E42" s="169"/>
      <c r="F42" s="383"/>
      <c r="G42" s="384"/>
      <c r="H42" s="383"/>
      <c r="I42" s="385"/>
      <c r="J42" s="386"/>
      <c r="K42" s="387"/>
      <c r="L42" s="388"/>
      <c r="M42" s="389"/>
      <c r="N42" s="390"/>
      <c r="O42" s="391"/>
      <c r="P42" s="216"/>
      <c r="Q42" s="392"/>
      <c r="R42" s="391"/>
      <c r="S42" s="393"/>
      <c r="T42" s="394"/>
      <c r="U42" s="395"/>
      <c r="V42" s="396"/>
      <c r="W42" s="397"/>
      <c r="X42" s="398"/>
      <c r="Y42" s="399"/>
      <c r="Z42" s="400"/>
      <c r="AA42" s="401"/>
      <c r="AB42" s="402"/>
      <c r="AC42" s="403"/>
      <c r="AD42" s="99"/>
    </row>
    <row r="43" spans="1:30" s="8" customFormat="1" ht="16.5" customHeight="1" thickBot="1" thickTop="1">
      <c r="A43" s="89"/>
      <c r="B43" s="292"/>
      <c r="C43" s="229" t="s">
        <v>255</v>
      </c>
      <c r="D43" s="230"/>
      <c r="E43" s="229"/>
      <c r="F43" s="231"/>
      <c r="G43" s="83"/>
      <c r="H43" s="83"/>
      <c r="I43" s="83"/>
      <c r="J43" s="83"/>
      <c r="K43" s="83"/>
      <c r="L43" s="319"/>
      <c r="M43" s="83"/>
      <c r="N43" s="83"/>
      <c r="O43" s="83"/>
      <c r="P43" s="83"/>
      <c r="Q43" s="83"/>
      <c r="R43" s="83"/>
      <c r="S43" s="83"/>
      <c r="T43" s="404">
        <f aca="true" t="shared" si="16" ref="T43:AA43">SUM(T20:T42)</f>
        <v>38796.414</v>
      </c>
      <c r="U43" s="405">
        <f t="shared" si="16"/>
        <v>0</v>
      </c>
      <c r="V43" s="406">
        <f t="shared" si="16"/>
        <v>0</v>
      </c>
      <c r="W43" s="407">
        <f t="shared" si="16"/>
        <v>11814.150000000001</v>
      </c>
      <c r="X43" s="408">
        <f t="shared" si="16"/>
        <v>0</v>
      </c>
      <c r="Y43" s="409">
        <f t="shared" si="16"/>
        <v>0</v>
      </c>
      <c r="Z43" s="410">
        <f t="shared" si="16"/>
        <v>0</v>
      </c>
      <c r="AA43" s="411">
        <f t="shared" si="16"/>
        <v>0</v>
      </c>
      <c r="AB43" s="89"/>
      <c r="AC43" s="412">
        <f>ROUND(SUM(AC20:AC42),2)</f>
        <v>42428.48</v>
      </c>
      <c r="AD43" s="99"/>
    </row>
    <row r="44" spans="1:30" s="8" customFormat="1" ht="16.5" customHeight="1" thickBot="1" thickTop="1">
      <c r="A44" s="89"/>
      <c r="B44" s="413"/>
      <c r="C44" s="414"/>
      <c r="D44" s="414"/>
      <c r="E44" s="414"/>
      <c r="F44" s="414"/>
      <c r="G44" s="414"/>
      <c r="H44" s="414"/>
      <c r="I44" s="414"/>
      <c r="J44" s="414"/>
      <c r="K44" s="414"/>
      <c r="L44" s="414"/>
      <c r="M44" s="414"/>
      <c r="N44" s="414"/>
      <c r="O44" s="414"/>
      <c r="P44" s="414"/>
      <c r="Q44" s="414"/>
      <c r="R44" s="414"/>
      <c r="S44" s="414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5"/>
    </row>
    <row r="45" spans="1:31" ht="16.5" customHeight="1" thickTop="1">
      <c r="A45" s="416"/>
      <c r="F45" s="417"/>
      <c r="G45" s="417"/>
      <c r="H45" s="417"/>
      <c r="I45" s="417"/>
      <c r="J45" s="417"/>
      <c r="K45" s="417"/>
      <c r="L45" s="417"/>
      <c r="M45" s="417"/>
      <c r="N45" s="417"/>
      <c r="O45" s="417"/>
      <c r="P45" s="417"/>
      <c r="Q45" s="417"/>
      <c r="R45" s="417"/>
      <c r="S45" s="417"/>
      <c r="T45" s="417"/>
      <c r="U45" s="417"/>
      <c r="V45" s="417"/>
      <c r="W45" s="417"/>
      <c r="X45" s="417"/>
      <c r="Y45" s="417"/>
      <c r="Z45" s="417"/>
      <c r="AA45" s="417"/>
      <c r="AB45" s="417"/>
      <c r="AC45" s="417"/>
      <c r="AD45" s="417"/>
      <c r="AE45" s="417"/>
    </row>
    <row r="46" spans="1:31" ht="16.5" customHeight="1">
      <c r="A46" s="416"/>
      <c r="F46" s="417"/>
      <c r="G46" s="417"/>
      <c r="H46" s="417"/>
      <c r="I46" s="417"/>
      <c r="J46" s="417"/>
      <c r="K46" s="417"/>
      <c r="L46" s="417"/>
      <c r="M46" s="417"/>
      <c r="N46" s="417"/>
      <c r="O46" s="417"/>
      <c r="P46" s="417"/>
      <c r="Q46" s="417"/>
      <c r="R46" s="417"/>
      <c r="S46" s="417"/>
      <c r="T46" s="417"/>
      <c r="U46" s="417"/>
      <c r="V46" s="417"/>
      <c r="W46" s="417"/>
      <c r="X46" s="417"/>
      <c r="Y46" s="417"/>
      <c r="Z46" s="417"/>
      <c r="AA46" s="417"/>
      <c r="AB46" s="417"/>
      <c r="AC46" s="417"/>
      <c r="AD46" s="417"/>
      <c r="AE46" s="417"/>
    </row>
    <row r="47" spans="1:31" ht="16.5" customHeight="1">
      <c r="A47" s="416"/>
      <c r="F47" s="417"/>
      <c r="G47" s="417"/>
      <c r="H47" s="417"/>
      <c r="I47" s="417"/>
      <c r="J47" s="417"/>
      <c r="K47" s="417"/>
      <c r="L47" s="417"/>
      <c r="M47" s="417"/>
      <c r="N47" s="417"/>
      <c r="O47" s="417"/>
      <c r="P47" s="417"/>
      <c r="Q47" s="417"/>
      <c r="R47" s="417"/>
      <c r="S47" s="417"/>
      <c r="T47" s="417"/>
      <c r="U47" s="417"/>
      <c r="V47" s="417"/>
      <c r="W47" s="417"/>
      <c r="X47" s="417"/>
      <c r="Y47" s="417"/>
      <c r="Z47" s="417"/>
      <c r="AA47" s="417"/>
      <c r="AB47" s="417"/>
      <c r="AC47" s="417"/>
      <c r="AD47" s="417"/>
      <c r="AE47" s="417"/>
    </row>
    <row r="48" spans="1:31" ht="16.5" customHeight="1">
      <c r="A48" s="416"/>
      <c r="F48" s="417"/>
      <c r="G48" s="417"/>
      <c r="H48" s="417"/>
      <c r="I48" s="417"/>
      <c r="J48" s="417"/>
      <c r="K48" s="417"/>
      <c r="L48" s="417"/>
      <c r="M48" s="417"/>
      <c r="N48" s="417"/>
      <c r="O48" s="417"/>
      <c r="P48" s="417"/>
      <c r="Q48" s="417"/>
      <c r="R48" s="417"/>
      <c r="S48" s="417"/>
      <c r="T48" s="417"/>
      <c r="U48" s="417"/>
      <c r="V48" s="417"/>
      <c r="W48" s="417"/>
      <c r="X48" s="417"/>
      <c r="Y48" s="417"/>
      <c r="Z48" s="417"/>
      <c r="AA48" s="417"/>
      <c r="AB48" s="417"/>
      <c r="AC48" s="417"/>
      <c r="AD48" s="417"/>
      <c r="AE48" s="417"/>
    </row>
    <row r="49" spans="6:31" ht="16.5" customHeight="1">
      <c r="F49" s="417"/>
      <c r="G49" s="417"/>
      <c r="H49" s="417"/>
      <c r="I49" s="417"/>
      <c r="J49" s="417"/>
      <c r="K49" s="417"/>
      <c r="L49" s="417"/>
      <c r="M49" s="417"/>
      <c r="N49" s="417"/>
      <c r="O49" s="417"/>
      <c r="P49" s="417"/>
      <c r="Q49" s="417"/>
      <c r="R49" s="417"/>
      <c r="S49" s="417"/>
      <c r="T49" s="417"/>
      <c r="U49" s="417"/>
      <c r="V49" s="417"/>
      <c r="W49" s="417"/>
      <c r="X49" s="417"/>
      <c r="Y49" s="417"/>
      <c r="Z49" s="417"/>
      <c r="AA49" s="417"/>
      <c r="AB49" s="417"/>
      <c r="AC49" s="417"/>
      <c r="AD49" s="417"/>
      <c r="AE49" s="417"/>
    </row>
    <row r="50" spans="6:31" ht="16.5" customHeight="1">
      <c r="F50" s="417"/>
      <c r="G50" s="417"/>
      <c r="H50" s="417"/>
      <c r="I50" s="417"/>
      <c r="J50" s="417"/>
      <c r="K50" s="417"/>
      <c r="L50" s="417"/>
      <c r="M50" s="417"/>
      <c r="N50" s="417"/>
      <c r="O50" s="417"/>
      <c r="P50" s="417"/>
      <c r="Q50" s="417"/>
      <c r="R50" s="417"/>
      <c r="S50" s="417"/>
      <c r="T50" s="417"/>
      <c r="U50" s="417"/>
      <c r="V50" s="417"/>
      <c r="W50" s="417"/>
      <c r="X50" s="417"/>
      <c r="Y50" s="417"/>
      <c r="Z50" s="417"/>
      <c r="AA50" s="417"/>
      <c r="AB50" s="417"/>
      <c r="AC50" s="417"/>
      <c r="AD50" s="417"/>
      <c r="AE50" s="417"/>
    </row>
    <row r="51" spans="6:31" ht="16.5" customHeight="1">
      <c r="F51" s="417"/>
      <c r="G51" s="417"/>
      <c r="H51" s="417"/>
      <c r="I51" s="417"/>
      <c r="J51" s="417"/>
      <c r="K51" s="417"/>
      <c r="L51" s="417"/>
      <c r="M51" s="417"/>
      <c r="N51" s="417"/>
      <c r="O51" s="417"/>
      <c r="P51" s="417"/>
      <c r="Q51" s="417"/>
      <c r="R51" s="417"/>
      <c r="S51" s="417"/>
      <c r="T51" s="417"/>
      <c r="U51" s="417"/>
      <c r="V51" s="417"/>
      <c r="W51" s="417"/>
      <c r="X51" s="417"/>
      <c r="Y51" s="417"/>
      <c r="Z51" s="417"/>
      <c r="AA51" s="417"/>
      <c r="AB51" s="417"/>
      <c r="AC51" s="417"/>
      <c r="AD51" s="417"/>
      <c r="AE51" s="417"/>
    </row>
    <row r="52" spans="6:31" ht="16.5" customHeight="1">
      <c r="F52" s="417"/>
      <c r="G52" s="417"/>
      <c r="H52" s="417"/>
      <c r="I52" s="417"/>
      <c r="J52" s="417"/>
      <c r="K52" s="417"/>
      <c r="L52" s="417"/>
      <c r="M52" s="417"/>
      <c r="N52" s="417"/>
      <c r="O52" s="417"/>
      <c r="P52" s="417"/>
      <c r="Q52" s="417"/>
      <c r="R52" s="417"/>
      <c r="S52" s="417"/>
      <c r="T52" s="417"/>
      <c r="U52" s="417"/>
      <c r="V52" s="417"/>
      <c r="W52" s="417"/>
      <c r="X52" s="417"/>
      <c r="Y52" s="417"/>
      <c r="Z52" s="417"/>
      <c r="AA52" s="417"/>
      <c r="AB52" s="417"/>
      <c r="AC52" s="417"/>
      <c r="AD52" s="417"/>
      <c r="AE52" s="417"/>
    </row>
    <row r="53" spans="6:31" ht="16.5" customHeight="1"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7"/>
      <c r="Q53" s="417"/>
      <c r="R53" s="417"/>
      <c r="S53" s="417"/>
      <c r="T53" s="417"/>
      <c r="U53" s="417"/>
      <c r="V53" s="417"/>
      <c r="W53" s="417"/>
      <c r="X53" s="417"/>
      <c r="Y53" s="417"/>
      <c r="Z53" s="417"/>
      <c r="AA53" s="417"/>
      <c r="AB53" s="417"/>
      <c r="AC53" s="417"/>
      <c r="AD53" s="417"/>
      <c r="AE53" s="417"/>
    </row>
    <row r="54" spans="6:31" ht="16.5" customHeight="1">
      <c r="F54" s="417"/>
      <c r="G54" s="417"/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417"/>
      <c r="S54" s="417"/>
      <c r="T54" s="417"/>
      <c r="U54" s="417"/>
      <c r="V54" s="417"/>
      <c r="W54" s="417"/>
      <c r="X54" s="417"/>
      <c r="Y54" s="417"/>
      <c r="Z54" s="417"/>
      <c r="AA54" s="417"/>
      <c r="AB54" s="417"/>
      <c r="AC54" s="417"/>
      <c r="AD54" s="417"/>
      <c r="AE54" s="417"/>
    </row>
    <row r="55" spans="6:31" ht="16.5" customHeight="1">
      <c r="F55" s="417"/>
      <c r="G55" s="417"/>
      <c r="H55" s="417"/>
      <c r="I55" s="417"/>
      <c r="J55" s="417"/>
      <c r="K55" s="417"/>
      <c r="L55" s="417"/>
      <c r="M55" s="417"/>
      <c r="N55" s="417"/>
      <c r="O55" s="417"/>
      <c r="P55" s="417"/>
      <c r="Q55" s="417"/>
      <c r="R55" s="417"/>
      <c r="S55" s="417"/>
      <c r="T55" s="417"/>
      <c r="U55" s="417"/>
      <c r="V55" s="417"/>
      <c r="W55" s="417"/>
      <c r="X55" s="417"/>
      <c r="Y55" s="417"/>
      <c r="Z55" s="417"/>
      <c r="AA55" s="417"/>
      <c r="AB55" s="417"/>
      <c r="AC55" s="417"/>
      <c r="AD55" s="417"/>
      <c r="AE55" s="417"/>
    </row>
    <row r="56" spans="6:31" ht="16.5" customHeight="1">
      <c r="F56" s="417"/>
      <c r="G56" s="417"/>
      <c r="H56" s="417"/>
      <c r="I56" s="417"/>
      <c r="J56" s="417"/>
      <c r="K56" s="417"/>
      <c r="L56" s="417"/>
      <c r="M56" s="417"/>
      <c r="N56" s="417"/>
      <c r="O56" s="417"/>
      <c r="P56" s="417"/>
      <c r="Q56" s="417"/>
      <c r="R56" s="417"/>
      <c r="S56" s="417"/>
      <c r="T56" s="417"/>
      <c r="U56" s="417"/>
      <c r="V56" s="417"/>
      <c r="W56" s="417"/>
      <c r="X56" s="417"/>
      <c r="Y56" s="417"/>
      <c r="Z56" s="417"/>
      <c r="AA56" s="417"/>
      <c r="AB56" s="417"/>
      <c r="AC56" s="417"/>
      <c r="AD56" s="417"/>
      <c r="AE56" s="417"/>
    </row>
    <row r="57" spans="6:31" ht="16.5" customHeight="1">
      <c r="F57" s="417"/>
      <c r="G57" s="417"/>
      <c r="H57" s="417"/>
      <c r="I57" s="417"/>
      <c r="J57" s="417"/>
      <c r="K57" s="417"/>
      <c r="L57" s="417"/>
      <c r="M57" s="417"/>
      <c r="N57" s="417"/>
      <c r="O57" s="417"/>
      <c r="P57" s="417"/>
      <c r="Q57" s="417"/>
      <c r="R57" s="417"/>
      <c r="S57" s="417"/>
      <c r="T57" s="417"/>
      <c r="U57" s="417"/>
      <c r="V57" s="417"/>
      <c r="W57" s="417"/>
      <c r="X57" s="417"/>
      <c r="Y57" s="417"/>
      <c r="Z57" s="417"/>
      <c r="AA57" s="417"/>
      <c r="AB57" s="417"/>
      <c r="AC57" s="417"/>
      <c r="AD57" s="417"/>
      <c r="AE57" s="417"/>
    </row>
    <row r="58" spans="6:31" ht="16.5" customHeight="1">
      <c r="F58" s="417"/>
      <c r="G58" s="417"/>
      <c r="H58" s="417"/>
      <c r="I58" s="417"/>
      <c r="J58" s="417"/>
      <c r="K58" s="417"/>
      <c r="L58" s="417"/>
      <c r="M58" s="417"/>
      <c r="N58" s="417"/>
      <c r="O58" s="417"/>
      <c r="P58" s="417"/>
      <c r="Q58" s="417"/>
      <c r="R58" s="417"/>
      <c r="S58" s="417"/>
      <c r="T58" s="417"/>
      <c r="U58" s="417"/>
      <c r="V58" s="417"/>
      <c r="W58" s="417"/>
      <c r="X58" s="417"/>
      <c r="Y58" s="417"/>
      <c r="Z58" s="417"/>
      <c r="AA58" s="417"/>
      <c r="AB58" s="417"/>
      <c r="AC58" s="417"/>
      <c r="AD58" s="417"/>
      <c r="AE58" s="417"/>
    </row>
    <row r="59" spans="6:31" ht="16.5" customHeight="1"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7"/>
      <c r="W59" s="417"/>
      <c r="X59" s="417"/>
      <c r="Y59" s="417"/>
      <c r="Z59" s="417"/>
      <c r="AA59" s="417"/>
      <c r="AB59" s="417"/>
      <c r="AC59" s="417"/>
      <c r="AD59" s="417"/>
      <c r="AE59" s="417"/>
    </row>
    <row r="60" spans="6:31" ht="16.5" customHeight="1">
      <c r="F60" s="417"/>
      <c r="G60" s="417"/>
      <c r="H60" s="417"/>
      <c r="I60" s="417"/>
      <c r="J60" s="417"/>
      <c r="K60" s="417"/>
      <c r="L60" s="417"/>
      <c r="M60" s="417"/>
      <c r="N60" s="417"/>
      <c r="O60" s="417"/>
      <c r="P60" s="417"/>
      <c r="Q60" s="417"/>
      <c r="R60" s="417"/>
      <c r="S60" s="417"/>
      <c r="T60" s="417"/>
      <c r="U60" s="417"/>
      <c r="V60" s="417"/>
      <c r="W60" s="417"/>
      <c r="X60" s="417"/>
      <c r="Y60" s="417"/>
      <c r="Z60" s="417"/>
      <c r="AA60" s="417"/>
      <c r="AB60" s="417"/>
      <c r="AC60" s="417"/>
      <c r="AD60" s="417"/>
      <c r="AE60" s="417"/>
    </row>
    <row r="61" spans="6:31" ht="16.5" customHeight="1">
      <c r="F61" s="417"/>
      <c r="G61" s="417"/>
      <c r="H61" s="417"/>
      <c r="I61" s="417"/>
      <c r="J61" s="417"/>
      <c r="K61" s="417"/>
      <c r="L61" s="417"/>
      <c r="M61" s="417"/>
      <c r="N61" s="417"/>
      <c r="O61" s="417"/>
      <c r="P61" s="417"/>
      <c r="Q61" s="417"/>
      <c r="R61" s="417"/>
      <c r="S61" s="417"/>
      <c r="T61" s="417"/>
      <c r="U61" s="417"/>
      <c r="V61" s="417"/>
      <c r="W61" s="417"/>
      <c r="X61" s="417"/>
      <c r="Y61" s="417"/>
      <c r="Z61" s="417"/>
      <c r="AA61" s="417"/>
      <c r="AB61" s="417"/>
      <c r="AC61" s="417"/>
      <c r="AD61" s="417"/>
      <c r="AE61" s="417"/>
    </row>
    <row r="62" spans="6:31" ht="16.5" customHeight="1">
      <c r="F62" s="417"/>
      <c r="G62" s="417"/>
      <c r="H62" s="417"/>
      <c r="I62" s="417"/>
      <c r="J62" s="417"/>
      <c r="K62" s="417"/>
      <c r="L62" s="417"/>
      <c r="M62" s="417"/>
      <c r="N62" s="417"/>
      <c r="O62" s="417"/>
      <c r="P62" s="417"/>
      <c r="Q62" s="417"/>
      <c r="R62" s="417"/>
      <c r="S62" s="417"/>
      <c r="T62" s="417"/>
      <c r="U62" s="417"/>
      <c r="V62" s="417"/>
      <c r="W62" s="417"/>
      <c r="X62" s="417"/>
      <c r="Y62" s="417"/>
      <c r="Z62" s="417"/>
      <c r="AA62" s="417"/>
      <c r="AB62" s="417"/>
      <c r="AC62" s="417"/>
      <c r="AD62" s="417"/>
      <c r="AE62" s="417"/>
    </row>
    <row r="63" spans="6:31" ht="16.5" customHeight="1">
      <c r="F63" s="417"/>
      <c r="G63" s="417"/>
      <c r="H63" s="417"/>
      <c r="I63" s="417"/>
      <c r="J63" s="417"/>
      <c r="K63" s="417"/>
      <c r="L63" s="417"/>
      <c r="M63" s="417"/>
      <c r="N63" s="417"/>
      <c r="O63" s="417"/>
      <c r="P63" s="417"/>
      <c r="Q63" s="417"/>
      <c r="R63" s="417"/>
      <c r="S63" s="417"/>
      <c r="T63" s="417"/>
      <c r="U63" s="417"/>
      <c r="V63" s="417"/>
      <c r="W63" s="417"/>
      <c r="X63" s="417"/>
      <c r="Y63" s="417"/>
      <c r="Z63" s="417"/>
      <c r="AA63" s="417"/>
      <c r="AB63" s="417"/>
      <c r="AC63" s="417"/>
      <c r="AD63" s="417"/>
      <c r="AE63" s="417"/>
    </row>
    <row r="64" spans="6:31" ht="16.5" customHeight="1">
      <c r="F64" s="417"/>
      <c r="G64" s="417"/>
      <c r="H64" s="417"/>
      <c r="I64" s="417"/>
      <c r="J64" s="417"/>
      <c r="K64" s="417"/>
      <c r="L64" s="417"/>
      <c r="M64" s="417"/>
      <c r="N64" s="417"/>
      <c r="O64" s="417"/>
      <c r="P64" s="417"/>
      <c r="Q64" s="417"/>
      <c r="R64" s="417"/>
      <c r="S64" s="417"/>
      <c r="T64" s="417"/>
      <c r="U64" s="417"/>
      <c r="V64" s="417"/>
      <c r="W64" s="417"/>
      <c r="X64" s="417"/>
      <c r="Y64" s="417"/>
      <c r="Z64" s="417"/>
      <c r="AA64" s="417"/>
      <c r="AB64" s="417"/>
      <c r="AC64" s="417"/>
      <c r="AD64" s="417"/>
      <c r="AE64" s="417"/>
    </row>
    <row r="65" spans="6:31" ht="16.5" customHeight="1">
      <c r="F65" s="417"/>
      <c r="G65" s="417"/>
      <c r="H65" s="417"/>
      <c r="I65" s="417"/>
      <c r="J65" s="417"/>
      <c r="K65" s="417"/>
      <c r="L65" s="417"/>
      <c r="M65" s="417"/>
      <c r="N65" s="417"/>
      <c r="O65" s="417"/>
      <c r="P65" s="417"/>
      <c r="Q65" s="417"/>
      <c r="R65" s="417"/>
      <c r="S65" s="417"/>
      <c r="T65" s="417"/>
      <c r="U65" s="417"/>
      <c r="V65" s="417"/>
      <c r="W65" s="417"/>
      <c r="X65" s="417"/>
      <c r="Y65" s="417"/>
      <c r="Z65" s="417"/>
      <c r="AA65" s="417"/>
      <c r="AB65" s="417"/>
      <c r="AC65" s="417"/>
      <c r="AD65" s="417"/>
      <c r="AE65" s="417"/>
    </row>
    <row r="66" spans="6:31" ht="16.5" customHeight="1">
      <c r="F66" s="417"/>
      <c r="G66" s="417"/>
      <c r="H66" s="417"/>
      <c r="I66" s="417"/>
      <c r="J66" s="417"/>
      <c r="K66" s="417"/>
      <c r="L66" s="417"/>
      <c r="M66" s="417"/>
      <c r="N66" s="417"/>
      <c r="O66" s="417"/>
      <c r="P66" s="417"/>
      <c r="Q66" s="417"/>
      <c r="R66" s="417"/>
      <c r="S66" s="417"/>
      <c r="T66" s="417"/>
      <c r="U66" s="417"/>
      <c r="V66" s="417"/>
      <c r="W66" s="417"/>
      <c r="X66" s="417"/>
      <c r="Y66" s="417"/>
      <c r="Z66" s="417"/>
      <c r="AA66" s="417"/>
      <c r="AB66" s="417"/>
      <c r="AC66" s="417"/>
      <c r="AD66" s="417"/>
      <c r="AE66" s="417"/>
    </row>
    <row r="67" spans="6:31" ht="16.5" customHeight="1">
      <c r="F67" s="417"/>
      <c r="G67" s="417"/>
      <c r="H67" s="417"/>
      <c r="I67" s="417"/>
      <c r="J67" s="417"/>
      <c r="K67" s="417"/>
      <c r="L67" s="417"/>
      <c r="M67" s="417"/>
      <c r="N67" s="417"/>
      <c r="O67" s="417"/>
      <c r="P67" s="417"/>
      <c r="Q67" s="417"/>
      <c r="R67" s="417"/>
      <c r="S67" s="417"/>
      <c r="T67" s="417"/>
      <c r="U67" s="417"/>
      <c r="V67" s="417"/>
      <c r="W67" s="417"/>
      <c r="X67" s="417"/>
      <c r="Y67" s="417"/>
      <c r="Z67" s="417"/>
      <c r="AA67" s="417"/>
      <c r="AB67" s="417"/>
      <c r="AC67" s="417"/>
      <c r="AD67" s="417"/>
      <c r="AE67" s="417"/>
    </row>
    <row r="68" spans="6:31" ht="16.5" customHeight="1">
      <c r="F68" s="417"/>
      <c r="G68" s="417"/>
      <c r="H68" s="417"/>
      <c r="I68" s="417"/>
      <c r="J68" s="417"/>
      <c r="K68" s="417"/>
      <c r="L68" s="417"/>
      <c r="M68" s="417"/>
      <c r="N68" s="417"/>
      <c r="O68" s="417"/>
      <c r="P68" s="417"/>
      <c r="Q68" s="417"/>
      <c r="R68" s="417"/>
      <c r="S68" s="417"/>
      <c r="T68" s="417"/>
      <c r="U68" s="417"/>
      <c r="V68" s="417"/>
      <c r="W68" s="417"/>
      <c r="X68" s="417"/>
      <c r="Y68" s="417"/>
      <c r="Z68" s="417"/>
      <c r="AA68" s="417"/>
      <c r="AB68" s="417"/>
      <c r="AC68" s="417"/>
      <c r="AD68" s="417"/>
      <c r="AE68" s="417"/>
    </row>
    <row r="69" spans="6:31" ht="16.5" customHeight="1">
      <c r="F69" s="417"/>
      <c r="G69" s="417"/>
      <c r="H69" s="417"/>
      <c r="I69" s="417"/>
      <c r="J69" s="417"/>
      <c r="K69" s="417"/>
      <c r="L69" s="417"/>
      <c r="M69" s="417"/>
      <c r="N69" s="417"/>
      <c r="O69" s="417"/>
      <c r="P69" s="417"/>
      <c r="Q69" s="417"/>
      <c r="R69" s="417"/>
      <c r="S69" s="417"/>
      <c r="T69" s="417"/>
      <c r="U69" s="417"/>
      <c r="V69" s="417"/>
      <c r="W69" s="417"/>
      <c r="X69" s="417"/>
      <c r="Y69" s="417"/>
      <c r="Z69" s="417"/>
      <c r="AA69" s="417"/>
      <c r="AB69" s="417"/>
      <c r="AC69" s="417"/>
      <c r="AD69" s="417"/>
      <c r="AE69" s="417"/>
    </row>
    <row r="70" spans="6:31" ht="16.5" customHeight="1">
      <c r="F70" s="417"/>
      <c r="G70" s="417"/>
      <c r="H70" s="417"/>
      <c r="I70" s="417"/>
      <c r="J70" s="417"/>
      <c r="K70" s="417"/>
      <c r="L70" s="417"/>
      <c r="M70" s="417"/>
      <c r="N70" s="417"/>
      <c r="O70" s="417"/>
      <c r="P70" s="417"/>
      <c r="Q70" s="417"/>
      <c r="R70" s="417"/>
      <c r="S70" s="417"/>
      <c r="T70" s="417"/>
      <c r="U70" s="417"/>
      <c r="V70" s="417"/>
      <c r="W70" s="417"/>
      <c r="X70" s="417"/>
      <c r="Y70" s="417"/>
      <c r="Z70" s="417"/>
      <c r="AA70" s="417"/>
      <c r="AB70" s="417"/>
      <c r="AC70" s="417"/>
      <c r="AD70" s="417"/>
      <c r="AE70" s="417"/>
    </row>
    <row r="71" spans="6:31" ht="16.5" customHeight="1">
      <c r="F71" s="417"/>
      <c r="G71" s="417"/>
      <c r="H71" s="417"/>
      <c r="I71" s="417"/>
      <c r="J71" s="417"/>
      <c r="K71" s="417"/>
      <c r="L71" s="417"/>
      <c r="M71" s="417"/>
      <c r="N71" s="417"/>
      <c r="O71" s="417"/>
      <c r="P71" s="417"/>
      <c r="Q71" s="417"/>
      <c r="R71" s="417"/>
      <c r="S71" s="417"/>
      <c r="T71" s="417"/>
      <c r="U71" s="417"/>
      <c r="V71" s="417"/>
      <c r="W71" s="417"/>
      <c r="X71" s="417"/>
      <c r="Y71" s="417"/>
      <c r="Z71" s="417"/>
      <c r="AA71" s="417"/>
      <c r="AB71" s="417"/>
      <c r="AC71" s="417"/>
      <c r="AD71" s="417"/>
      <c r="AE71" s="417"/>
    </row>
    <row r="72" spans="6:31" ht="16.5" customHeight="1">
      <c r="F72" s="417"/>
      <c r="G72" s="417"/>
      <c r="H72" s="417"/>
      <c r="I72" s="417"/>
      <c r="J72" s="417"/>
      <c r="K72" s="417"/>
      <c r="L72" s="417"/>
      <c r="M72" s="417"/>
      <c r="N72" s="417"/>
      <c r="O72" s="417"/>
      <c r="P72" s="417"/>
      <c r="Q72" s="417"/>
      <c r="R72" s="417"/>
      <c r="S72" s="417"/>
      <c r="T72" s="417"/>
      <c r="U72" s="417"/>
      <c r="V72" s="417"/>
      <c r="W72" s="417"/>
      <c r="X72" s="417"/>
      <c r="Y72" s="417"/>
      <c r="Z72" s="417"/>
      <c r="AA72" s="417"/>
      <c r="AB72" s="417"/>
      <c r="AC72" s="417"/>
      <c r="AD72" s="417"/>
      <c r="AE72" s="417"/>
    </row>
    <row r="73" spans="6:31" ht="16.5" customHeight="1">
      <c r="F73" s="417"/>
      <c r="G73" s="417"/>
      <c r="H73" s="417"/>
      <c r="I73" s="417"/>
      <c r="J73" s="417"/>
      <c r="K73" s="417"/>
      <c r="L73" s="417"/>
      <c r="M73" s="417"/>
      <c r="N73" s="417"/>
      <c r="O73" s="417"/>
      <c r="P73" s="417"/>
      <c r="Q73" s="417"/>
      <c r="R73" s="417"/>
      <c r="S73" s="417"/>
      <c r="T73" s="417"/>
      <c r="U73" s="417"/>
      <c r="V73" s="417"/>
      <c r="W73" s="417"/>
      <c r="X73" s="417"/>
      <c r="Y73" s="417"/>
      <c r="Z73" s="417"/>
      <c r="AA73" s="417"/>
      <c r="AB73" s="417"/>
      <c r="AC73" s="417"/>
      <c r="AD73" s="417"/>
      <c r="AE73" s="417"/>
    </row>
    <row r="74" spans="6:31" ht="16.5" customHeight="1">
      <c r="F74" s="417"/>
      <c r="G74" s="417"/>
      <c r="H74" s="417"/>
      <c r="I74" s="417"/>
      <c r="J74" s="417"/>
      <c r="K74" s="417"/>
      <c r="L74" s="417"/>
      <c r="M74" s="417"/>
      <c r="N74" s="417"/>
      <c r="O74" s="417"/>
      <c r="P74" s="417"/>
      <c r="Q74" s="417"/>
      <c r="R74" s="417"/>
      <c r="S74" s="417"/>
      <c r="T74" s="417"/>
      <c r="U74" s="417"/>
      <c r="V74" s="417"/>
      <c r="W74" s="417"/>
      <c r="X74" s="417"/>
      <c r="Y74" s="417"/>
      <c r="Z74" s="417"/>
      <c r="AA74" s="417"/>
      <c r="AB74" s="417"/>
      <c r="AC74" s="417"/>
      <c r="AD74" s="417"/>
      <c r="AE74" s="417"/>
    </row>
    <row r="75" spans="6:31" ht="16.5" customHeight="1">
      <c r="F75" s="417"/>
      <c r="G75" s="417"/>
      <c r="H75" s="417"/>
      <c r="I75" s="417"/>
      <c r="J75" s="417"/>
      <c r="K75" s="417"/>
      <c r="L75" s="417"/>
      <c r="M75" s="417"/>
      <c r="N75" s="417"/>
      <c r="O75" s="417"/>
      <c r="P75" s="417"/>
      <c r="Q75" s="417"/>
      <c r="R75" s="417"/>
      <c r="S75" s="417"/>
      <c r="T75" s="417"/>
      <c r="U75" s="417"/>
      <c r="V75" s="417"/>
      <c r="W75" s="417"/>
      <c r="X75" s="417"/>
      <c r="Y75" s="417"/>
      <c r="Z75" s="417"/>
      <c r="AA75" s="417"/>
      <c r="AB75" s="417"/>
      <c r="AC75" s="417"/>
      <c r="AD75" s="417"/>
      <c r="AE75" s="417"/>
    </row>
    <row r="76" spans="6:31" ht="16.5" customHeight="1">
      <c r="F76" s="417"/>
      <c r="G76" s="417"/>
      <c r="H76" s="417"/>
      <c r="I76" s="417"/>
      <c r="J76" s="417"/>
      <c r="K76" s="417"/>
      <c r="L76" s="417"/>
      <c r="M76" s="417"/>
      <c r="N76" s="417"/>
      <c r="O76" s="417"/>
      <c r="P76" s="417"/>
      <c r="Q76" s="417"/>
      <c r="R76" s="417"/>
      <c r="S76" s="417"/>
      <c r="T76" s="417"/>
      <c r="U76" s="417"/>
      <c r="V76" s="417"/>
      <c r="W76" s="417"/>
      <c r="X76" s="417"/>
      <c r="Y76" s="417"/>
      <c r="Z76" s="417"/>
      <c r="AA76" s="417"/>
      <c r="AB76" s="417"/>
      <c r="AC76" s="417"/>
      <c r="AD76" s="417"/>
      <c r="AE76" s="417"/>
    </row>
    <row r="77" spans="6:31" ht="16.5" customHeight="1">
      <c r="F77" s="417"/>
      <c r="G77" s="417"/>
      <c r="H77" s="417"/>
      <c r="I77" s="417"/>
      <c r="J77" s="417"/>
      <c r="K77" s="417"/>
      <c r="L77" s="417"/>
      <c r="M77" s="417"/>
      <c r="N77" s="417"/>
      <c r="O77" s="417"/>
      <c r="P77" s="417"/>
      <c r="Q77" s="417"/>
      <c r="R77" s="417"/>
      <c r="S77" s="417"/>
      <c r="T77" s="417"/>
      <c r="U77" s="417"/>
      <c r="V77" s="417"/>
      <c r="W77" s="417"/>
      <c r="X77" s="417"/>
      <c r="Y77" s="417"/>
      <c r="Z77" s="417"/>
      <c r="AA77" s="417"/>
      <c r="AB77" s="417"/>
      <c r="AC77" s="417"/>
      <c r="AD77" s="417"/>
      <c r="AE77" s="417"/>
    </row>
    <row r="78" spans="6:31" ht="16.5" customHeight="1">
      <c r="F78" s="417"/>
      <c r="G78" s="417"/>
      <c r="H78" s="417"/>
      <c r="I78" s="417"/>
      <c r="J78" s="417"/>
      <c r="K78" s="417"/>
      <c r="L78" s="417"/>
      <c r="M78" s="417"/>
      <c r="N78" s="417"/>
      <c r="O78" s="417"/>
      <c r="P78" s="417"/>
      <c r="Q78" s="417"/>
      <c r="R78" s="417"/>
      <c r="S78" s="417"/>
      <c r="T78" s="417"/>
      <c r="U78" s="417"/>
      <c r="V78" s="417"/>
      <c r="W78" s="417"/>
      <c r="X78" s="417"/>
      <c r="Y78" s="417"/>
      <c r="Z78" s="417"/>
      <c r="AA78" s="417"/>
      <c r="AB78" s="417"/>
      <c r="AC78" s="417"/>
      <c r="AD78" s="417"/>
      <c r="AE78" s="417"/>
    </row>
    <row r="79" spans="6:31" ht="16.5" customHeight="1">
      <c r="F79" s="417"/>
      <c r="G79" s="417"/>
      <c r="H79" s="417"/>
      <c r="I79" s="417"/>
      <c r="J79" s="417"/>
      <c r="K79" s="417"/>
      <c r="L79" s="417"/>
      <c r="M79" s="417"/>
      <c r="N79" s="417"/>
      <c r="O79" s="417"/>
      <c r="P79" s="417"/>
      <c r="Q79" s="417"/>
      <c r="R79" s="417"/>
      <c r="S79" s="417"/>
      <c r="T79" s="417"/>
      <c r="U79" s="417"/>
      <c r="V79" s="417"/>
      <c r="W79" s="417"/>
      <c r="X79" s="417"/>
      <c r="Y79" s="417"/>
      <c r="Z79" s="417"/>
      <c r="AA79" s="417"/>
      <c r="AB79" s="417"/>
      <c r="AC79" s="417"/>
      <c r="AD79" s="417"/>
      <c r="AE79" s="417"/>
    </row>
    <row r="80" spans="6:31" ht="16.5" customHeight="1">
      <c r="F80" s="417"/>
      <c r="G80" s="417"/>
      <c r="H80" s="417"/>
      <c r="I80" s="417"/>
      <c r="J80" s="417"/>
      <c r="K80" s="417"/>
      <c r="L80" s="417"/>
      <c r="M80" s="417"/>
      <c r="N80" s="417"/>
      <c r="O80" s="417"/>
      <c r="P80" s="417"/>
      <c r="Q80" s="417"/>
      <c r="R80" s="417"/>
      <c r="S80" s="417"/>
      <c r="T80" s="417"/>
      <c r="U80" s="417"/>
      <c r="V80" s="417"/>
      <c r="W80" s="417"/>
      <c r="X80" s="417"/>
      <c r="Y80" s="417"/>
      <c r="Z80" s="417"/>
      <c r="AA80" s="417"/>
      <c r="AB80" s="417"/>
      <c r="AC80" s="417"/>
      <c r="AD80" s="417"/>
      <c r="AE80" s="417"/>
    </row>
    <row r="81" spans="6:31" ht="16.5" customHeight="1">
      <c r="F81" s="417"/>
      <c r="G81" s="417"/>
      <c r="H81" s="417"/>
      <c r="I81" s="417"/>
      <c r="J81" s="417"/>
      <c r="K81" s="417"/>
      <c r="L81" s="417"/>
      <c r="M81" s="417"/>
      <c r="N81" s="417"/>
      <c r="O81" s="417"/>
      <c r="P81" s="417"/>
      <c r="Q81" s="417"/>
      <c r="R81" s="417"/>
      <c r="S81" s="417"/>
      <c r="T81" s="417"/>
      <c r="U81" s="417"/>
      <c r="V81" s="417"/>
      <c r="W81" s="417"/>
      <c r="X81" s="417"/>
      <c r="Y81" s="417"/>
      <c r="Z81" s="417"/>
      <c r="AA81" s="417"/>
      <c r="AB81" s="417"/>
      <c r="AC81" s="417"/>
      <c r="AD81" s="417"/>
      <c r="AE81" s="417"/>
    </row>
    <row r="82" spans="6:31" ht="16.5" customHeight="1">
      <c r="F82" s="417"/>
      <c r="G82" s="417"/>
      <c r="H82" s="417"/>
      <c r="I82" s="417"/>
      <c r="J82" s="417"/>
      <c r="K82" s="417"/>
      <c r="L82" s="417"/>
      <c r="M82" s="417"/>
      <c r="N82" s="417"/>
      <c r="O82" s="417"/>
      <c r="P82" s="417"/>
      <c r="Q82" s="417"/>
      <c r="R82" s="417"/>
      <c r="S82" s="417"/>
      <c r="T82" s="417"/>
      <c r="U82" s="417"/>
      <c r="V82" s="417"/>
      <c r="W82" s="417"/>
      <c r="X82" s="417"/>
      <c r="Y82" s="417"/>
      <c r="Z82" s="417"/>
      <c r="AA82" s="417"/>
      <c r="AB82" s="417"/>
      <c r="AC82" s="417"/>
      <c r="AD82" s="417"/>
      <c r="AE82" s="417"/>
    </row>
    <row r="83" spans="6:31" ht="16.5" customHeight="1">
      <c r="F83" s="417"/>
      <c r="G83" s="417"/>
      <c r="H83" s="417"/>
      <c r="I83" s="417"/>
      <c r="J83" s="417"/>
      <c r="K83" s="417"/>
      <c r="L83" s="417"/>
      <c r="M83" s="417"/>
      <c r="N83" s="417"/>
      <c r="O83" s="417"/>
      <c r="P83" s="417"/>
      <c r="Q83" s="417"/>
      <c r="R83" s="417"/>
      <c r="S83" s="417"/>
      <c r="T83" s="417"/>
      <c r="U83" s="417"/>
      <c r="V83" s="417"/>
      <c r="W83" s="417"/>
      <c r="X83" s="417"/>
      <c r="Y83" s="417"/>
      <c r="Z83" s="417"/>
      <c r="AA83" s="417"/>
      <c r="AB83" s="417"/>
      <c r="AC83" s="417"/>
      <c r="AD83" s="417"/>
      <c r="AE83" s="417"/>
    </row>
    <row r="84" spans="6:31" ht="16.5" customHeight="1">
      <c r="F84" s="417"/>
      <c r="G84" s="417"/>
      <c r="H84" s="417"/>
      <c r="I84" s="417"/>
      <c r="J84" s="417"/>
      <c r="K84" s="417"/>
      <c r="L84" s="417"/>
      <c r="M84" s="417"/>
      <c r="N84" s="417"/>
      <c r="O84" s="417"/>
      <c r="P84" s="417"/>
      <c r="Q84" s="417"/>
      <c r="R84" s="417"/>
      <c r="S84" s="417"/>
      <c r="T84" s="417"/>
      <c r="U84" s="417"/>
      <c r="V84" s="417"/>
      <c r="W84" s="417"/>
      <c r="X84" s="417"/>
      <c r="Y84" s="417"/>
      <c r="Z84" s="417"/>
      <c r="AA84" s="417"/>
      <c r="AB84" s="417"/>
      <c r="AC84" s="417"/>
      <c r="AD84" s="417"/>
      <c r="AE84" s="417"/>
    </row>
    <row r="85" spans="6:31" ht="16.5" customHeight="1">
      <c r="F85" s="417"/>
      <c r="G85" s="417"/>
      <c r="H85" s="417"/>
      <c r="I85" s="417"/>
      <c r="J85" s="417"/>
      <c r="K85" s="417"/>
      <c r="L85" s="417"/>
      <c r="M85" s="417"/>
      <c r="N85" s="417"/>
      <c r="O85" s="417"/>
      <c r="P85" s="417"/>
      <c r="Q85" s="417"/>
      <c r="R85" s="417"/>
      <c r="S85" s="417"/>
      <c r="T85" s="417"/>
      <c r="U85" s="417"/>
      <c r="V85" s="417"/>
      <c r="W85" s="417"/>
      <c r="X85" s="417"/>
      <c r="Y85" s="417"/>
      <c r="Z85" s="417"/>
      <c r="AA85" s="417"/>
      <c r="AB85" s="417"/>
      <c r="AC85" s="417"/>
      <c r="AD85" s="417"/>
      <c r="AE85" s="417"/>
    </row>
    <row r="86" spans="6:31" ht="16.5" customHeight="1">
      <c r="F86" s="417"/>
      <c r="G86" s="417"/>
      <c r="H86" s="417"/>
      <c r="I86" s="417"/>
      <c r="J86" s="417"/>
      <c r="K86" s="417"/>
      <c r="L86" s="417"/>
      <c r="M86" s="417"/>
      <c r="N86" s="417"/>
      <c r="O86" s="417"/>
      <c r="P86" s="417"/>
      <c r="Q86" s="417"/>
      <c r="R86" s="417"/>
      <c r="S86" s="417"/>
      <c r="T86" s="417"/>
      <c r="U86" s="417"/>
      <c r="V86" s="417"/>
      <c r="W86" s="417"/>
      <c r="X86" s="417"/>
      <c r="Y86" s="417"/>
      <c r="Z86" s="417"/>
      <c r="AA86" s="417"/>
      <c r="AB86" s="417"/>
      <c r="AC86" s="417"/>
      <c r="AD86" s="417"/>
      <c r="AE86" s="417"/>
    </row>
    <row r="87" spans="6:31" ht="16.5" customHeight="1">
      <c r="F87" s="417"/>
      <c r="G87" s="417"/>
      <c r="H87" s="417"/>
      <c r="I87" s="417"/>
      <c r="J87" s="417"/>
      <c r="K87" s="417"/>
      <c r="L87" s="417"/>
      <c r="M87" s="417"/>
      <c r="N87" s="417"/>
      <c r="O87" s="417"/>
      <c r="P87" s="417"/>
      <c r="Q87" s="417"/>
      <c r="R87" s="417"/>
      <c r="S87" s="417"/>
      <c r="T87" s="417"/>
      <c r="U87" s="417"/>
      <c r="V87" s="417"/>
      <c r="W87" s="417"/>
      <c r="X87" s="417"/>
      <c r="Y87" s="417"/>
      <c r="Z87" s="417"/>
      <c r="AA87" s="417"/>
      <c r="AB87" s="417"/>
      <c r="AC87" s="417"/>
      <c r="AD87" s="417"/>
      <c r="AE87" s="417"/>
    </row>
    <row r="88" spans="6:31" ht="16.5" customHeight="1">
      <c r="F88" s="417"/>
      <c r="G88" s="417"/>
      <c r="H88" s="417"/>
      <c r="I88" s="417"/>
      <c r="J88" s="417"/>
      <c r="K88" s="417"/>
      <c r="L88" s="417"/>
      <c r="M88" s="417"/>
      <c r="N88" s="417"/>
      <c r="O88" s="417"/>
      <c r="P88" s="417"/>
      <c r="Q88" s="417"/>
      <c r="R88" s="417"/>
      <c r="S88" s="417"/>
      <c r="T88" s="417"/>
      <c r="U88" s="417"/>
      <c r="V88" s="417"/>
      <c r="W88" s="417"/>
      <c r="X88" s="417"/>
      <c r="Y88" s="417"/>
      <c r="Z88" s="417"/>
      <c r="AA88" s="417"/>
      <c r="AB88" s="417"/>
      <c r="AC88" s="417"/>
      <c r="AD88" s="417"/>
      <c r="AE88" s="417"/>
    </row>
    <row r="89" spans="6:31" ht="16.5" customHeight="1">
      <c r="F89" s="417"/>
      <c r="G89" s="417"/>
      <c r="H89" s="417"/>
      <c r="I89" s="417"/>
      <c r="J89" s="417"/>
      <c r="K89" s="417"/>
      <c r="L89" s="417"/>
      <c r="M89" s="417"/>
      <c r="N89" s="417"/>
      <c r="O89" s="417"/>
      <c r="P89" s="417"/>
      <c r="Q89" s="417"/>
      <c r="R89" s="417"/>
      <c r="S89" s="417"/>
      <c r="T89" s="417"/>
      <c r="U89" s="417"/>
      <c r="V89" s="417"/>
      <c r="W89" s="417"/>
      <c r="X89" s="417"/>
      <c r="Y89" s="417"/>
      <c r="Z89" s="417"/>
      <c r="AA89" s="417"/>
      <c r="AB89" s="417"/>
      <c r="AC89" s="417"/>
      <c r="AD89" s="417"/>
      <c r="AE89" s="417"/>
    </row>
    <row r="90" spans="6:31" ht="16.5" customHeight="1">
      <c r="F90" s="417"/>
      <c r="G90" s="417"/>
      <c r="H90" s="417"/>
      <c r="I90" s="417"/>
      <c r="J90" s="417"/>
      <c r="K90" s="417"/>
      <c r="L90" s="417"/>
      <c r="M90" s="417"/>
      <c r="N90" s="417"/>
      <c r="O90" s="417"/>
      <c r="P90" s="417"/>
      <c r="Q90" s="417"/>
      <c r="R90" s="417"/>
      <c r="S90" s="417"/>
      <c r="T90" s="417"/>
      <c r="U90" s="417"/>
      <c r="V90" s="417"/>
      <c r="W90" s="417"/>
      <c r="X90" s="417"/>
      <c r="Y90" s="417"/>
      <c r="Z90" s="417"/>
      <c r="AA90" s="417"/>
      <c r="AB90" s="417"/>
      <c r="AC90" s="417"/>
      <c r="AD90" s="417"/>
      <c r="AE90" s="417"/>
    </row>
    <row r="91" spans="6:31" ht="16.5" customHeight="1">
      <c r="F91" s="417"/>
      <c r="G91" s="417"/>
      <c r="H91" s="417"/>
      <c r="I91" s="417"/>
      <c r="J91" s="417"/>
      <c r="K91" s="417"/>
      <c r="L91" s="417"/>
      <c r="M91" s="417"/>
      <c r="N91" s="417"/>
      <c r="O91" s="417"/>
      <c r="P91" s="417"/>
      <c r="Q91" s="417"/>
      <c r="R91" s="417"/>
      <c r="S91" s="417"/>
      <c r="T91" s="417"/>
      <c r="U91" s="417"/>
      <c r="V91" s="417"/>
      <c r="W91" s="417"/>
      <c r="X91" s="417"/>
      <c r="Y91" s="417"/>
      <c r="Z91" s="417"/>
      <c r="AA91" s="417"/>
      <c r="AB91" s="417"/>
      <c r="AC91" s="417"/>
      <c r="AD91" s="417"/>
      <c r="AE91" s="417"/>
    </row>
    <row r="92" spans="6:31" ht="16.5" customHeight="1">
      <c r="F92" s="417"/>
      <c r="G92" s="417"/>
      <c r="H92" s="417"/>
      <c r="I92" s="417"/>
      <c r="J92" s="417"/>
      <c r="K92" s="417"/>
      <c r="L92" s="417"/>
      <c r="M92" s="417"/>
      <c r="N92" s="417"/>
      <c r="O92" s="417"/>
      <c r="P92" s="417"/>
      <c r="Q92" s="417"/>
      <c r="R92" s="417"/>
      <c r="S92" s="417"/>
      <c r="T92" s="417"/>
      <c r="U92" s="417"/>
      <c r="V92" s="417"/>
      <c r="W92" s="417"/>
      <c r="X92" s="417"/>
      <c r="Y92" s="417"/>
      <c r="Z92" s="417"/>
      <c r="AA92" s="417"/>
      <c r="AB92" s="417"/>
      <c r="AC92" s="417"/>
      <c r="AD92" s="417"/>
      <c r="AE92" s="417"/>
    </row>
    <row r="93" spans="6:31" ht="16.5" customHeight="1">
      <c r="F93" s="417"/>
      <c r="G93" s="417"/>
      <c r="H93" s="417"/>
      <c r="I93" s="417"/>
      <c r="J93" s="417"/>
      <c r="K93" s="417"/>
      <c r="L93" s="417"/>
      <c r="M93" s="417"/>
      <c r="N93" s="417"/>
      <c r="O93" s="417"/>
      <c r="P93" s="417"/>
      <c r="Q93" s="417"/>
      <c r="R93" s="417"/>
      <c r="S93" s="417"/>
      <c r="T93" s="417"/>
      <c r="U93" s="417"/>
      <c r="V93" s="417"/>
      <c r="W93" s="417"/>
      <c r="X93" s="417"/>
      <c r="Y93" s="417"/>
      <c r="Z93" s="417"/>
      <c r="AA93" s="417"/>
      <c r="AB93" s="417"/>
      <c r="AC93" s="417"/>
      <c r="AD93" s="417"/>
      <c r="AE93" s="417"/>
    </row>
    <row r="94" spans="6:31" ht="16.5" customHeight="1">
      <c r="F94" s="417"/>
      <c r="G94" s="417"/>
      <c r="H94" s="417"/>
      <c r="I94" s="417"/>
      <c r="J94" s="417"/>
      <c r="K94" s="417"/>
      <c r="L94" s="417"/>
      <c r="M94" s="417"/>
      <c r="N94" s="417"/>
      <c r="O94" s="417"/>
      <c r="P94" s="417"/>
      <c r="Q94" s="417"/>
      <c r="R94" s="417"/>
      <c r="S94" s="417"/>
      <c r="T94" s="417"/>
      <c r="U94" s="417"/>
      <c r="V94" s="417"/>
      <c r="W94" s="417"/>
      <c r="X94" s="417"/>
      <c r="Y94" s="417"/>
      <c r="Z94" s="417"/>
      <c r="AA94" s="417"/>
      <c r="AB94" s="417"/>
      <c r="AC94" s="417"/>
      <c r="AD94" s="417"/>
      <c r="AE94" s="417"/>
    </row>
    <row r="95" spans="6:31" ht="16.5" customHeight="1">
      <c r="F95" s="417"/>
      <c r="G95" s="417"/>
      <c r="H95" s="417"/>
      <c r="I95" s="417"/>
      <c r="J95" s="417"/>
      <c r="K95" s="417"/>
      <c r="L95" s="417"/>
      <c r="M95" s="417"/>
      <c r="N95" s="417"/>
      <c r="O95" s="417"/>
      <c r="P95" s="417"/>
      <c r="Q95" s="417"/>
      <c r="R95" s="417"/>
      <c r="S95" s="417"/>
      <c r="T95" s="417"/>
      <c r="U95" s="417"/>
      <c r="V95" s="417"/>
      <c r="W95" s="417"/>
      <c r="X95" s="417"/>
      <c r="Y95" s="417"/>
      <c r="Z95" s="417"/>
      <c r="AA95" s="417"/>
      <c r="AB95" s="417"/>
      <c r="AC95" s="417"/>
      <c r="AD95" s="417"/>
      <c r="AE95" s="417"/>
    </row>
    <row r="96" spans="6:31" ht="16.5" customHeight="1">
      <c r="F96" s="417"/>
      <c r="G96" s="417"/>
      <c r="H96" s="417"/>
      <c r="I96" s="417"/>
      <c r="J96" s="417"/>
      <c r="K96" s="417"/>
      <c r="L96" s="417"/>
      <c r="M96" s="417"/>
      <c r="N96" s="417"/>
      <c r="O96" s="417"/>
      <c r="P96" s="417"/>
      <c r="Q96" s="417"/>
      <c r="R96" s="417"/>
      <c r="S96" s="417"/>
      <c r="T96" s="417"/>
      <c r="U96" s="417"/>
      <c r="V96" s="417"/>
      <c r="W96" s="417"/>
      <c r="X96" s="417"/>
      <c r="Y96" s="417"/>
      <c r="Z96" s="417"/>
      <c r="AA96" s="417"/>
      <c r="AB96" s="417"/>
      <c r="AC96" s="417"/>
      <c r="AD96" s="417"/>
      <c r="AE96" s="417"/>
    </row>
    <row r="97" spans="6:31" ht="16.5" customHeight="1">
      <c r="F97" s="417"/>
      <c r="G97" s="417"/>
      <c r="H97" s="417"/>
      <c r="I97" s="417"/>
      <c r="J97" s="417"/>
      <c r="K97" s="417"/>
      <c r="L97" s="417"/>
      <c r="M97" s="417"/>
      <c r="N97" s="417"/>
      <c r="O97" s="417"/>
      <c r="P97" s="417"/>
      <c r="Q97" s="417"/>
      <c r="R97" s="417"/>
      <c r="S97" s="417"/>
      <c r="T97" s="417"/>
      <c r="U97" s="417"/>
      <c r="V97" s="417"/>
      <c r="W97" s="417"/>
      <c r="X97" s="417"/>
      <c r="Y97" s="417"/>
      <c r="Z97" s="417"/>
      <c r="AA97" s="417"/>
      <c r="AB97" s="417"/>
      <c r="AC97" s="417"/>
      <c r="AD97" s="417"/>
      <c r="AE97" s="417"/>
    </row>
    <row r="98" spans="6:31" ht="16.5" customHeight="1">
      <c r="F98" s="417"/>
      <c r="G98" s="417"/>
      <c r="H98" s="417"/>
      <c r="I98" s="417"/>
      <c r="J98" s="417"/>
      <c r="K98" s="417"/>
      <c r="L98" s="417"/>
      <c r="M98" s="417"/>
      <c r="N98" s="417"/>
      <c r="O98" s="417"/>
      <c r="P98" s="417"/>
      <c r="Q98" s="417"/>
      <c r="R98" s="417"/>
      <c r="S98" s="417"/>
      <c r="T98" s="417"/>
      <c r="U98" s="417"/>
      <c r="V98" s="417"/>
      <c r="W98" s="417"/>
      <c r="X98" s="417"/>
      <c r="Y98" s="417"/>
      <c r="Z98" s="417"/>
      <c r="AA98" s="417"/>
      <c r="AB98" s="417"/>
      <c r="AC98" s="417"/>
      <c r="AD98" s="417"/>
      <c r="AE98" s="417"/>
    </row>
    <row r="99" spans="6:31" ht="16.5" customHeight="1">
      <c r="F99" s="417"/>
      <c r="G99" s="417"/>
      <c r="H99" s="417"/>
      <c r="I99" s="417"/>
      <c r="J99" s="417"/>
      <c r="K99" s="417"/>
      <c r="L99" s="417"/>
      <c r="M99" s="417"/>
      <c r="N99" s="417"/>
      <c r="O99" s="417"/>
      <c r="P99" s="417"/>
      <c r="Q99" s="417"/>
      <c r="R99" s="417"/>
      <c r="S99" s="417"/>
      <c r="T99" s="417"/>
      <c r="U99" s="417"/>
      <c r="V99" s="417"/>
      <c r="W99" s="417"/>
      <c r="X99" s="417"/>
      <c r="Y99" s="417"/>
      <c r="Z99" s="417"/>
      <c r="AA99" s="417"/>
      <c r="AB99" s="417"/>
      <c r="AC99" s="417"/>
      <c r="AD99" s="417"/>
      <c r="AE99" s="417"/>
    </row>
    <row r="100" spans="6:31" ht="16.5" customHeight="1">
      <c r="F100" s="417"/>
      <c r="G100" s="417"/>
      <c r="H100" s="417"/>
      <c r="I100" s="417"/>
      <c r="J100" s="417"/>
      <c r="K100" s="417"/>
      <c r="L100" s="417"/>
      <c r="M100" s="417"/>
      <c r="N100" s="417"/>
      <c r="O100" s="417"/>
      <c r="P100" s="417"/>
      <c r="Q100" s="417"/>
      <c r="R100" s="417"/>
      <c r="S100" s="417"/>
      <c r="T100" s="417"/>
      <c r="U100" s="417"/>
      <c r="V100" s="417"/>
      <c r="W100" s="417"/>
      <c r="X100" s="417"/>
      <c r="Y100" s="417"/>
      <c r="Z100" s="417"/>
      <c r="AA100" s="417"/>
      <c r="AB100" s="417"/>
      <c r="AC100" s="417"/>
      <c r="AD100" s="417"/>
      <c r="AE100" s="417"/>
    </row>
    <row r="101" spans="6:31" ht="16.5" customHeight="1">
      <c r="F101" s="417"/>
      <c r="G101" s="417"/>
      <c r="H101" s="417"/>
      <c r="I101" s="417"/>
      <c r="J101" s="417"/>
      <c r="K101" s="417"/>
      <c r="L101" s="417"/>
      <c r="M101" s="417"/>
      <c r="N101" s="417"/>
      <c r="O101" s="417"/>
      <c r="P101" s="417"/>
      <c r="Q101" s="417"/>
      <c r="R101" s="417"/>
      <c r="S101" s="417"/>
      <c r="T101" s="417"/>
      <c r="U101" s="417"/>
      <c r="V101" s="417"/>
      <c r="W101" s="417"/>
      <c r="X101" s="417"/>
      <c r="Y101" s="417"/>
      <c r="Z101" s="417"/>
      <c r="AA101" s="417"/>
      <c r="AB101" s="417"/>
      <c r="AC101" s="417"/>
      <c r="AD101" s="417"/>
      <c r="AE101" s="417"/>
    </row>
    <row r="102" spans="6:31" ht="16.5" customHeight="1">
      <c r="F102" s="417"/>
      <c r="G102" s="417"/>
      <c r="H102" s="417"/>
      <c r="I102" s="417"/>
      <c r="J102" s="417"/>
      <c r="K102" s="417"/>
      <c r="L102" s="417"/>
      <c r="M102" s="417"/>
      <c r="N102" s="417"/>
      <c r="O102" s="417"/>
      <c r="P102" s="417"/>
      <c r="Q102" s="417"/>
      <c r="R102" s="417"/>
      <c r="S102" s="417"/>
      <c r="T102" s="417"/>
      <c r="U102" s="417"/>
      <c r="V102" s="417"/>
      <c r="W102" s="417"/>
      <c r="X102" s="417"/>
      <c r="Y102" s="417"/>
      <c r="Z102" s="417"/>
      <c r="AA102" s="417"/>
      <c r="AB102" s="417"/>
      <c r="AC102" s="417"/>
      <c r="AD102" s="417"/>
      <c r="AE102" s="417"/>
    </row>
    <row r="103" spans="6:31" ht="16.5" customHeight="1">
      <c r="F103" s="417"/>
      <c r="G103" s="417"/>
      <c r="H103" s="417"/>
      <c r="I103" s="417"/>
      <c r="J103" s="417"/>
      <c r="K103" s="417"/>
      <c r="L103" s="417"/>
      <c r="M103" s="417"/>
      <c r="N103" s="417"/>
      <c r="O103" s="417"/>
      <c r="P103" s="417"/>
      <c r="Q103" s="417"/>
      <c r="R103" s="417"/>
      <c r="S103" s="417"/>
      <c r="T103" s="417"/>
      <c r="U103" s="417"/>
      <c r="V103" s="417"/>
      <c r="W103" s="417"/>
      <c r="X103" s="417"/>
      <c r="Y103" s="417"/>
      <c r="Z103" s="417"/>
      <c r="AA103" s="417"/>
      <c r="AB103" s="417"/>
      <c r="AC103" s="417"/>
      <c r="AD103" s="417"/>
      <c r="AE103" s="417"/>
    </row>
    <row r="104" spans="6:31" ht="16.5" customHeight="1">
      <c r="F104" s="417"/>
      <c r="G104" s="417"/>
      <c r="H104" s="417"/>
      <c r="I104" s="417"/>
      <c r="J104" s="417"/>
      <c r="K104" s="417"/>
      <c r="L104" s="417"/>
      <c r="M104" s="417"/>
      <c r="N104" s="417"/>
      <c r="O104" s="417"/>
      <c r="P104" s="417"/>
      <c r="Q104" s="417"/>
      <c r="R104" s="417"/>
      <c r="S104" s="417"/>
      <c r="T104" s="417"/>
      <c r="U104" s="417"/>
      <c r="V104" s="417"/>
      <c r="W104" s="417"/>
      <c r="X104" s="417"/>
      <c r="Y104" s="417"/>
      <c r="Z104" s="417"/>
      <c r="AA104" s="417"/>
      <c r="AB104" s="417"/>
      <c r="AC104" s="417"/>
      <c r="AD104" s="417"/>
      <c r="AE104" s="417"/>
    </row>
    <row r="105" spans="6:31" ht="16.5" customHeight="1">
      <c r="F105" s="417"/>
      <c r="G105" s="417"/>
      <c r="H105" s="417"/>
      <c r="I105" s="417"/>
      <c r="J105" s="417"/>
      <c r="K105" s="417"/>
      <c r="L105" s="417"/>
      <c r="M105" s="417"/>
      <c r="N105" s="417"/>
      <c r="O105" s="417"/>
      <c r="P105" s="417"/>
      <c r="Q105" s="417"/>
      <c r="R105" s="417"/>
      <c r="S105" s="417"/>
      <c r="T105" s="417"/>
      <c r="U105" s="417"/>
      <c r="V105" s="417"/>
      <c r="W105" s="417"/>
      <c r="X105" s="417"/>
      <c r="Y105" s="417"/>
      <c r="Z105" s="417"/>
      <c r="AA105" s="417"/>
      <c r="AB105" s="417"/>
      <c r="AC105" s="417"/>
      <c r="AD105" s="417"/>
      <c r="AE105" s="417"/>
    </row>
    <row r="106" spans="6:31" ht="16.5" customHeight="1">
      <c r="F106" s="417"/>
      <c r="G106" s="417"/>
      <c r="H106" s="417"/>
      <c r="I106" s="417"/>
      <c r="J106" s="417"/>
      <c r="K106" s="417"/>
      <c r="L106" s="417"/>
      <c r="M106" s="417"/>
      <c r="N106" s="417"/>
      <c r="O106" s="417"/>
      <c r="P106" s="417"/>
      <c r="Q106" s="417"/>
      <c r="R106" s="417"/>
      <c r="S106" s="417"/>
      <c r="T106" s="417"/>
      <c r="U106" s="417"/>
      <c r="V106" s="417"/>
      <c r="W106" s="417"/>
      <c r="X106" s="417"/>
      <c r="Y106" s="417"/>
      <c r="Z106" s="417"/>
      <c r="AA106" s="417"/>
      <c r="AB106" s="417"/>
      <c r="AC106" s="417"/>
      <c r="AD106" s="417"/>
      <c r="AE106" s="417"/>
    </row>
    <row r="107" spans="6:31" ht="16.5" customHeight="1">
      <c r="F107" s="417"/>
      <c r="G107" s="417"/>
      <c r="H107" s="417"/>
      <c r="I107" s="417"/>
      <c r="J107" s="417"/>
      <c r="K107" s="417"/>
      <c r="L107" s="417"/>
      <c r="M107" s="417"/>
      <c r="N107" s="417"/>
      <c r="O107" s="417"/>
      <c r="P107" s="417"/>
      <c r="Q107" s="417"/>
      <c r="R107" s="417"/>
      <c r="S107" s="417"/>
      <c r="T107" s="417"/>
      <c r="U107" s="417"/>
      <c r="V107" s="417"/>
      <c r="W107" s="417"/>
      <c r="X107" s="417"/>
      <c r="Y107" s="417"/>
      <c r="Z107" s="417"/>
      <c r="AA107" s="417"/>
      <c r="AB107" s="417"/>
      <c r="AC107" s="417"/>
      <c r="AD107" s="417"/>
      <c r="AE107" s="417"/>
    </row>
    <row r="108" spans="6:31" ht="16.5" customHeight="1">
      <c r="F108" s="417"/>
      <c r="G108" s="417"/>
      <c r="H108" s="417"/>
      <c r="I108" s="417"/>
      <c r="J108" s="417"/>
      <c r="K108" s="417"/>
      <c r="L108" s="417"/>
      <c r="M108" s="417"/>
      <c r="N108" s="417"/>
      <c r="O108" s="417"/>
      <c r="P108" s="417"/>
      <c r="Q108" s="417"/>
      <c r="R108" s="417"/>
      <c r="S108" s="417"/>
      <c r="T108" s="417"/>
      <c r="U108" s="417"/>
      <c r="V108" s="417"/>
      <c r="W108" s="417"/>
      <c r="X108" s="417"/>
      <c r="Y108" s="417"/>
      <c r="Z108" s="417"/>
      <c r="AA108" s="417"/>
      <c r="AB108" s="417"/>
      <c r="AC108" s="417"/>
      <c r="AD108" s="417"/>
      <c r="AE108" s="417"/>
    </row>
    <row r="109" spans="6:31" ht="16.5" customHeight="1">
      <c r="F109" s="417"/>
      <c r="G109" s="417"/>
      <c r="H109" s="417"/>
      <c r="I109" s="417"/>
      <c r="J109" s="417"/>
      <c r="K109" s="417"/>
      <c r="L109" s="417"/>
      <c r="M109" s="417"/>
      <c r="N109" s="417"/>
      <c r="O109" s="417"/>
      <c r="P109" s="417"/>
      <c r="Q109" s="417"/>
      <c r="R109" s="417"/>
      <c r="S109" s="417"/>
      <c r="T109" s="417"/>
      <c r="U109" s="417"/>
      <c r="V109" s="417"/>
      <c r="W109" s="417"/>
      <c r="X109" s="417"/>
      <c r="Y109" s="417"/>
      <c r="Z109" s="417"/>
      <c r="AA109" s="417"/>
      <c r="AB109" s="417"/>
      <c r="AC109" s="417"/>
      <c r="AD109" s="417"/>
      <c r="AE109" s="417"/>
    </row>
    <row r="110" spans="6:31" ht="16.5" customHeight="1">
      <c r="F110" s="417"/>
      <c r="G110" s="417"/>
      <c r="H110" s="417"/>
      <c r="I110" s="417"/>
      <c r="J110" s="417"/>
      <c r="K110" s="417"/>
      <c r="L110" s="417"/>
      <c r="M110" s="417"/>
      <c r="N110" s="417"/>
      <c r="O110" s="417"/>
      <c r="P110" s="417"/>
      <c r="Q110" s="417"/>
      <c r="R110" s="417"/>
      <c r="S110" s="417"/>
      <c r="T110" s="417"/>
      <c r="U110" s="417"/>
      <c r="V110" s="417"/>
      <c r="W110" s="417"/>
      <c r="X110" s="417"/>
      <c r="Y110" s="417"/>
      <c r="Z110" s="417"/>
      <c r="AA110" s="417"/>
      <c r="AB110" s="417"/>
      <c r="AC110" s="417"/>
      <c r="AD110" s="417"/>
      <c r="AE110" s="417"/>
    </row>
    <row r="111" spans="6:31" ht="16.5" customHeight="1">
      <c r="F111" s="417"/>
      <c r="G111" s="417"/>
      <c r="H111" s="417"/>
      <c r="I111" s="417"/>
      <c r="J111" s="417"/>
      <c r="K111" s="417"/>
      <c r="L111" s="417"/>
      <c r="M111" s="417"/>
      <c r="N111" s="417"/>
      <c r="O111" s="417"/>
      <c r="P111" s="417"/>
      <c r="Q111" s="417"/>
      <c r="R111" s="417"/>
      <c r="S111" s="417"/>
      <c r="T111" s="417"/>
      <c r="U111" s="417"/>
      <c r="V111" s="417"/>
      <c r="W111" s="417"/>
      <c r="X111" s="417"/>
      <c r="Y111" s="417"/>
      <c r="Z111" s="417"/>
      <c r="AA111" s="417"/>
      <c r="AB111" s="417"/>
      <c r="AC111" s="417"/>
      <c r="AD111" s="417"/>
      <c r="AE111" s="417"/>
    </row>
    <row r="112" spans="6:31" ht="16.5" customHeight="1">
      <c r="F112" s="417"/>
      <c r="G112" s="417"/>
      <c r="H112" s="417"/>
      <c r="I112" s="417"/>
      <c r="J112" s="417"/>
      <c r="K112" s="417"/>
      <c r="L112" s="417"/>
      <c r="M112" s="417"/>
      <c r="N112" s="417"/>
      <c r="O112" s="417"/>
      <c r="P112" s="417"/>
      <c r="Q112" s="417"/>
      <c r="R112" s="417"/>
      <c r="S112" s="417"/>
      <c r="T112" s="417"/>
      <c r="U112" s="417"/>
      <c r="V112" s="417"/>
      <c r="W112" s="417"/>
      <c r="X112" s="417"/>
      <c r="Y112" s="417"/>
      <c r="Z112" s="417"/>
      <c r="AA112" s="417"/>
      <c r="AB112" s="417"/>
      <c r="AC112" s="417"/>
      <c r="AD112" s="417"/>
      <c r="AE112" s="417"/>
    </row>
    <row r="113" spans="6:31" ht="16.5" customHeight="1">
      <c r="F113" s="417"/>
      <c r="G113" s="417"/>
      <c r="H113" s="417"/>
      <c r="I113" s="417"/>
      <c r="J113" s="417"/>
      <c r="K113" s="417"/>
      <c r="L113" s="417"/>
      <c r="M113" s="417"/>
      <c r="N113" s="417"/>
      <c r="O113" s="417"/>
      <c r="P113" s="417"/>
      <c r="Q113" s="417"/>
      <c r="R113" s="417"/>
      <c r="S113" s="417"/>
      <c r="T113" s="417"/>
      <c r="U113" s="417"/>
      <c r="V113" s="417"/>
      <c r="W113" s="417"/>
      <c r="X113" s="417"/>
      <c r="Y113" s="417"/>
      <c r="Z113" s="417"/>
      <c r="AA113" s="417"/>
      <c r="AB113" s="417"/>
      <c r="AC113" s="417"/>
      <c r="AD113" s="417"/>
      <c r="AE113" s="417"/>
    </row>
    <row r="114" spans="6:31" ht="16.5" customHeight="1">
      <c r="F114" s="417"/>
      <c r="G114" s="417"/>
      <c r="H114" s="417"/>
      <c r="I114" s="417"/>
      <c r="J114" s="417"/>
      <c r="K114" s="417"/>
      <c r="L114" s="417"/>
      <c r="M114" s="417"/>
      <c r="N114" s="417"/>
      <c r="O114" s="417"/>
      <c r="P114" s="417"/>
      <c r="Q114" s="417"/>
      <c r="R114" s="417"/>
      <c r="S114" s="417"/>
      <c r="T114" s="417"/>
      <c r="U114" s="417"/>
      <c r="V114" s="417"/>
      <c r="W114" s="417"/>
      <c r="X114" s="417"/>
      <c r="Y114" s="417"/>
      <c r="Z114" s="417"/>
      <c r="AA114" s="417"/>
      <c r="AB114" s="417"/>
      <c r="AC114" s="417"/>
      <c r="AD114" s="417"/>
      <c r="AE114" s="417"/>
    </row>
    <row r="115" spans="6:31" ht="16.5" customHeight="1">
      <c r="F115" s="417"/>
      <c r="G115" s="417"/>
      <c r="H115" s="417"/>
      <c r="I115" s="417"/>
      <c r="J115" s="417"/>
      <c r="K115" s="417"/>
      <c r="L115" s="417"/>
      <c r="M115" s="417"/>
      <c r="N115" s="417"/>
      <c r="O115" s="417"/>
      <c r="P115" s="417"/>
      <c r="Q115" s="417"/>
      <c r="R115" s="417"/>
      <c r="S115" s="417"/>
      <c r="T115" s="417"/>
      <c r="U115" s="417"/>
      <c r="V115" s="417"/>
      <c r="W115" s="417"/>
      <c r="X115" s="417"/>
      <c r="Y115" s="417"/>
      <c r="Z115" s="417"/>
      <c r="AA115" s="417"/>
      <c r="AB115" s="417"/>
      <c r="AC115" s="417"/>
      <c r="AD115" s="417"/>
      <c r="AE115" s="417"/>
    </row>
    <row r="116" spans="6:31" ht="16.5" customHeight="1">
      <c r="F116" s="417"/>
      <c r="G116" s="417"/>
      <c r="H116" s="417"/>
      <c r="I116" s="417"/>
      <c r="J116" s="417"/>
      <c r="K116" s="417"/>
      <c r="L116" s="417"/>
      <c r="M116" s="417"/>
      <c r="N116" s="417"/>
      <c r="O116" s="417"/>
      <c r="P116" s="417"/>
      <c r="Q116" s="417"/>
      <c r="R116" s="417"/>
      <c r="S116" s="417"/>
      <c r="T116" s="417"/>
      <c r="U116" s="417"/>
      <c r="V116" s="417"/>
      <c r="W116" s="417"/>
      <c r="X116" s="417"/>
      <c r="Y116" s="417"/>
      <c r="Z116" s="417"/>
      <c r="AA116" s="417"/>
      <c r="AB116" s="417"/>
      <c r="AC116" s="417"/>
      <c r="AD116" s="417"/>
      <c r="AE116" s="417"/>
    </row>
    <row r="117" spans="6:31" ht="16.5" customHeight="1">
      <c r="F117" s="417"/>
      <c r="G117" s="417"/>
      <c r="H117" s="417"/>
      <c r="I117" s="417"/>
      <c r="J117" s="417"/>
      <c r="K117" s="417"/>
      <c r="L117" s="417"/>
      <c r="M117" s="417"/>
      <c r="N117" s="417"/>
      <c r="O117" s="417"/>
      <c r="P117" s="417"/>
      <c r="Q117" s="417"/>
      <c r="R117" s="417"/>
      <c r="S117" s="417"/>
      <c r="T117" s="417"/>
      <c r="U117" s="417"/>
      <c r="V117" s="417"/>
      <c r="W117" s="417"/>
      <c r="X117" s="417"/>
      <c r="Y117" s="417"/>
      <c r="Z117" s="417"/>
      <c r="AA117" s="417"/>
      <c r="AB117" s="417"/>
      <c r="AC117" s="417"/>
      <c r="AD117" s="417"/>
      <c r="AE117" s="417"/>
    </row>
    <row r="118" spans="6:31" ht="16.5" customHeight="1">
      <c r="F118" s="417"/>
      <c r="G118" s="417"/>
      <c r="H118" s="417"/>
      <c r="I118" s="417"/>
      <c r="J118" s="417"/>
      <c r="K118" s="417"/>
      <c r="L118" s="417"/>
      <c r="M118" s="417"/>
      <c r="N118" s="417"/>
      <c r="O118" s="417"/>
      <c r="P118" s="417"/>
      <c r="Q118" s="417"/>
      <c r="R118" s="417"/>
      <c r="S118" s="417"/>
      <c r="T118" s="417"/>
      <c r="U118" s="417"/>
      <c r="V118" s="417"/>
      <c r="W118" s="417"/>
      <c r="X118" s="417"/>
      <c r="Y118" s="417"/>
      <c r="Z118" s="417"/>
      <c r="AA118" s="417"/>
      <c r="AB118" s="417"/>
      <c r="AC118" s="417"/>
      <c r="AD118" s="417"/>
      <c r="AE118" s="417"/>
    </row>
    <row r="119" spans="6:31" ht="16.5" customHeight="1">
      <c r="F119" s="417"/>
      <c r="G119" s="417"/>
      <c r="H119" s="417"/>
      <c r="I119" s="417"/>
      <c r="J119" s="417"/>
      <c r="K119" s="417"/>
      <c r="L119" s="417"/>
      <c r="M119" s="417"/>
      <c r="N119" s="417"/>
      <c r="O119" s="417"/>
      <c r="P119" s="417"/>
      <c r="Q119" s="417"/>
      <c r="R119" s="417"/>
      <c r="S119" s="417"/>
      <c r="T119" s="417"/>
      <c r="U119" s="417"/>
      <c r="V119" s="417"/>
      <c r="W119" s="417"/>
      <c r="X119" s="417"/>
      <c r="Y119" s="417"/>
      <c r="Z119" s="417"/>
      <c r="AA119" s="417"/>
      <c r="AB119" s="417"/>
      <c r="AC119" s="417"/>
      <c r="AD119" s="417"/>
      <c r="AE119" s="417"/>
    </row>
    <row r="120" spans="6:31" ht="16.5" customHeight="1">
      <c r="F120" s="417"/>
      <c r="G120" s="417"/>
      <c r="H120" s="417"/>
      <c r="I120" s="417"/>
      <c r="J120" s="417"/>
      <c r="K120" s="417"/>
      <c r="L120" s="417"/>
      <c r="M120" s="417"/>
      <c r="N120" s="417"/>
      <c r="O120" s="417"/>
      <c r="P120" s="417"/>
      <c r="Q120" s="417"/>
      <c r="R120" s="417"/>
      <c r="S120" s="417"/>
      <c r="T120" s="417"/>
      <c r="U120" s="417"/>
      <c r="V120" s="417"/>
      <c r="W120" s="417"/>
      <c r="X120" s="417"/>
      <c r="Y120" s="417"/>
      <c r="Z120" s="417"/>
      <c r="AA120" s="417"/>
      <c r="AB120" s="417"/>
      <c r="AC120" s="417"/>
      <c r="AD120" s="417"/>
      <c r="AE120" s="417"/>
    </row>
    <row r="121" spans="6:31" ht="16.5" customHeight="1">
      <c r="F121" s="417"/>
      <c r="G121" s="417"/>
      <c r="H121" s="417"/>
      <c r="I121" s="417"/>
      <c r="J121" s="417"/>
      <c r="K121" s="417"/>
      <c r="L121" s="417"/>
      <c r="M121" s="417"/>
      <c r="N121" s="417"/>
      <c r="O121" s="417"/>
      <c r="P121" s="417"/>
      <c r="Q121" s="417"/>
      <c r="R121" s="417"/>
      <c r="S121" s="417"/>
      <c r="T121" s="417"/>
      <c r="U121" s="417"/>
      <c r="V121" s="417"/>
      <c r="W121" s="417"/>
      <c r="X121" s="417"/>
      <c r="Y121" s="417"/>
      <c r="Z121" s="417"/>
      <c r="AA121" s="417"/>
      <c r="AB121" s="417"/>
      <c r="AC121" s="417"/>
      <c r="AD121" s="417"/>
      <c r="AE121" s="417"/>
    </row>
    <row r="122" spans="6:31" ht="16.5" customHeight="1">
      <c r="F122" s="417"/>
      <c r="G122" s="417"/>
      <c r="H122" s="417"/>
      <c r="I122" s="417"/>
      <c r="J122" s="417"/>
      <c r="K122" s="417"/>
      <c r="L122" s="417"/>
      <c r="M122" s="417"/>
      <c r="N122" s="417"/>
      <c r="O122" s="417"/>
      <c r="P122" s="417"/>
      <c r="Q122" s="417"/>
      <c r="R122" s="417"/>
      <c r="S122" s="417"/>
      <c r="T122" s="417"/>
      <c r="U122" s="417"/>
      <c r="V122" s="417"/>
      <c r="W122" s="417"/>
      <c r="X122" s="417"/>
      <c r="Y122" s="417"/>
      <c r="Z122" s="417"/>
      <c r="AA122" s="417"/>
      <c r="AB122" s="417"/>
      <c r="AC122" s="417"/>
      <c r="AD122" s="417"/>
      <c r="AE122" s="417"/>
    </row>
    <row r="123" spans="6:31" ht="16.5" customHeight="1">
      <c r="F123" s="417"/>
      <c r="G123" s="417"/>
      <c r="H123" s="417"/>
      <c r="I123" s="417"/>
      <c r="J123" s="417"/>
      <c r="K123" s="417"/>
      <c r="L123" s="417"/>
      <c r="M123" s="417"/>
      <c r="N123" s="417"/>
      <c r="O123" s="417"/>
      <c r="P123" s="417"/>
      <c r="Q123" s="417"/>
      <c r="R123" s="417"/>
      <c r="S123" s="417"/>
      <c r="T123" s="417"/>
      <c r="U123" s="417"/>
      <c r="V123" s="417"/>
      <c r="W123" s="417"/>
      <c r="X123" s="417"/>
      <c r="Y123" s="417"/>
      <c r="Z123" s="417"/>
      <c r="AA123" s="417"/>
      <c r="AB123" s="417"/>
      <c r="AC123" s="417"/>
      <c r="AD123" s="417"/>
      <c r="AE123" s="417"/>
    </row>
    <row r="124" spans="6:31" ht="16.5" customHeight="1">
      <c r="F124" s="417"/>
      <c r="G124" s="417"/>
      <c r="H124" s="417"/>
      <c r="I124" s="417"/>
      <c r="J124" s="417"/>
      <c r="K124" s="417"/>
      <c r="L124" s="417"/>
      <c r="M124" s="417"/>
      <c r="N124" s="417"/>
      <c r="O124" s="417"/>
      <c r="P124" s="417"/>
      <c r="Q124" s="417"/>
      <c r="R124" s="417"/>
      <c r="S124" s="417"/>
      <c r="T124" s="417"/>
      <c r="U124" s="417"/>
      <c r="V124" s="417"/>
      <c r="W124" s="417"/>
      <c r="X124" s="417"/>
      <c r="Y124" s="417"/>
      <c r="Z124" s="417"/>
      <c r="AA124" s="417"/>
      <c r="AB124" s="417"/>
      <c r="AC124" s="417"/>
      <c r="AD124" s="417"/>
      <c r="AE124" s="417"/>
    </row>
    <row r="125" spans="6:31" ht="16.5" customHeight="1">
      <c r="F125" s="417"/>
      <c r="G125" s="417"/>
      <c r="H125" s="417"/>
      <c r="I125" s="417"/>
      <c r="J125" s="417"/>
      <c r="K125" s="417"/>
      <c r="L125" s="417"/>
      <c r="M125" s="417"/>
      <c r="N125" s="417"/>
      <c r="O125" s="417"/>
      <c r="P125" s="417"/>
      <c r="Q125" s="417"/>
      <c r="R125" s="417"/>
      <c r="S125" s="417"/>
      <c r="T125" s="417"/>
      <c r="U125" s="417"/>
      <c r="V125" s="417"/>
      <c r="W125" s="417"/>
      <c r="X125" s="417"/>
      <c r="Y125" s="417"/>
      <c r="Z125" s="417"/>
      <c r="AA125" s="417"/>
      <c r="AB125" s="417"/>
      <c r="AC125" s="417"/>
      <c r="AD125" s="417"/>
      <c r="AE125" s="417"/>
    </row>
    <row r="126" spans="6:31" ht="16.5" customHeight="1">
      <c r="F126" s="417"/>
      <c r="G126" s="417"/>
      <c r="H126" s="417"/>
      <c r="I126" s="417"/>
      <c r="J126" s="417"/>
      <c r="K126" s="417"/>
      <c r="L126" s="417"/>
      <c r="M126" s="417"/>
      <c r="N126" s="417"/>
      <c r="O126" s="417"/>
      <c r="P126" s="417"/>
      <c r="Q126" s="417"/>
      <c r="R126" s="417"/>
      <c r="S126" s="417"/>
      <c r="T126" s="417"/>
      <c r="U126" s="417"/>
      <c r="V126" s="417"/>
      <c r="W126" s="417"/>
      <c r="X126" s="417"/>
      <c r="Y126" s="417"/>
      <c r="Z126" s="417"/>
      <c r="AA126" s="417"/>
      <c r="AB126" s="417"/>
      <c r="AC126" s="417"/>
      <c r="AD126" s="417"/>
      <c r="AE126" s="417"/>
    </row>
    <row r="127" spans="6:31" ht="16.5" customHeight="1">
      <c r="F127" s="417"/>
      <c r="G127" s="417"/>
      <c r="H127" s="417"/>
      <c r="I127" s="417"/>
      <c r="J127" s="417"/>
      <c r="K127" s="417"/>
      <c r="L127" s="417"/>
      <c r="M127" s="417"/>
      <c r="N127" s="417"/>
      <c r="O127" s="417"/>
      <c r="P127" s="417"/>
      <c r="Q127" s="417"/>
      <c r="R127" s="417"/>
      <c r="S127" s="417"/>
      <c r="T127" s="417"/>
      <c r="U127" s="417"/>
      <c r="V127" s="417"/>
      <c r="W127" s="417"/>
      <c r="X127" s="417"/>
      <c r="Y127" s="417"/>
      <c r="Z127" s="417"/>
      <c r="AA127" s="417"/>
      <c r="AB127" s="417"/>
      <c r="AC127" s="417"/>
      <c r="AD127" s="417"/>
      <c r="AE127" s="417"/>
    </row>
    <row r="128" spans="6:31" ht="16.5" customHeight="1">
      <c r="F128" s="417"/>
      <c r="G128" s="417"/>
      <c r="H128" s="417"/>
      <c r="I128" s="417"/>
      <c r="J128" s="417"/>
      <c r="K128" s="417"/>
      <c r="L128" s="417"/>
      <c r="M128" s="417"/>
      <c r="N128" s="417"/>
      <c r="O128" s="417"/>
      <c r="P128" s="417"/>
      <c r="Q128" s="417"/>
      <c r="R128" s="417"/>
      <c r="S128" s="417"/>
      <c r="T128" s="417"/>
      <c r="U128" s="417"/>
      <c r="V128" s="417"/>
      <c r="W128" s="417"/>
      <c r="X128" s="417"/>
      <c r="Y128" s="417"/>
      <c r="Z128" s="417"/>
      <c r="AA128" s="417"/>
      <c r="AB128" s="417"/>
      <c r="AC128" s="417"/>
      <c r="AD128" s="417"/>
      <c r="AE128" s="417"/>
    </row>
    <row r="129" spans="6:31" ht="16.5" customHeight="1">
      <c r="F129" s="417"/>
      <c r="G129" s="417"/>
      <c r="H129" s="417"/>
      <c r="I129" s="417"/>
      <c r="J129" s="417"/>
      <c r="K129" s="417"/>
      <c r="L129" s="417"/>
      <c r="M129" s="417"/>
      <c r="N129" s="417"/>
      <c r="O129" s="417"/>
      <c r="P129" s="417"/>
      <c r="Q129" s="417"/>
      <c r="R129" s="417"/>
      <c r="S129" s="417"/>
      <c r="T129" s="417"/>
      <c r="U129" s="417"/>
      <c r="V129" s="417"/>
      <c r="W129" s="417"/>
      <c r="X129" s="417"/>
      <c r="Y129" s="417"/>
      <c r="Z129" s="417"/>
      <c r="AA129" s="417"/>
      <c r="AB129" s="417"/>
      <c r="AC129" s="417"/>
      <c r="AD129" s="417"/>
      <c r="AE129" s="417"/>
    </row>
    <row r="130" spans="6:31" ht="16.5" customHeight="1">
      <c r="F130" s="417"/>
      <c r="G130" s="417"/>
      <c r="H130" s="417"/>
      <c r="I130" s="417"/>
      <c r="J130" s="417"/>
      <c r="K130" s="417"/>
      <c r="L130" s="417"/>
      <c r="M130" s="417"/>
      <c r="N130" s="417"/>
      <c r="O130" s="417"/>
      <c r="P130" s="417"/>
      <c r="Q130" s="417"/>
      <c r="R130" s="417"/>
      <c r="S130" s="417"/>
      <c r="T130" s="417"/>
      <c r="U130" s="417"/>
      <c r="V130" s="417"/>
      <c r="W130" s="417"/>
      <c r="X130" s="417"/>
      <c r="Y130" s="417"/>
      <c r="Z130" s="417"/>
      <c r="AA130" s="417"/>
      <c r="AB130" s="417"/>
      <c r="AC130" s="417"/>
      <c r="AD130" s="417"/>
      <c r="AE130" s="417"/>
    </row>
    <row r="131" spans="6:31" ht="16.5" customHeight="1">
      <c r="F131" s="417"/>
      <c r="G131" s="417"/>
      <c r="H131" s="417"/>
      <c r="I131" s="417"/>
      <c r="J131" s="417"/>
      <c r="K131" s="417"/>
      <c r="L131" s="417"/>
      <c r="M131" s="417"/>
      <c r="N131" s="417"/>
      <c r="O131" s="417"/>
      <c r="P131" s="417"/>
      <c r="Q131" s="417"/>
      <c r="R131" s="417"/>
      <c r="S131" s="417"/>
      <c r="T131" s="417"/>
      <c r="U131" s="417"/>
      <c r="V131" s="417"/>
      <c r="W131" s="417"/>
      <c r="X131" s="417"/>
      <c r="Y131" s="417"/>
      <c r="Z131" s="417"/>
      <c r="AA131" s="417"/>
      <c r="AB131" s="417"/>
      <c r="AC131" s="417"/>
      <c r="AD131" s="417"/>
      <c r="AE131" s="417"/>
    </row>
    <row r="132" spans="6:31" ht="16.5" customHeight="1">
      <c r="F132" s="417"/>
      <c r="G132" s="417"/>
      <c r="H132" s="417"/>
      <c r="I132" s="417"/>
      <c r="J132" s="417"/>
      <c r="K132" s="417"/>
      <c r="L132" s="417"/>
      <c r="M132" s="417"/>
      <c r="N132" s="417"/>
      <c r="O132" s="417"/>
      <c r="P132" s="417"/>
      <c r="Q132" s="417"/>
      <c r="R132" s="417"/>
      <c r="S132" s="417"/>
      <c r="T132" s="417"/>
      <c r="U132" s="417"/>
      <c r="V132" s="417"/>
      <c r="W132" s="417"/>
      <c r="X132" s="417"/>
      <c r="Y132" s="417"/>
      <c r="Z132" s="417"/>
      <c r="AA132" s="417"/>
      <c r="AB132" s="417"/>
      <c r="AC132" s="417"/>
      <c r="AD132" s="417"/>
      <c r="AE132" s="417"/>
    </row>
    <row r="133" spans="6:31" ht="16.5" customHeight="1">
      <c r="F133" s="417"/>
      <c r="G133" s="417"/>
      <c r="H133" s="417"/>
      <c r="I133" s="417"/>
      <c r="J133" s="417"/>
      <c r="K133" s="417"/>
      <c r="L133" s="417"/>
      <c r="M133" s="417"/>
      <c r="N133" s="417"/>
      <c r="O133" s="417"/>
      <c r="P133" s="417"/>
      <c r="Q133" s="417"/>
      <c r="R133" s="417"/>
      <c r="S133" s="417"/>
      <c r="T133" s="417"/>
      <c r="U133" s="417"/>
      <c r="V133" s="417"/>
      <c r="W133" s="417"/>
      <c r="X133" s="417"/>
      <c r="Y133" s="417"/>
      <c r="Z133" s="417"/>
      <c r="AA133" s="417"/>
      <c r="AB133" s="417"/>
      <c r="AC133" s="417"/>
      <c r="AD133" s="417"/>
      <c r="AE133" s="417"/>
    </row>
    <row r="134" spans="6:31" ht="16.5" customHeight="1">
      <c r="F134" s="417"/>
      <c r="G134" s="417"/>
      <c r="H134" s="417"/>
      <c r="I134" s="417"/>
      <c r="J134" s="417"/>
      <c r="K134" s="417"/>
      <c r="L134" s="417"/>
      <c r="M134" s="417"/>
      <c r="N134" s="417"/>
      <c r="O134" s="417"/>
      <c r="P134" s="417"/>
      <c r="Q134" s="417"/>
      <c r="R134" s="417"/>
      <c r="S134" s="417"/>
      <c r="T134" s="417"/>
      <c r="U134" s="417"/>
      <c r="V134" s="417"/>
      <c r="W134" s="417"/>
      <c r="X134" s="417"/>
      <c r="Y134" s="417"/>
      <c r="Z134" s="417"/>
      <c r="AA134" s="417"/>
      <c r="AB134" s="417"/>
      <c r="AC134" s="417"/>
      <c r="AD134" s="417"/>
      <c r="AE134" s="417"/>
    </row>
    <row r="135" spans="6:31" ht="16.5" customHeight="1">
      <c r="F135" s="417"/>
      <c r="G135" s="417"/>
      <c r="H135" s="417"/>
      <c r="I135" s="417"/>
      <c r="J135" s="417"/>
      <c r="K135" s="417"/>
      <c r="L135" s="417"/>
      <c r="M135" s="417"/>
      <c r="N135" s="417"/>
      <c r="O135" s="417"/>
      <c r="P135" s="417"/>
      <c r="Q135" s="417"/>
      <c r="R135" s="417"/>
      <c r="S135" s="417"/>
      <c r="T135" s="417"/>
      <c r="U135" s="417"/>
      <c r="V135" s="417"/>
      <c r="W135" s="417"/>
      <c r="X135" s="417"/>
      <c r="Y135" s="417"/>
      <c r="Z135" s="417"/>
      <c r="AA135" s="417"/>
      <c r="AB135" s="417"/>
      <c r="AC135" s="417"/>
      <c r="AD135" s="417"/>
      <c r="AE135" s="417"/>
    </row>
    <row r="136" spans="6:31" ht="16.5" customHeight="1">
      <c r="F136" s="417"/>
      <c r="G136" s="417"/>
      <c r="H136" s="417"/>
      <c r="I136" s="417"/>
      <c r="J136" s="417"/>
      <c r="K136" s="417"/>
      <c r="L136" s="417"/>
      <c r="M136" s="417"/>
      <c r="N136" s="417"/>
      <c r="O136" s="417"/>
      <c r="P136" s="417"/>
      <c r="Q136" s="417"/>
      <c r="R136" s="417"/>
      <c r="S136" s="417"/>
      <c r="T136" s="417"/>
      <c r="U136" s="417"/>
      <c r="V136" s="417"/>
      <c r="W136" s="417"/>
      <c r="X136" s="417"/>
      <c r="Y136" s="417"/>
      <c r="Z136" s="417"/>
      <c r="AA136" s="417"/>
      <c r="AB136" s="417"/>
      <c r="AC136" s="417"/>
      <c r="AD136" s="417"/>
      <c r="AE136" s="417"/>
    </row>
    <row r="137" spans="6:31" ht="16.5" customHeight="1">
      <c r="F137" s="417"/>
      <c r="G137" s="417"/>
      <c r="H137" s="417"/>
      <c r="I137" s="417"/>
      <c r="J137" s="417"/>
      <c r="K137" s="417"/>
      <c r="L137" s="417"/>
      <c r="M137" s="417"/>
      <c r="N137" s="417"/>
      <c r="O137" s="417"/>
      <c r="P137" s="417"/>
      <c r="Q137" s="417"/>
      <c r="R137" s="417"/>
      <c r="S137" s="417"/>
      <c r="T137" s="417"/>
      <c r="U137" s="417"/>
      <c r="V137" s="417"/>
      <c r="W137" s="417"/>
      <c r="X137" s="417"/>
      <c r="Y137" s="417"/>
      <c r="Z137" s="417"/>
      <c r="AA137" s="417"/>
      <c r="AB137" s="417"/>
      <c r="AC137" s="417"/>
      <c r="AD137" s="417"/>
      <c r="AE137" s="417"/>
    </row>
    <row r="138" spans="6:31" ht="16.5" customHeight="1">
      <c r="F138" s="417"/>
      <c r="G138" s="417"/>
      <c r="H138" s="417"/>
      <c r="I138" s="417"/>
      <c r="J138" s="417"/>
      <c r="K138" s="417"/>
      <c r="L138" s="417"/>
      <c r="M138" s="417"/>
      <c r="N138" s="417"/>
      <c r="O138" s="417"/>
      <c r="P138" s="417"/>
      <c r="Q138" s="417"/>
      <c r="R138" s="417"/>
      <c r="S138" s="417"/>
      <c r="T138" s="417"/>
      <c r="U138" s="417"/>
      <c r="V138" s="417"/>
      <c r="W138" s="417"/>
      <c r="X138" s="417"/>
      <c r="Y138" s="417"/>
      <c r="Z138" s="417"/>
      <c r="AA138" s="417"/>
      <c r="AB138" s="417"/>
      <c r="AC138" s="417"/>
      <c r="AD138" s="417"/>
      <c r="AE138" s="417"/>
    </row>
    <row r="139" spans="6:31" ht="16.5" customHeight="1">
      <c r="F139" s="417"/>
      <c r="G139" s="417"/>
      <c r="H139" s="417"/>
      <c r="I139" s="417"/>
      <c r="J139" s="417"/>
      <c r="K139" s="417"/>
      <c r="L139" s="417"/>
      <c r="M139" s="417"/>
      <c r="N139" s="417"/>
      <c r="O139" s="417"/>
      <c r="P139" s="417"/>
      <c r="Q139" s="417"/>
      <c r="R139" s="417"/>
      <c r="S139" s="417"/>
      <c r="T139" s="417"/>
      <c r="U139" s="417"/>
      <c r="V139" s="417"/>
      <c r="W139" s="417"/>
      <c r="X139" s="417"/>
      <c r="Y139" s="417"/>
      <c r="Z139" s="417"/>
      <c r="AA139" s="417"/>
      <c r="AB139" s="417"/>
      <c r="AC139" s="417"/>
      <c r="AD139" s="417"/>
      <c r="AE139" s="417"/>
    </row>
    <row r="140" spans="6:31" ht="16.5" customHeight="1">
      <c r="F140" s="417"/>
      <c r="G140" s="417"/>
      <c r="H140" s="417"/>
      <c r="I140" s="417"/>
      <c r="J140" s="417"/>
      <c r="K140" s="417"/>
      <c r="L140" s="417"/>
      <c r="M140" s="417"/>
      <c r="N140" s="417"/>
      <c r="O140" s="417"/>
      <c r="P140" s="417"/>
      <c r="Q140" s="417"/>
      <c r="R140" s="417"/>
      <c r="S140" s="417"/>
      <c r="T140" s="417"/>
      <c r="U140" s="417"/>
      <c r="V140" s="417"/>
      <c r="W140" s="417"/>
      <c r="X140" s="417"/>
      <c r="Y140" s="417"/>
      <c r="Z140" s="417"/>
      <c r="AA140" s="417"/>
      <c r="AB140" s="417"/>
      <c r="AC140" s="417"/>
      <c r="AD140" s="417"/>
      <c r="AE140" s="417"/>
    </row>
    <row r="141" spans="6:31" ht="16.5" customHeight="1">
      <c r="F141" s="417"/>
      <c r="G141" s="417"/>
      <c r="H141" s="417"/>
      <c r="I141" s="417"/>
      <c r="J141" s="417"/>
      <c r="K141" s="417"/>
      <c r="L141" s="417"/>
      <c r="M141" s="417"/>
      <c r="N141" s="417"/>
      <c r="O141" s="417"/>
      <c r="P141" s="417"/>
      <c r="Q141" s="417"/>
      <c r="R141" s="417"/>
      <c r="S141" s="417"/>
      <c r="T141" s="417"/>
      <c r="U141" s="417"/>
      <c r="V141" s="417"/>
      <c r="W141" s="417"/>
      <c r="X141" s="417"/>
      <c r="Y141" s="417"/>
      <c r="Z141" s="417"/>
      <c r="AA141" s="417"/>
      <c r="AB141" s="417"/>
      <c r="AC141" s="417"/>
      <c r="AD141" s="417"/>
      <c r="AE141" s="417"/>
    </row>
    <row r="142" spans="6:31" ht="16.5" customHeight="1">
      <c r="F142" s="417"/>
      <c r="G142" s="417"/>
      <c r="H142" s="417"/>
      <c r="I142" s="417"/>
      <c r="J142" s="417"/>
      <c r="K142" s="417"/>
      <c r="L142" s="417"/>
      <c r="M142" s="417"/>
      <c r="N142" s="417"/>
      <c r="O142" s="417"/>
      <c r="P142" s="417"/>
      <c r="Q142" s="417"/>
      <c r="R142" s="417"/>
      <c r="S142" s="417"/>
      <c r="T142" s="417"/>
      <c r="U142" s="417"/>
      <c r="V142" s="417"/>
      <c r="W142" s="417"/>
      <c r="X142" s="417"/>
      <c r="Y142" s="417"/>
      <c r="Z142" s="417"/>
      <c r="AA142" s="417"/>
      <c r="AB142" s="417"/>
      <c r="AC142" s="417"/>
      <c r="AD142" s="417"/>
      <c r="AE142" s="417"/>
    </row>
    <row r="143" spans="6:31" ht="16.5" customHeight="1">
      <c r="F143" s="417"/>
      <c r="G143" s="417"/>
      <c r="H143" s="417"/>
      <c r="I143" s="417"/>
      <c r="J143" s="417"/>
      <c r="K143" s="417"/>
      <c r="L143" s="417"/>
      <c r="M143" s="417"/>
      <c r="N143" s="417"/>
      <c r="O143" s="417"/>
      <c r="P143" s="417"/>
      <c r="Q143" s="417"/>
      <c r="R143" s="417"/>
      <c r="S143" s="417"/>
      <c r="T143" s="417"/>
      <c r="U143" s="417"/>
      <c r="V143" s="417"/>
      <c r="W143" s="417"/>
      <c r="X143" s="417"/>
      <c r="Y143" s="417"/>
      <c r="Z143" s="417"/>
      <c r="AA143" s="417"/>
      <c r="AB143" s="417"/>
      <c r="AC143" s="417"/>
      <c r="AD143" s="417"/>
      <c r="AE143" s="417"/>
    </row>
    <row r="144" spans="6:31" ht="16.5" customHeight="1">
      <c r="F144" s="417"/>
      <c r="G144" s="417"/>
      <c r="H144" s="417"/>
      <c r="I144" s="417"/>
      <c r="J144" s="417"/>
      <c r="K144" s="417"/>
      <c r="L144" s="417"/>
      <c r="M144" s="417"/>
      <c r="N144" s="417"/>
      <c r="O144" s="417"/>
      <c r="P144" s="417"/>
      <c r="Q144" s="417"/>
      <c r="R144" s="417"/>
      <c r="S144" s="417"/>
      <c r="T144" s="417"/>
      <c r="U144" s="417"/>
      <c r="V144" s="417"/>
      <c r="W144" s="417"/>
      <c r="X144" s="417"/>
      <c r="Y144" s="417"/>
      <c r="Z144" s="417"/>
      <c r="AA144" s="417"/>
      <c r="AB144" s="417"/>
      <c r="AC144" s="417"/>
      <c r="AD144" s="417"/>
      <c r="AE144" s="417"/>
    </row>
    <row r="145" spans="6:31" ht="16.5" customHeight="1">
      <c r="F145" s="417"/>
      <c r="G145" s="417"/>
      <c r="H145" s="417"/>
      <c r="I145" s="417"/>
      <c r="J145" s="417"/>
      <c r="K145" s="417"/>
      <c r="L145" s="417"/>
      <c r="M145" s="417"/>
      <c r="N145" s="417"/>
      <c r="O145" s="417"/>
      <c r="P145" s="417"/>
      <c r="Q145" s="417"/>
      <c r="R145" s="417"/>
      <c r="S145" s="417"/>
      <c r="T145" s="417"/>
      <c r="U145" s="417"/>
      <c r="V145" s="417"/>
      <c r="W145" s="417"/>
      <c r="X145" s="417"/>
      <c r="Y145" s="417"/>
      <c r="Z145" s="417"/>
      <c r="AA145" s="417"/>
      <c r="AB145" s="417"/>
      <c r="AC145" s="417"/>
      <c r="AD145" s="417"/>
      <c r="AE145" s="417"/>
    </row>
    <row r="146" spans="6:31" ht="16.5" customHeight="1">
      <c r="F146" s="417"/>
      <c r="G146" s="417"/>
      <c r="H146" s="417"/>
      <c r="I146" s="417"/>
      <c r="J146" s="417"/>
      <c r="K146" s="417"/>
      <c r="L146" s="417"/>
      <c r="M146" s="417"/>
      <c r="N146" s="417"/>
      <c r="O146" s="417"/>
      <c r="P146" s="417"/>
      <c r="Q146" s="417"/>
      <c r="R146" s="417"/>
      <c r="S146" s="417"/>
      <c r="T146" s="417"/>
      <c r="U146" s="417"/>
      <c r="V146" s="417"/>
      <c r="W146" s="417"/>
      <c r="X146" s="417"/>
      <c r="Y146" s="417"/>
      <c r="Z146" s="417"/>
      <c r="AA146" s="417"/>
      <c r="AB146" s="417"/>
      <c r="AC146" s="417"/>
      <c r="AD146" s="417"/>
      <c r="AE146" s="417"/>
    </row>
    <row r="147" spans="6:31" ht="16.5" customHeight="1">
      <c r="F147" s="417"/>
      <c r="G147" s="417"/>
      <c r="H147" s="417"/>
      <c r="I147" s="417"/>
      <c r="J147" s="417"/>
      <c r="K147" s="417"/>
      <c r="L147" s="417"/>
      <c r="M147" s="417"/>
      <c r="N147" s="417"/>
      <c r="O147" s="417"/>
      <c r="P147" s="417"/>
      <c r="Q147" s="417"/>
      <c r="R147" s="417"/>
      <c r="S147" s="417"/>
      <c r="T147" s="417"/>
      <c r="U147" s="417"/>
      <c r="V147" s="417"/>
      <c r="W147" s="417"/>
      <c r="X147" s="417"/>
      <c r="Y147" s="417"/>
      <c r="Z147" s="417"/>
      <c r="AA147" s="417"/>
      <c r="AB147" s="417"/>
      <c r="AC147" s="417"/>
      <c r="AD147" s="417"/>
      <c r="AE147" s="417"/>
    </row>
    <row r="148" spans="6:31" ht="16.5" customHeight="1">
      <c r="F148" s="417"/>
      <c r="G148" s="417"/>
      <c r="H148" s="417"/>
      <c r="I148" s="417"/>
      <c r="J148" s="417"/>
      <c r="K148" s="417"/>
      <c r="L148" s="417"/>
      <c r="M148" s="417"/>
      <c r="N148" s="417"/>
      <c r="O148" s="417"/>
      <c r="P148" s="417"/>
      <c r="Q148" s="417"/>
      <c r="R148" s="417"/>
      <c r="S148" s="417"/>
      <c r="T148" s="417"/>
      <c r="U148" s="417"/>
      <c r="V148" s="417"/>
      <c r="W148" s="417"/>
      <c r="X148" s="417"/>
      <c r="Y148" s="417"/>
      <c r="Z148" s="417"/>
      <c r="AA148" s="417"/>
      <c r="AB148" s="417"/>
      <c r="AC148" s="417"/>
      <c r="AD148" s="417"/>
      <c r="AE148" s="417"/>
    </row>
    <row r="149" spans="6:31" ht="16.5" customHeight="1">
      <c r="F149" s="417"/>
      <c r="G149" s="417"/>
      <c r="H149" s="417"/>
      <c r="I149" s="417"/>
      <c r="J149" s="417"/>
      <c r="K149" s="417"/>
      <c r="L149" s="417"/>
      <c r="M149" s="417"/>
      <c r="N149" s="417"/>
      <c r="O149" s="417"/>
      <c r="P149" s="417"/>
      <c r="Q149" s="417"/>
      <c r="R149" s="417"/>
      <c r="S149" s="417"/>
      <c r="T149" s="417"/>
      <c r="U149" s="417"/>
      <c r="V149" s="417"/>
      <c r="W149" s="417"/>
      <c r="X149" s="417"/>
      <c r="Y149" s="417"/>
      <c r="Z149" s="417"/>
      <c r="AA149" s="417"/>
      <c r="AB149" s="417"/>
      <c r="AC149" s="417"/>
      <c r="AD149" s="417"/>
      <c r="AE149" s="417"/>
    </row>
    <row r="150" spans="6:31" ht="16.5" customHeight="1">
      <c r="F150" s="417"/>
      <c r="G150" s="417"/>
      <c r="H150" s="417"/>
      <c r="I150" s="417"/>
      <c r="J150" s="417"/>
      <c r="K150" s="417"/>
      <c r="L150" s="417"/>
      <c r="M150" s="417"/>
      <c r="N150" s="417"/>
      <c r="O150" s="417"/>
      <c r="P150" s="417"/>
      <c r="Q150" s="417"/>
      <c r="R150" s="417"/>
      <c r="S150" s="417"/>
      <c r="T150" s="417"/>
      <c r="U150" s="417"/>
      <c r="V150" s="417"/>
      <c r="W150" s="417"/>
      <c r="X150" s="417"/>
      <c r="Y150" s="417"/>
      <c r="Z150" s="417"/>
      <c r="AA150" s="417"/>
      <c r="AB150" s="417"/>
      <c r="AC150" s="417"/>
      <c r="AD150" s="417"/>
      <c r="AE150" s="417"/>
    </row>
    <row r="151" spans="6:31" ht="16.5" customHeight="1">
      <c r="F151" s="417"/>
      <c r="G151" s="417"/>
      <c r="H151" s="417"/>
      <c r="I151" s="417"/>
      <c r="J151" s="417"/>
      <c r="K151" s="417"/>
      <c r="L151" s="417"/>
      <c r="M151" s="417"/>
      <c r="N151" s="417"/>
      <c r="O151" s="417"/>
      <c r="P151" s="417"/>
      <c r="Q151" s="417"/>
      <c r="R151" s="417"/>
      <c r="S151" s="417"/>
      <c r="T151" s="417"/>
      <c r="U151" s="417"/>
      <c r="V151" s="417"/>
      <c r="W151" s="417"/>
      <c r="X151" s="417"/>
      <c r="Y151" s="417"/>
      <c r="Z151" s="417"/>
      <c r="AA151" s="417"/>
      <c r="AB151" s="417"/>
      <c r="AC151" s="417"/>
      <c r="AD151" s="417"/>
      <c r="AE151" s="417"/>
    </row>
    <row r="152" spans="6:31" ht="16.5" customHeight="1">
      <c r="F152" s="417"/>
      <c r="G152" s="417"/>
      <c r="H152" s="417"/>
      <c r="I152" s="417"/>
      <c r="J152" s="417"/>
      <c r="K152" s="417"/>
      <c r="L152" s="417"/>
      <c r="M152" s="417"/>
      <c r="N152" s="417"/>
      <c r="O152" s="417"/>
      <c r="P152" s="417"/>
      <c r="Q152" s="417"/>
      <c r="R152" s="417"/>
      <c r="S152" s="417"/>
      <c r="T152" s="417"/>
      <c r="U152" s="417"/>
      <c r="V152" s="417"/>
      <c r="W152" s="417"/>
      <c r="X152" s="417"/>
      <c r="Y152" s="417"/>
      <c r="Z152" s="417"/>
      <c r="AA152" s="417"/>
      <c r="AB152" s="417"/>
      <c r="AC152" s="417"/>
      <c r="AD152" s="417"/>
      <c r="AE152" s="417"/>
    </row>
    <row r="153" ht="16.5" customHeight="1">
      <c r="AE153" s="417"/>
    </row>
    <row r="154" ht="16.5" customHeight="1">
      <c r="AE154" s="417"/>
    </row>
    <row r="155" ht="16.5" customHeight="1">
      <c r="AE155" s="417"/>
    </row>
    <row r="156" ht="16.5" customHeight="1">
      <c r="AE156" s="417"/>
    </row>
    <row r="157" ht="16.5" customHeight="1"/>
    <row r="158" ht="16.5" customHeight="1"/>
    <row r="159" ht="16.5" customHeight="1"/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Roman,Normal"&amp;8&amp;F-&amp;A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AE154"/>
  <sheetViews>
    <sheetView zoomScale="70" zoomScaleNormal="70" zoomScalePageLayoutView="0" workbookViewId="0" topLeftCell="A1">
      <selection activeCell="N51" sqref="N51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57421875" style="9" customWidth="1"/>
    <col min="6" max="7" width="25.7109375" style="9" customWidth="1"/>
    <col min="8" max="8" width="9.7109375" style="9" customWidth="1"/>
    <col min="9" max="9" width="12.7109375" style="9" customWidth="1"/>
    <col min="10" max="10" width="13.7109375" style="9" hidden="1" customWidth="1"/>
    <col min="11" max="12" width="15.7109375" style="9" customWidth="1"/>
    <col min="13" max="16" width="9.7109375" style="9" customWidth="1"/>
    <col min="17" max="17" width="5.8515625" style="9" customWidth="1"/>
    <col min="18" max="18" width="7.00390625" style="9" customWidth="1"/>
    <col min="19" max="19" width="13.140625" style="9" hidden="1" customWidth="1"/>
    <col min="20" max="21" width="16.421875" style="9" hidden="1" customWidth="1"/>
    <col min="22" max="22" width="16.57421875" style="9" hidden="1" customWidth="1"/>
    <col min="23" max="27" width="16.28125" style="9" hidden="1" customWidth="1"/>
    <col min="28" max="28" width="9.7109375" style="9" customWidth="1"/>
    <col min="29" max="29" width="15.7109375" style="9" customWidth="1"/>
    <col min="30" max="30" width="4.140625" style="9" customWidth="1"/>
    <col min="31" max="16384" width="11.421875" style="9" customWidth="1"/>
  </cols>
  <sheetData>
    <row r="1" spans="2:30" s="3" customFormat="1" ht="26.25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280"/>
    </row>
    <row r="2" spans="1:30" s="3" customFormat="1" ht="26.25">
      <c r="A2" s="88"/>
      <c r="B2" s="281" t="str">
        <f>+'TOT-0912'!B2</f>
        <v>ANEXO IV al Memorándum  D.T.E.E.  N° 295 / 2014</v>
      </c>
      <c r="C2" s="281"/>
      <c r="D2" s="281"/>
      <c r="E2" s="281"/>
      <c r="F2" s="281"/>
      <c r="G2" s="2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</row>
    <row r="3" spans="1:30" s="8" customFormat="1" ht="12.7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</row>
    <row r="4" spans="1:30" s="14" customFormat="1" ht="11.25">
      <c r="A4" s="282" t="s">
        <v>53</v>
      </c>
      <c r="B4" s="283"/>
      <c r="C4" s="283"/>
      <c r="D4" s="283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</row>
    <row r="5" spans="1:30" s="14" customFormat="1" ht="11.25">
      <c r="A5" s="282" t="s">
        <v>3</v>
      </c>
      <c r="B5" s="283"/>
      <c r="C5" s="283"/>
      <c r="D5" s="283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</row>
    <row r="6" spans="1:30" s="8" customFormat="1" ht="13.5" thickBo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</row>
    <row r="7" spans="1:30" s="8" customFormat="1" ht="13.5" thickTop="1">
      <c r="A7" s="89"/>
      <c r="B7" s="285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94"/>
    </row>
    <row r="8" spans="1:30" s="18" customFormat="1" ht="20.25">
      <c r="A8" s="287"/>
      <c r="B8" s="288"/>
      <c r="C8" s="289"/>
      <c r="D8" s="289"/>
      <c r="E8" s="287"/>
      <c r="F8" s="290" t="s">
        <v>23</v>
      </c>
      <c r="G8" s="287"/>
      <c r="H8" s="287"/>
      <c r="I8" s="291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98"/>
    </row>
    <row r="9" spans="1:30" s="8" customFormat="1" ht="12.75">
      <c r="A9" s="89"/>
      <c r="B9" s="292"/>
      <c r="C9" s="83"/>
      <c r="D9" s="83"/>
      <c r="E9" s="89"/>
      <c r="F9" s="83"/>
      <c r="G9" s="293"/>
      <c r="H9" s="89"/>
      <c r="I9" s="83"/>
      <c r="J9" s="89"/>
      <c r="K9" s="89"/>
      <c r="L9" s="89"/>
      <c r="M9" s="89"/>
      <c r="N9" s="89"/>
      <c r="O9" s="89"/>
      <c r="P9" s="89"/>
      <c r="Q9" s="89"/>
      <c r="R9" s="89"/>
      <c r="S9" s="89"/>
      <c r="T9" s="83"/>
      <c r="U9" s="83"/>
      <c r="V9" s="83"/>
      <c r="W9" s="83"/>
      <c r="X9" s="83"/>
      <c r="Y9" s="83"/>
      <c r="Z9" s="83"/>
      <c r="AA9" s="83"/>
      <c r="AB9" s="83"/>
      <c r="AC9" s="83"/>
      <c r="AD9" s="99"/>
    </row>
    <row r="10" spans="1:30" s="249" customFormat="1" ht="33" customHeight="1">
      <c r="A10" s="440"/>
      <c r="B10" s="441"/>
      <c r="C10" s="442"/>
      <c r="D10" s="442"/>
      <c r="E10" s="440"/>
      <c r="F10" s="418" t="s">
        <v>54</v>
      </c>
      <c r="G10" s="440"/>
      <c r="H10" s="443"/>
      <c r="I10" s="442"/>
      <c r="J10" s="440"/>
      <c r="K10" s="440"/>
      <c r="L10" s="440"/>
      <c r="M10" s="440"/>
      <c r="N10" s="440"/>
      <c r="O10" s="440"/>
      <c r="P10" s="440"/>
      <c r="Q10" s="440"/>
      <c r="R10" s="440"/>
      <c r="S10" s="440"/>
      <c r="T10" s="442"/>
      <c r="U10" s="442"/>
      <c r="V10" s="442"/>
      <c r="W10" s="442"/>
      <c r="X10" s="442"/>
      <c r="Y10" s="442"/>
      <c r="Z10" s="442"/>
      <c r="AA10" s="442"/>
      <c r="AB10" s="442"/>
      <c r="AC10" s="442"/>
      <c r="AD10" s="253"/>
    </row>
    <row r="11" spans="1:30" s="254" customFormat="1" ht="33" customHeight="1">
      <c r="A11" s="419"/>
      <c r="B11" s="420"/>
      <c r="C11" s="421"/>
      <c r="D11" s="421"/>
      <c r="E11" s="419"/>
      <c r="F11" s="272" t="s">
        <v>378</v>
      </c>
      <c r="G11" s="421"/>
      <c r="H11" s="421"/>
      <c r="I11" s="422"/>
      <c r="J11" s="421"/>
      <c r="K11" s="421"/>
      <c r="L11" s="421"/>
      <c r="M11" s="421"/>
      <c r="N11" s="421"/>
      <c r="O11" s="419"/>
      <c r="P11" s="419"/>
      <c r="Q11" s="419"/>
      <c r="R11" s="419"/>
      <c r="S11" s="419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258"/>
    </row>
    <row r="12" spans="1:30" s="34" customFormat="1" ht="19.5">
      <c r="A12" s="309"/>
      <c r="B12" s="35" t="str">
        <f>'TOT-0912'!B14</f>
        <v>Desde el 01 al 30 de septiembre de 2012</v>
      </c>
      <c r="C12" s="39"/>
      <c r="D12" s="39"/>
      <c r="E12" s="310"/>
      <c r="F12" s="311"/>
      <c r="G12" s="311"/>
      <c r="H12" s="311"/>
      <c r="I12" s="311"/>
      <c r="J12" s="311"/>
      <c r="K12" s="311"/>
      <c r="L12" s="311"/>
      <c r="M12" s="311"/>
      <c r="N12" s="311"/>
      <c r="O12" s="310"/>
      <c r="P12" s="310"/>
      <c r="Q12" s="310"/>
      <c r="R12" s="310"/>
      <c r="S12" s="310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2"/>
    </row>
    <row r="13" spans="1:30" s="8" customFormat="1" ht="13.5" thickBot="1">
      <c r="A13" s="89"/>
      <c r="B13" s="292"/>
      <c r="C13" s="83"/>
      <c r="D13" s="83"/>
      <c r="E13" s="89"/>
      <c r="F13" s="83"/>
      <c r="G13" s="83"/>
      <c r="H13" s="83"/>
      <c r="I13" s="308"/>
      <c r="J13" s="83"/>
      <c r="K13" s="83"/>
      <c r="L13" s="83"/>
      <c r="M13" s="83"/>
      <c r="N13" s="83"/>
      <c r="O13" s="89"/>
      <c r="P13" s="89"/>
      <c r="Q13" s="89"/>
      <c r="R13" s="89"/>
      <c r="S13" s="89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99"/>
    </row>
    <row r="14" spans="1:30" s="8" customFormat="1" ht="16.5" customHeight="1" thickBot="1" thickTop="1">
      <c r="A14" s="89"/>
      <c r="B14" s="292"/>
      <c r="C14" s="83"/>
      <c r="D14" s="83"/>
      <c r="E14" s="89"/>
      <c r="F14" s="313" t="s">
        <v>56</v>
      </c>
      <c r="G14" s="314"/>
      <c r="H14" s="315">
        <v>0.255</v>
      </c>
      <c r="J14" s="89"/>
      <c r="K14" s="89"/>
      <c r="L14" s="89"/>
      <c r="M14" s="89"/>
      <c r="N14" s="89"/>
      <c r="O14" s="89"/>
      <c r="P14" s="89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99"/>
    </row>
    <row r="15" spans="1:30" s="8" customFormat="1" ht="16.5" customHeight="1" thickBot="1" thickTop="1">
      <c r="A15" s="89"/>
      <c r="B15" s="292"/>
      <c r="C15" s="83"/>
      <c r="D15" s="83"/>
      <c r="E15" s="89"/>
      <c r="F15" s="316" t="s">
        <v>57</v>
      </c>
      <c r="G15" s="317"/>
      <c r="H15" s="318">
        <v>200</v>
      </c>
      <c r="I15" s="9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319"/>
      <c r="X15" s="319"/>
      <c r="Y15" s="319"/>
      <c r="Z15" s="319"/>
      <c r="AA15" s="319"/>
      <c r="AB15" s="319"/>
      <c r="AC15" s="89"/>
      <c r="AD15" s="99"/>
    </row>
    <row r="16" spans="1:30" s="8" customFormat="1" ht="16.5" customHeight="1" thickBot="1" thickTop="1">
      <c r="A16" s="89"/>
      <c r="B16" s="292"/>
      <c r="C16" s="320">
        <v>3</v>
      </c>
      <c r="D16" s="320">
        <v>4</v>
      </c>
      <c r="E16" s="320">
        <v>5</v>
      </c>
      <c r="F16" s="320">
        <v>6</v>
      </c>
      <c r="G16" s="320">
        <v>7</v>
      </c>
      <c r="H16" s="320">
        <v>8</v>
      </c>
      <c r="I16" s="320">
        <v>9</v>
      </c>
      <c r="J16" s="320">
        <v>10</v>
      </c>
      <c r="K16" s="320">
        <v>11</v>
      </c>
      <c r="L16" s="320">
        <v>12</v>
      </c>
      <c r="M16" s="320">
        <v>13</v>
      </c>
      <c r="N16" s="320">
        <v>14</v>
      </c>
      <c r="O16" s="320">
        <v>15</v>
      </c>
      <c r="P16" s="320">
        <v>16</v>
      </c>
      <c r="Q16" s="320">
        <v>17</v>
      </c>
      <c r="R16" s="320">
        <v>18</v>
      </c>
      <c r="S16" s="320">
        <v>19</v>
      </c>
      <c r="T16" s="320">
        <v>20</v>
      </c>
      <c r="U16" s="320">
        <v>21</v>
      </c>
      <c r="V16" s="320">
        <v>22</v>
      </c>
      <c r="W16" s="320">
        <v>23</v>
      </c>
      <c r="X16" s="320">
        <v>24</v>
      </c>
      <c r="Y16" s="320">
        <v>25</v>
      </c>
      <c r="Z16" s="320">
        <v>26</v>
      </c>
      <c r="AA16" s="320">
        <v>27</v>
      </c>
      <c r="AB16" s="320">
        <v>28</v>
      </c>
      <c r="AC16" s="320">
        <v>29</v>
      </c>
      <c r="AD16" s="99"/>
    </row>
    <row r="17" spans="1:30" s="8" customFormat="1" ht="33.75" customHeight="1" thickBot="1" thickTop="1">
      <c r="A17" s="89"/>
      <c r="B17" s="292"/>
      <c r="C17" s="321" t="s">
        <v>28</v>
      </c>
      <c r="D17" s="111" t="s">
        <v>29</v>
      </c>
      <c r="E17" s="111" t="s">
        <v>30</v>
      </c>
      <c r="F17" s="322" t="s">
        <v>58</v>
      </c>
      <c r="G17" s="323" t="s">
        <v>59</v>
      </c>
      <c r="H17" s="324" t="s">
        <v>60</v>
      </c>
      <c r="I17" s="325" t="s">
        <v>31</v>
      </c>
      <c r="J17" s="326" t="s">
        <v>35</v>
      </c>
      <c r="K17" s="323" t="s">
        <v>36</v>
      </c>
      <c r="L17" s="323" t="s">
        <v>37</v>
      </c>
      <c r="M17" s="322" t="s">
        <v>61</v>
      </c>
      <c r="N17" s="322" t="s">
        <v>39</v>
      </c>
      <c r="O17" s="119" t="s">
        <v>254</v>
      </c>
      <c r="P17" s="119" t="s">
        <v>40</v>
      </c>
      <c r="Q17" s="327" t="s">
        <v>42</v>
      </c>
      <c r="R17" s="323" t="s">
        <v>62</v>
      </c>
      <c r="S17" s="328" t="s">
        <v>34</v>
      </c>
      <c r="T17" s="329" t="s">
        <v>43</v>
      </c>
      <c r="U17" s="330" t="s">
        <v>44</v>
      </c>
      <c r="V17" s="122" t="s">
        <v>63</v>
      </c>
      <c r="W17" s="124"/>
      <c r="X17" s="331" t="s">
        <v>64</v>
      </c>
      <c r="Y17" s="332"/>
      <c r="Z17" s="333" t="s">
        <v>47</v>
      </c>
      <c r="AA17" s="334" t="s">
        <v>48</v>
      </c>
      <c r="AB17" s="130" t="s">
        <v>49</v>
      </c>
      <c r="AC17" s="325" t="s">
        <v>50</v>
      </c>
      <c r="AD17" s="99"/>
    </row>
    <row r="18" spans="1:30" s="8" customFormat="1" ht="16.5" customHeight="1" thickTop="1">
      <c r="A18" s="89"/>
      <c r="B18" s="292"/>
      <c r="C18" s="335"/>
      <c r="D18" s="335"/>
      <c r="E18" s="335"/>
      <c r="F18" s="335"/>
      <c r="G18" s="335"/>
      <c r="H18" s="335"/>
      <c r="I18" s="336"/>
      <c r="J18" s="337"/>
      <c r="K18" s="335"/>
      <c r="L18" s="335"/>
      <c r="M18" s="335"/>
      <c r="N18" s="335"/>
      <c r="O18" s="335"/>
      <c r="P18" s="132"/>
      <c r="Q18" s="338"/>
      <c r="R18" s="335"/>
      <c r="S18" s="339"/>
      <c r="T18" s="340"/>
      <c r="U18" s="341"/>
      <c r="V18" s="342"/>
      <c r="W18" s="343"/>
      <c r="X18" s="344"/>
      <c r="Y18" s="345"/>
      <c r="Z18" s="346"/>
      <c r="AA18" s="347"/>
      <c r="AB18" s="338"/>
      <c r="AC18" s="348"/>
      <c r="AD18" s="99"/>
    </row>
    <row r="19" spans="1:30" s="8" customFormat="1" ht="16.5" customHeight="1">
      <c r="A19" s="89"/>
      <c r="B19" s="292"/>
      <c r="C19" s="150"/>
      <c r="D19" s="150"/>
      <c r="E19" s="150"/>
      <c r="F19" s="150"/>
      <c r="G19" s="150"/>
      <c r="H19" s="150"/>
      <c r="I19" s="349"/>
      <c r="J19" s="350"/>
      <c r="K19" s="150"/>
      <c r="L19" s="150"/>
      <c r="M19" s="150"/>
      <c r="N19" s="150"/>
      <c r="O19" s="150"/>
      <c r="P19" s="157"/>
      <c r="Q19" s="351"/>
      <c r="R19" s="150"/>
      <c r="S19" s="352"/>
      <c r="T19" s="353"/>
      <c r="U19" s="354"/>
      <c r="V19" s="355"/>
      <c r="W19" s="356"/>
      <c r="X19" s="357"/>
      <c r="Y19" s="358"/>
      <c r="Z19" s="359"/>
      <c r="AA19" s="360"/>
      <c r="AB19" s="351"/>
      <c r="AC19" s="361"/>
      <c r="AD19" s="99"/>
    </row>
    <row r="20" spans="1:30" s="8" customFormat="1" ht="16.5" customHeight="1">
      <c r="A20" s="89"/>
      <c r="B20" s="292"/>
      <c r="C20" s="150">
        <v>48</v>
      </c>
      <c r="D20" s="150">
        <v>251383</v>
      </c>
      <c r="E20" s="169">
        <v>2599</v>
      </c>
      <c r="F20" s="362" t="s">
        <v>285</v>
      </c>
      <c r="G20" s="363" t="s">
        <v>286</v>
      </c>
      <c r="H20" s="364">
        <v>300</v>
      </c>
      <c r="I20" s="618" t="s">
        <v>82</v>
      </c>
      <c r="J20" s="366">
        <f aca="true" t="shared" si="0" ref="J20:J39">H20*$H$14</f>
        <v>76.5</v>
      </c>
      <c r="K20" s="367">
        <v>41159.319444444445</v>
      </c>
      <c r="L20" s="367">
        <v>41159.74375</v>
      </c>
      <c r="M20" s="368">
        <f aca="true" t="shared" si="1" ref="M20:M39">IF(F20="","",(L20-K20)*24)</f>
        <v>10.183333333348855</v>
      </c>
      <c r="N20" s="369">
        <f aca="true" t="shared" si="2" ref="N20:N39">IF(F20="","",ROUND((L20-K20)*24*60,0))</f>
        <v>611</v>
      </c>
      <c r="O20" s="370" t="s">
        <v>259</v>
      </c>
      <c r="P20" s="274" t="str">
        <f aca="true" t="shared" si="3" ref="P20:P39">IF(F20="","","--")</f>
        <v>--</v>
      </c>
      <c r="Q20" s="371" t="str">
        <f>IF(F20="","",IF(OR(O20="P",O20="RP"),"--","NO"))</f>
        <v>--</v>
      </c>
      <c r="R20" s="180" t="str">
        <f aca="true" t="shared" si="4" ref="R20:R39">IF(F20="","","NO")</f>
        <v>NO</v>
      </c>
      <c r="S20" s="372">
        <f aca="true" t="shared" si="5" ref="S20:S39">$H$15*IF(OR(O20="P",O20="RP"),0.1,1)*IF(R20="SI",1,0.1)</f>
        <v>2</v>
      </c>
      <c r="T20" s="427">
        <f aca="true" t="shared" si="6" ref="T20:T39">IF(O20="P",J20*S20*ROUND(N20/60,2),"--")</f>
        <v>1557.54</v>
      </c>
      <c r="U20" s="428" t="str">
        <f aca="true" t="shared" si="7" ref="U20:U39">IF(O20="RP",J20*S20*P20/100*ROUND(N20/60,2),"--")</f>
        <v>--</v>
      </c>
      <c r="V20" s="375" t="str">
        <f aca="true" t="shared" si="8" ref="V20:V39">IF(AND(O20="F",Q20="NO"),J20*S20,"--")</f>
        <v>--</v>
      </c>
      <c r="W20" s="376" t="str">
        <f aca="true" t="shared" si="9" ref="W20:W39">IF(O20="F",J20*S20*ROUND(N20/60,2),"--")</f>
        <v>--</v>
      </c>
      <c r="X20" s="377" t="str">
        <f aca="true" t="shared" si="10" ref="X20:X39">IF(AND(O20="R",Q20="NO"),J20*S20*P20/100,"--")</f>
        <v>--</v>
      </c>
      <c r="Y20" s="378" t="str">
        <f aca="true" t="shared" si="11" ref="Y20:Y39">IF(O20="R",J20*S20*P20/100*ROUND(N20/60,2),"--")</f>
        <v>--</v>
      </c>
      <c r="Z20" s="379" t="str">
        <f aca="true" t="shared" si="12" ref="Z20:Z39">IF(O20="RF",J20*S20*ROUND(N20/60,2),"--")</f>
        <v>--</v>
      </c>
      <c r="AA20" s="380" t="str">
        <f aca="true" t="shared" si="13" ref="AA20:AA39">IF(O20="RR",J20*S20*P20/100*ROUND(N20/60,2),"--")</f>
        <v>--</v>
      </c>
      <c r="AB20" s="444" t="s">
        <v>79</v>
      </c>
      <c r="AC20" s="445">
        <f aca="true" t="shared" si="14" ref="AC20:AC39">IF(F20="","",SUM(T20:AA20)*IF(AB20="SI",1,2)*IF(AND(P22&lt;&gt;"--",O22="RF"),P22/100,1))</f>
        <v>1557.54</v>
      </c>
      <c r="AD20" s="99"/>
    </row>
    <row r="21" spans="1:30" s="8" customFormat="1" ht="16.5" customHeight="1">
      <c r="A21" s="89"/>
      <c r="B21" s="292"/>
      <c r="C21" s="150">
        <v>49</v>
      </c>
      <c r="D21" s="150">
        <v>251385</v>
      </c>
      <c r="E21" s="150">
        <v>2599</v>
      </c>
      <c r="F21" s="362" t="s">
        <v>285</v>
      </c>
      <c r="G21" s="363" t="s">
        <v>286</v>
      </c>
      <c r="H21" s="364">
        <v>300</v>
      </c>
      <c r="I21" s="618" t="s">
        <v>82</v>
      </c>
      <c r="J21" s="366">
        <f t="shared" si="0"/>
        <v>76.5</v>
      </c>
      <c r="K21" s="367">
        <v>41160.30625</v>
      </c>
      <c r="L21" s="367">
        <v>41160.763194444444</v>
      </c>
      <c r="M21" s="368">
        <f t="shared" si="1"/>
        <v>10.96666666661622</v>
      </c>
      <c r="N21" s="369">
        <f t="shared" si="2"/>
        <v>658</v>
      </c>
      <c r="O21" s="370" t="s">
        <v>259</v>
      </c>
      <c r="P21" s="274" t="str">
        <f t="shared" si="3"/>
        <v>--</v>
      </c>
      <c r="Q21" s="371" t="str">
        <f aca="true" t="shared" si="15" ref="Q21:Q39">IF(F21="","",IF(O21="P","--","NO"))</f>
        <v>--</v>
      </c>
      <c r="R21" s="180" t="str">
        <f t="shared" si="4"/>
        <v>NO</v>
      </c>
      <c r="S21" s="372">
        <f t="shared" si="5"/>
        <v>2</v>
      </c>
      <c r="T21" s="427">
        <f t="shared" si="6"/>
        <v>1678.41</v>
      </c>
      <c r="U21" s="428" t="str">
        <f t="shared" si="7"/>
        <v>--</v>
      </c>
      <c r="V21" s="375" t="str">
        <f t="shared" si="8"/>
        <v>--</v>
      </c>
      <c r="W21" s="376" t="str">
        <f t="shared" si="9"/>
        <v>--</v>
      </c>
      <c r="X21" s="377" t="str">
        <f t="shared" si="10"/>
        <v>--</v>
      </c>
      <c r="Y21" s="378" t="str">
        <f t="shared" si="11"/>
        <v>--</v>
      </c>
      <c r="Z21" s="379" t="str">
        <f t="shared" si="12"/>
        <v>--</v>
      </c>
      <c r="AA21" s="380" t="str">
        <f t="shared" si="13"/>
        <v>--</v>
      </c>
      <c r="AB21" s="444" t="s">
        <v>79</v>
      </c>
      <c r="AC21" s="445">
        <f t="shared" si="14"/>
        <v>1678.41</v>
      </c>
      <c r="AD21" s="99"/>
    </row>
    <row r="22" spans="1:30" s="8" customFormat="1" ht="16.5" customHeight="1">
      <c r="A22" s="89"/>
      <c r="B22" s="292"/>
      <c r="C22" s="150">
        <v>50</v>
      </c>
      <c r="D22" s="150">
        <v>251388</v>
      </c>
      <c r="E22" s="169">
        <v>2599</v>
      </c>
      <c r="F22" s="362" t="s">
        <v>285</v>
      </c>
      <c r="G22" s="363" t="s">
        <v>286</v>
      </c>
      <c r="H22" s="364">
        <v>300</v>
      </c>
      <c r="I22" s="618" t="s">
        <v>82</v>
      </c>
      <c r="J22" s="366">
        <f t="shared" si="0"/>
        <v>76.5</v>
      </c>
      <c r="K22" s="367">
        <v>41161.30694444444</v>
      </c>
      <c r="L22" s="367">
        <v>41161.66111111111</v>
      </c>
      <c r="M22" s="368">
        <f t="shared" si="1"/>
        <v>8.500000000116415</v>
      </c>
      <c r="N22" s="369">
        <f t="shared" si="2"/>
        <v>510</v>
      </c>
      <c r="O22" s="370" t="s">
        <v>259</v>
      </c>
      <c r="P22" s="274" t="str">
        <f t="shared" si="3"/>
        <v>--</v>
      </c>
      <c r="Q22" s="371" t="str">
        <f t="shared" si="15"/>
        <v>--</v>
      </c>
      <c r="R22" s="180" t="str">
        <f t="shared" si="4"/>
        <v>NO</v>
      </c>
      <c r="S22" s="372">
        <f t="shared" si="5"/>
        <v>2</v>
      </c>
      <c r="T22" s="427">
        <f t="shared" si="6"/>
        <v>1300.5</v>
      </c>
      <c r="U22" s="428" t="str">
        <f t="shared" si="7"/>
        <v>--</v>
      </c>
      <c r="V22" s="375" t="str">
        <f t="shared" si="8"/>
        <v>--</v>
      </c>
      <c r="W22" s="376" t="str">
        <f t="shared" si="9"/>
        <v>--</v>
      </c>
      <c r="X22" s="377" t="str">
        <f t="shared" si="10"/>
        <v>--</v>
      </c>
      <c r="Y22" s="378" t="str">
        <f t="shared" si="11"/>
        <v>--</v>
      </c>
      <c r="Z22" s="379" t="str">
        <f t="shared" si="12"/>
        <v>--</v>
      </c>
      <c r="AA22" s="380" t="str">
        <f t="shared" si="13"/>
        <v>--</v>
      </c>
      <c r="AB22" s="444" t="s">
        <v>79</v>
      </c>
      <c r="AC22" s="445">
        <f t="shared" si="14"/>
        <v>1300.5</v>
      </c>
      <c r="AD22" s="99"/>
    </row>
    <row r="23" spans="1:30" s="8" customFormat="1" ht="16.5" customHeight="1">
      <c r="A23" s="89"/>
      <c r="B23" s="292"/>
      <c r="C23" s="150">
        <v>51</v>
      </c>
      <c r="D23" s="150">
        <v>252041</v>
      </c>
      <c r="E23" s="150">
        <v>2590</v>
      </c>
      <c r="F23" s="362" t="s">
        <v>287</v>
      </c>
      <c r="G23" s="363" t="s">
        <v>288</v>
      </c>
      <c r="H23" s="364">
        <v>300</v>
      </c>
      <c r="I23" s="618" t="s">
        <v>82</v>
      </c>
      <c r="J23" s="366">
        <f t="shared" si="0"/>
        <v>76.5</v>
      </c>
      <c r="K23" s="367">
        <v>41176.311111111114</v>
      </c>
      <c r="L23" s="367">
        <v>41176.38888888889</v>
      </c>
      <c r="M23" s="368">
        <f t="shared" si="1"/>
        <v>1.866666666639503</v>
      </c>
      <c r="N23" s="369">
        <f t="shared" si="2"/>
        <v>112</v>
      </c>
      <c r="O23" s="370" t="s">
        <v>259</v>
      </c>
      <c r="P23" s="274" t="str">
        <f t="shared" si="3"/>
        <v>--</v>
      </c>
      <c r="Q23" s="371" t="str">
        <f t="shared" si="15"/>
        <v>--</v>
      </c>
      <c r="R23" s="180" t="str">
        <f t="shared" si="4"/>
        <v>NO</v>
      </c>
      <c r="S23" s="372">
        <f t="shared" si="5"/>
        <v>2</v>
      </c>
      <c r="T23" s="427">
        <f t="shared" si="6"/>
        <v>286.11</v>
      </c>
      <c r="U23" s="428" t="str">
        <f t="shared" si="7"/>
        <v>--</v>
      </c>
      <c r="V23" s="375" t="str">
        <f t="shared" si="8"/>
        <v>--</v>
      </c>
      <c r="W23" s="376" t="str">
        <f t="shared" si="9"/>
        <v>--</v>
      </c>
      <c r="X23" s="377" t="str">
        <f t="shared" si="10"/>
        <v>--</v>
      </c>
      <c r="Y23" s="378" t="str">
        <f t="shared" si="11"/>
        <v>--</v>
      </c>
      <c r="Z23" s="379" t="str">
        <f t="shared" si="12"/>
        <v>--</v>
      </c>
      <c r="AA23" s="380" t="str">
        <f t="shared" si="13"/>
        <v>--</v>
      </c>
      <c r="AB23" s="444" t="s">
        <v>79</v>
      </c>
      <c r="AC23" s="445">
        <f t="shared" si="14"/>
        <v>286.11</v>
      </c>
      <c r="AD23" s="99"/>
    </row>
    <row r="24" spans="1:30" s="8" customFormat="1" ht="16.5" customHeight="1">
      <c r="A24" s="89"/>
      <c r="B24" s="292"/>
      <c r="C24" s="150">
        <v>52</v>
      </c>
      <c r="D24" s="150">
        <v>252052</v>
      </c>
      <c r="E24" s="169">
        <v>2591</v>
      </c>
      <c r="F24" s="362" t="s">
        <v>287</v>
      </c>
      <c r="G24" s="363" t="s">
        <v>335</v>
      </c>
      <c r="H24" s="364">
        <v>300</v>
      </c>
      <c r="I24" s="618" t="s">
        <v>82</v>
      </c>
      <c r="J24" s="366">
        <f t="shared" si="0"/>
        <v>76.5</v>
      </c>
      <c r="K24" s="367">
        <v>41180.30972222222</v>
      </c>
      <c r="L24" s="367">
        <v>41180.71527777778</v>
      </c>
      <c r="M24" s="368">
        <f t="shared" si="1"/>
        <v>9.73333333345363</v>
      </c>
      <c r="N24" s="369">
        <f t="shared" si="2"/>
        <v>584</v>
      </c>
      <c r="O24" s="370" t="s">
        <v>259</v>
      </c>
      <c r="P24" s="274" t="str">
        <f t="shared" si="3"/>
        <v>--</v>
      </c>
      <c r="Q24" s="371" t="str">
        <f t="shared" si="15"/>
        <v>--</v>
      </c>
      <c r="R24" s="180" t="str">
        <f t="shared" si="4"/>
        <v>NO</v>
      </c>
      <c r="S24" s="372">
        <f t="shared" si="5"/>
        <v>2</v>
      </c>
      <c r="T24" s="427">
        <f t="shared" si="6"/>
        <v>1488.69</v>
      </c>
      <c r="U24" s="428" t="str">
        <f t="shared" si="7"/>
        <v>--</v>
      </c>
      <c r="V24" s="375" t="str">
        <f t="shared" si="8"/>
        <v>--</v>
      </c>
      <c r="W24" s="376" t="str">
        <f t="shared" si="9"/>
        <v>--</v>
      </c>
      <c r="X24" s="377" t="str">
        <f t="shared" si="10"/>
        <v>--</v>
      </c>
      <c r="Y24" s="378" t="str">
        <f t="shared" si="11"/>
        <v>--</v>
      </c>
      <c r="Z24" s="379" t="str">
        <f t="shared" si="12"/>
        <v>--</v>
      </c>
      <c r="AA24" s="380" t="str">
        <f t="shared" si="13"/>
        <v>--</v>
      </c>
      <c r="AB24" s="444" t="str">
        <f aca="true" t="shared" si="16" ref="AB24:AB39">IF(F24="","","SI")</f>
        <v>SI</v>
      </c>
      <c r="AC24" s="445">
        <f t="shared" si="14"/>
        <v>1488.69</v>
      </c>
      <c r="AD24" s="99"/>
    </row>
    <row r="25" spans="1:30" s="8" customFormat="1" ht="16.5" customHeight="1">
      <c r="A25" s="89"/>
      <c r="B25" s="292"/>
      <c r="C25" s="150">
        <v>53</v>
      </c>
      <c r="D25" s="150">
        <v>252054</v>
      </c>
      <c r="E25" s="150">
        <v>2591</v>
      </c>
      <c r="F25" s="362" t="s">
        <v>287</v>
      </c>
      <c r="G25" s="363" t="s">
        <v>335</v>
      </c>
      <c r="H25" s="364">
        <v>300</v>
      </c>
      <c r="I25" s="618" t="s">
        <v>82</v>
      </c>
      <c r="J25" s="366">
        <f t="shared" si="0"/>
        <v>76.5</v>
      </c>
      <c r="K25" s="367">
        <v>41181.282638888886</v>
      </c>
      <c r="L25" s="367">
        <v>41181.70763888889</v>
      </c>
      <c r="M25" s="368">
        <f t="shared" si="1"/>
        <v>10.20000000006985</v>
      </c>
      <c r="N25" s="369">
        <f t="shared" si="2"/>
        <v>612</v>
      </c>
      <c r="O25" s="370" t="s">
        <v>259</v>
      </c>
      <c r="P25" s="274" t="str">
        <f t="shared" si="3"/>
        <v>--</v>
      </c>
      <c r="Q25" s="371" t="str">
        <f t="shared" si="15"/>
        <v>--</v>
      </c>
      <c r="R25" s="180" t="str">
        <f t="shared" si="4"/>
        <v>NO</v>
      </c>
      <c r="S25" s="372">
        <f t="shared" si="5"/>
        <v>2</v>
      </c>
      <c r="T25" s="427">
        <f t="shared" si="6"/>
        <v>1560.6</v>
      </c>
      <c r="U25" s="428" t="str">
        <f t="shared" si="7"/>
        <v>--</v>
      </c>
      <c r="V25" s="375" t="str">
        <f t="shared" si="8"/>
        <v>--</v>
      </c>
      <c r="W25" s="376" t="str">
        <f t="shared" si="9"/>
        <v>--</v>
      </c>
      <c r="X25" s="377" t="str">
        <f t="shared" si="10"/>
        <v>--</v>
      </c>
      <c r="Y25" s="378" t="str">
        <f t="shared" si="11"/>
        <v>--</v>
      </c>
      <c r="Z25" s="379" t="str">
        <f t="shared" si="12"/>
        <v>--</v>
      </c>
      <c r="AA25" s="380" t="str">
        <f t="shared" si="13"/>
        <v>--</v>
      </c>
      <c r="AB25" s="444" t="str">
        <f t="shared" si="16"/>
        <v>SI</v>
      </c>
      <c r="AC25" s="445">
        <f t="shared" si="14"/>
        <v>1560.6</v>
      </c>
      <c r="AD25" s="99"/>
    </row>
    <row r="26" spans="1:31" s="8" customFormat="1" ht="16.5" customHeight="1">
      <c r="A26" s="89"/>
      <c r="B26" s="292"/>
      <c r="C26" s="150">
        <v>54</v>
      </c>
      <c r="D26" s="150">
        <v>252060</v>
      </c>
      <c r="E26" s="150">
        <v>2591</v>
      </c>
      <c r="F26" s="362" t="s">
        <v>287</v>
      </c>
      <c r="G26" s="363" t="s">
        <v>335</v>
      </c>
      <c r="H26" s="364">
        <v>300</v>
      </c>
      <c r="I26" s="618" t="s">
        <v>82</v>
      </c>
      <c r="J26" s="366">
        <f t="shared" si="0"/>
        <v>76.5</v>
      </c>
      <c r="K26" s="367">
        <v>41182.27638888889</v>
      </c>
      <c r="L26" s="367">
        <v>41182.71041666667</v>
      </c>
      <c r="M26" s="368">
        <f>IF(F26="","",(L26-K26)*24)</f>
        <v>10.416666666744277</v>
      </c>
      <c r="N26" s="369">
        <f>IF(F26="","",ROUND((L26-K26)*24*60,0))</f>
        <v>625</v>
      </c>
      <c r="O26" s="370" t="s">
        <v>259</v>
      </c>
      <c r="P26" s="274" t="str">
        <f>IF(F26="","","--")</f>
        <v>--</v>
      </c>
      <c r="Q26" s="371" t="str">
        <f>IF(F26="","",IF(O26="P","--","NO"))</f>
        <v>--</v>
      </c>
      <c r="R26" s="180" t="str">
        <f>IF(F26="","","NO")</f>
        <v>NO</v>
      </c>
      <c r="S26" s="372">
        <f>$H$15*IF(OR(O26="P",O26="RP"),0.1,1)*IF(R26="SI",1,0.1)</f>
        <v>2</v>
      </c>
      <c r="T26" s="427">
        <f>IF(O26="P",J26*S26*ROUND(N26/60,2),"--")</f>
        <v>1594.26</v>
      </c>
      <c r="U26" s="428" t="str">
        <f>IF(O26="RP",J26*S26*P26/100*ROUND(N26/60,2),"--")</f>
        <v>--</v>
      </c>
      <c r="V26" s="375" t="str">
        <f>IF(AND(O26="F",Q26="NO"),J26*S26,"--")</f>
        <v>--</v>
      </c>
      <c r="W26" s="376" t="str">
        <f>IF(O26="F",J26*S26*ROUND(N26/60,2),"--")</f>
        <v>--</v>
      </c>
      <c r="X26" s="377" t="str">
        <f>IF(AND(O26="R",Q26="NO"),J26*S26*P26/100,"--")</f>
        <v>--</v>
      </c>
      <c r="Y26" s="378" t="str">
        <f>IF(O26="R",J26*S26*P26/100*ROUND(N26/60,2),"--")</f>
        <v>--</v>
      </c>
      <c r="Z26" s="379" t="str">
        <f>IF(O26="RF",J26*S26*ROUND(N26/60,2),"--")</f>
        <v>--</v>
      </c>
      <c r="AA26" s="380" t="str">
        <f>IF(O26="RR",J26*S26*P26/100*ROUND(N26/60,2),"--")</f>
        <v>--</v>
      </c>
      <c r="AB26" s="444" t="str">
        <f>IF(F26="","","SI")</f>
        <v>SI</v>
      </c>
      <c r="AC26" s="445">
        <f>IF(F26="","",SUM(T26:AA26)*IF(AB26="SI",1,2)*IF(AND(P28&lt;&gt;"--",O28="RF"),P28/100,1))</f>
        <v>1594.26</v>
      </c>
      <c r="AD26" s="99"/>
      <c r="AE26" s="83"/>
    </row>
    <row r="27" spans="1:30" s="8" customFormat="1" ht="16.5" customHeight="1">
      <c r="A27" s="89"/>
      <c r="B27" s="292"/>
      <c r="C27" s="150"/>
      <c r="D27" s="150"/>
      <c r="E27" s="150"/>
      <c r="F27" s="362"/>
      <c r="G27" s="363"/>
      <c r="H27" s="364"/>
      <c r="I27" s="365"/>
      <c r="J27" s="366">
        <f t="shared" si="0"/>
        <v>0</v>
      </c>
      <c r="K27" s="367"/>
      <c r="L27" s="367"/>
      <c r="M27" s="368">
        <f t="shared" si="1"/>
      </c>
      <c r="N27" s="369">
        <f t="shared" si="2"/>
      </c>
      <c r="O27" s="370"/>
      <c r="P27" s="274">
        <f t="shared" si="3"/>
      </c>
      <c r="Q27" s="371">
        <f t="shared" si="15"/>
      </c>
      <c r="R27" s="180">
        <f t="shared" si="4"/>
      </c>
      <c r="S27" s="372">
        <f t="shared" si="5"/>
        <v>20</v>
      </c>
      <c r="T27" s="427" t="str">
        <f t="shared" si="6"/>
        <v>--</v>
      </c>
      <c r="U27" s="428" t="str">
        <f t="shared" si="7"/>
        <v>--</v>
      </c>
      <c r="V27" s="375" t="str">
        <f t="shared" si="8"/>
        <v>--</v>
      </c>
      <c r="W27" s="376" t="str">
        <f t="shared" si="9"/>
        <v>--</v>
      </c>
      <c r="X27" s="377" t="str">
        <f t="shared" si="10"/>
        <v>--</v>
      </c>
      <c r="Y27" s="378" t="str">
        <f t="shared" si="11"/>
        <v>--</v>
      </c>
      <c r="Z27" s="379" t="str">
        <f t="shared" si="12"/>
        <v>--</v>
      </c>
      <c r="AA27" s="380" t="str">
        <f t="shared" si="13"/>
        <v>--</v>
      </c>
      <c r="AB27" s="444">
        <f t="shared" si="16"/>
      </c>
      <c r="AC27" s="445">
        <f t="shared" si="14"/>
      </c>
      <c r="AD27" s="99"/>
    </row>
    <row r="28" spans="1:30" s="8" customFormat="1" ht="16.5" customHeight="1">
      <c r="A28" s="89"/>
      <c r="B28" s="292"/>
      <c r="C28" s="150"/>
      <c r="D28" s="150"/>
      <c r="E28" s="169"/>
      <c r="F28" s="362"/>
      <c r="G28" s="363"/>
      <c r="H28" s="364"/>
      <c r="I28" s="365"/>
      <c r="J28" s="366">
        <f t="shared" si="0"/>
        <v>0</v>
      </c>
      <c r="K28" s="367"/>
      <c r="L28" s="367"/>
      <c r="M28" s="368">
        <f t="shared" si="1"/>
      </c>
      <c r="N28" s="369">
        <f t="shared" si="2"/>
      </c>
      <c r="O28" s="370"/>
      <c r="P28" s="274">
        <f t="shared" si="3"/>
      </c>
      <c r="Q28" s="371">
        <f t="shared" si="15"/>
      </c>
      <c r="R28" s="180">
        <f t="shared" si="4"/>
      </c>
      <c r="S28" s="372">
        <f t="shared" si="5"/>
        <v>20</v>
      </c>
      <c r="T28" s="427" t="str">
        <f t="shared" si="6"/>
        <v>--</v>
      </c>
      <c r="U28" s="428" t="str">
        <f t="shared" si="7"/>
        <v>--</v>
      </c>
      <c r="V28" s="375" t="str">
        <f t="shared" si="8"/>
        <v>--</v>
      </c>
      <c r="W28" s="376" t="str">
        <f t="shared" si="9"/>
        <v>--</v>
      </c>
      <c r="X28" s="377" t="str">
        <f t="shared" si="10"/>
        <v>--</v>
      </c>
      <c r="Y28" s="378" t="str">
        <f t="shared" si="11"/>
        <v>--</v>
      </c>
      <c r="Z28" s="379" t="str">
        <f t="shared" si="12"/>
        <v>--</v>
      </c>
      <c r="AA28" s="380" t="str">
        <f t="shared" si="13"/>
        <v>--</v>
      </c>
      <c r="AB28" s="444">
        <f t="shared" si="16"/>
      </c>
      <c r="AC28" s="445">
        <f t="shared" si="14"/>
      </c>
      <c r="AD28" s="99"/>
    </row>
    <row r="29" spans="1:30" s="8" customFormat="1" ht="16.5" customHeight="1">
      <c r="A29" s="89"/>
      <c r="B29" s="292"/>
      <c r="C29" s="150"/>
      <c r="D29" s="150"/>
      <c r="E29" s="150"/>
      <c r="F29" s="362"/>
      <c r="G29" s="363"/>
      <c r="H29" s="364"/>
      <c r="I29" s="365"/>
      <c r="J29" s="366">
        <f t="shared" si="0"/>
        <v>0</v>
      </c>
      <c r="K29" s="367"/>
      <c r="L29" s="367"/>
      <c r="M29" s="368">
        <f t="shared" si="1"/>
      </c>
      <c r="N29" s="369">
        <f t="shared" si="2"/>
      </c>
      <c r="O29" s="370"/>
      <c r="P29" s="274">
        <f t="shared" si="3"/>
      </c>
      <c r="Q29" s="371">
        <f t="shared" si="15"/>
      </c>
      <c r="R29" s="180">
        <f t="shared" si="4"/>
      </c>
      <c r="S29" s="372">
        <f t="shared" si="5"/>
        <v>20</v>
      </c>
      <c r="T29" s="427" t="str">
        <f t="shared" si="6"/>
        <v>--</v>
      </c>
      <c r="U29" s="428" t="str">
        <f t="shared" si="7"/>
        <v>--</v>
      </c>
      <c r="V29" s="375" t="str">
        <f t="shared" si="8"/>
        <v>--</v>
      </c>
      <c r="W29" s="376" t="str">
        <f t="shared" si="9"/>
        <v>--</v>
      </c>
      <c r="X29" s="377" t="str">
        <f t="shared" si="10"/>
        <v>--</v>
      </c>
      <c r="Y29" s="378" t="str">
        <f t="shared" si="11"/>
        <v>--</v>
      </c>
      <c r="Z29" s="379" t="str">
        <f t="shared" si="12"/>
        <v>--</v>
      </c>
      <c r="AA29" s="380" t="str">
        <f t="shared" si="13"/>
        <v>--</v>
      </c>
      <c r="AB29" s="444">
        <f t="shared" si="16"/>
      </c>
      <c r="AC29" s="445">
        <f t="shared" si="14"/>
      </c>
      <c r="AD29" s="99"/>
    </row>
    <row r="30" spans="1:30" s="8" customFormat="1" ht="16.5" customHeight="1">
      <c r="A30" s="89"/>
      <c r="B30" s="292"/>
      <c r="C30" s="150"/>
      <c r="D30" s="150"/>
      <c r="E30" s="169"/>
      <c r="F30" s="362"/>
      <c r="G30" s="382"/>
      <c r="H30" s="364"/>
      <c r="I30" s="365"/>
      <c r="J30" s="366">
        <f t="shared" si="0"/>
        <v>0</v>
      </c>
      <c r="K30" s="367"/>
      <c r="L30" s="367"/>
      <c r="M30" s="368">
        <f t="shared" si="1"/>
      </c>
      <c r="N30" s="369">
        <f t="shared" si="2"/>
      </c>
      <c r="O30" s="370"/>
      <c r="P30" s="274">
        <f t="shared" si="3"/>
      </c>
      <c r="Q30" s="371">
        <f t="shared" si="15"/>
      </c>
      <c r="R30" s="180">
        <f t="shared" si="4"/>
      </c>
      <c r="S30" s="372">
        <f t="shared" si="5"/>
        <v>20</v>
      </c>
      <c r="T30" s="427" t="str">
        <f t="shared" si="6"/>
        <v>--</v>
      </c>
      <c r="U30" s="428" t="str">
        <f t="shared" si="7"/>
        <v>--</v>
      </c>
      <c r="V30" s="375" t="str">
        <f t="shared" si="8"/>
        <v>--</v>
      </c>
      <c r="W30" s="376" t="str">
        <f t="shared" si="9"/>
        <v>--</v>
      </c>
      <c r="X30" s="377" t="str">
        <f t="shared" si="10"/>
        <v>--</v>
      </c>
      <c r="Y30" s="378" t="str">
        <f t="shared" si="11"/>
        <v>--</v>
      </c>
      <c r="Z30" s="379" t="str">
        <f t="shared" si="12"/>
        <v>--</v>
      </c>
      <c r="AA30" s="380" t="str">
        <f t="shared" si="13"/>
        <v>--</v>
      </c>
      <c r="AB30" s="444">
        <f t="shared" si="16"/>
      </c>
      <c r="AC30" s="445">
        <f t="shared" si="14"/>
      </c>
      <c r="AD30" s="99"/>
    </row>
    <row r="31" spans="1:30" s="8" customFormat="1" ht="16.5" customHeight="1">
      <c r="A31" s="89"/>
      <c r="B31" s="292"/>
      <c r="C31" s="150"/>
      <c r="D31" s="150"/>
      <c r="E31" s="150"/>
      <c r="F31" s="362"/>
      <c r="G31" s="382"/>
      <c r="H31" s="364"/>
      <c r="I31" s="365"/>
      <c r="J31" s="366">
        <f t="shared" si="0"/>
        <v>0</v>
      </c>
      <c r="K31" s="367"/>
      <c r="L31" s="367"/>
      <c r="M31" s="368">
        <f t="shared" si="1"/>
      </c>
      <c r="N31" s="369">
        <f t="shared" si="2"/>
      </c>
      <c r="O31" s="370"/>
      <c r="P31" s="274">
        <f t="shared" si="3"/>
      </c>
      <c r="Q31" s="371">
        <f t="shared" si="15"/>
      </c>
      <c r="R31" s="180">
        <f t="shared" si="4"/>
      </c>
      <c r="S31" s="372">
        <f t="shared" si="5"/>
        <v>20</v>
      </c>
      <c r="T31" s="427" t="str">
        <f t="shared" si="6"/>
        <v>--</v>
      </c>
      <c r="U31" s="428" t="str">
        <f t="shared" si="7"/>
        <v>--</v>
      </c>
      <c r="V31" s="375" t="str">
        <f t="shared" si="8"/>
        <v>--</v>
      </c>
      <c r="W31" s="376" t="str">
        <f t="shared" si="9"/>
        <v>--</v>
      </c>
      <c r="X31" s="377" t="str">
        <f t="shared" si="10"/>
        <v>--</v>
      </c>
      <c r="Y31" s="378" t="str">
        <f t="shared" si="11"/>
        <v>--</v>
      </c>
      <c r="Z31" s="379" t="str">
        <f t="shared" si="12"/>
        <v>--</v>
      </c>
      <c r="AA31" s="380" t="str">
        <f t="shared" si="13"/>
        <v>--</v>
      </c>
      <c r="AB31" s="444">
        <f t="shared" si="16"/>
      </c>
      <c r="AC31" s="445">
        <f t="shared" si="14"/>
      </c>
      <c r="AD31" s="99"/>
    </row>
    <row r="32" spans="1:30" s="8" customFormat="1" ht="16.5" customHeight="1">
      <c r="A32" s="89"/>
      <c r="B32" s="292"/>
      <c r="C32" s="150"/>
      <c r="D32" s="150"/>
      <c r="E32" s="169"/>
      <c r="F32" s="362"/>
      <c r="G32" s="382"/>
      <c r="H32" s="364"/>
      <c r="I32" s="365"/>
      <c r="J32" s="366">
        <f t="shared" si="0"/>
        <v>0</v>
      </c>
      <c r="K32" s="367"/>
      <c r="L32" s="367"/>
      <c r="M32" s="368">
        <f t="shared" si="1"/>
      </c>
      <c r="N32" s="369">
        <f t="shared" si="2"/>
      </c>
      <c r="O32" s="370"/>
      <c r="P32" s="274">
        <f t="shared" si="3"/>
      </c>
      <c r="Q32" s="371">
        <f t="shared" si="15"/>
      </c>
      <c r="R32" s="180">
        <f t="shared" si="4"/>
      </c>
      <c r="S32" s="372">
        <f t="shared" si="5"/>
        <v>20</v>
      </c>
      <c r="T32" s="427" t="str">
        <f t="shared" si="6"/>
        <v>--</v>
      </c>
      <c r="U32" s="428" t="str">
        <f t="shared" si="7"/>
        <v>--</v>
      </c>
      <c r="V32" s="375" t="str">
        <f t="shared" si="8"/>
        <v>--</v>
      </c>
      <c r="W32" s="376" t="str">
        <f t="shared" si="9"/>
        <v>--</v>
      </c>
      <c r="X32" s="377" t="str">
        <f t="shared" si="10"/>
        <v>--</v>
      </c>
      <c r="Y32" s="378" t="str">
        <f t="shared" si="11"/>
        <v>--</v>
      </c>
      <c r="Z32" s="379" t="str">
        <f t="shared" si="12"/>
        <v>--</v>
      </c>
      <c r="AA32" s="380" t="str">
        <f t="shared" si="13"/>
        <v>--</v>
      </c>
      <c r="AB32" s="444">
        <f t="shared" si="16"/>
      </c>
      <c r="AC32" s="445">
        <f t="shared" si="14"/>
      </c>
      <c r="AD32" s="99"/>
    </row>
    <row r="33" spans="1:30" s="8" customFormat="1" ht="16.5" customHeight="1">
      <c r="A33" s="89"/>
      <c r="B33" s="292"/>
      <c r="C33" s="150"/>
      <c r="D33" s="150"/>
      <c r="E33" s="150"/>
      <c r="F33" s="362"/>
      <c r="G33" s="382"/>
      <c r="H33" s="364"/>
      <c r="I33" s="365"/>
      <c r="J33" s="366">
        <f t="shared" si="0"/>
        <v>0</v>
      </c>
      <c r="K33" s="367"/>
      <c r="L33" s="367"/>
      <c r="M33" s="368">
        <f t="shared" si="1"/>
      </c>
      <c r="N33" s="369">
        <f t="shared" si="2"/>
      </c>
      <c r="O33" s="370"/>
      <c r="P33" s="274">
        <f t="shared" si="3"/>
      </c>
      <c r="Q33" s="371">
        <f t="shared" si="15"/>
      </c>
      <c r="R33" s="180">
        <f t="shared" si="4"/>
      </c>
      <c r="S33" s="372">
        <f t="shared" si="5"/>
        <v>20</v>
      </c>
      <c r="T33" s="427" t="str">
        <f t="shared" si="6"/>
        <v>--</v>
      </c>
      <c r="U33" s="428" t="str">
        <f t="shared" si="7"/>
        <v>--</v>
      </c>
      <c r="V33" s="375" t="str">
        <f t="shared" si="8"/>
        <v>--</v>
      </c>
      <c r="W33" s="376" t="str">
        <f t="shared" si="9"/>
        <v>--</v>
      </c>
      <c r="X33" s="377" t="str">
        <f t="shared" si="10"/>
        <v>--</v>
      </c>
      <c r="Y33" s="378" t="str">
        <f t="shared" si="11"/>
        <v>--</v>
      </c>
      <c r="Z33" s="379" t="str">
        <f t="shared" si="12"/>
        <v>--</v>
      </c>
      <c r="AA33" s="380" t="str">
        <f t="shared" si="13"/>
        <v>--</v>
      </c>
      <c r="AB33" s="444">
        <f t="shared" si="16"/>
      </c>
      <c r="AC33" s="445">
        <f t="shared" si="14"/>
      </c>
      <c r="AD33" s="99"/>
    </row>
    <row r="34" spans="1:30" s="8" customFormat="1" ht="16.5" customHeight="1">
      <c r="A34" s="89"/>
      <c r="B34" s="292"/>
      <c r="C34" s="150"/>
      <c r="D34" s="150"/>
      <c r="E34" s="169"/>
      <c r="F34" s="362"/>
      <c r="G34" s="382"/>
      <c r="H34" s="364"/>
      <c r="I34" s="365"/>
      <c r="J34" s="366">
        <f t="shared" si="0"/>
        <v>0</v>
      </c>
      <c r="K34" s="367"/>
      <c r="L34" s="367"/>
      <c r="M34" s="368">
        <f t="shared" si="1"/>
      </c>
      <c r="N34" s="369">
        <f t="shared" si="2"/>
      </c>
      <c r="O34" s="370"/>
      <c r="P34" s="274">
        <f t="shared" si="3"/>
      </c>
      <c r="Q34" s="371">
        <f t="shared" si="15"/>
      </c>
      <c r="R34" s="180">
        <f t="shared" si="4"/>
      </c>
      <c r="S34" s="372">
        <f t="shared" si="5"/>
        <v>20</v>
      </c>
      <c r="T34" s="427" t="str">
        <f t="shared" si="6"/>
        <v>--</v>
      </c>
      <c r="U34" s="428" t="str">
        <f t="shared" si="7"/>
        <v>--</v>
      </c>
      <c r="V34" s="375" t="str">
        <f t="shared" si="8"/>
        <v>--</v>
      </c>
      <c r="W34" s="376" t="str">
        <f t="shared" si="9"/>
        <v>--</v>
      </c>
      <c r="X34" s="377" t="str">
        <f t="shared" si="10"/>
        <v>--</v>
      </c>
      <c r="Y34" s="378" t="str">
        <f t="shared" si="11"/>
        <v>--</v>
      </c>
      <c r="Z34" s="379" t="str">
        <f t="shared" si="12"/>
        <v>--</v>
      </c>
      <c r="AA34" s="380" t="str">
        <f t="shared" si="13"/>
        <v>--</v>
      </c>
      <c r="AB34" s="444">
        <f t="shared" si="16"/>
      </c>
      <c r="AC34" s="445">
        <f t="shared" si="14"/>
      </c>
      <c r="AD34" s="99"/>
    </row>
    <row r="35" spans="1:30" s="8" customFormat="1" ht="16.5" customHeight="1">
      <c r="A35" s="89"/>
      <c r="B35" s="292"/>
      <c r="C35" s="150"/>
      <c r="D35" s="150"/>
      <c r="E35" s="150"/>
      <c r="F35" s="362"/>
      <c r="G35" s="382"/>
      <c r="H35" s="364"/>
      <c r="I35" s="365"/>
      <c r="J35" s="366">
        <f t="shared" si="0"/>
        <v>0</v>
      </c>
      <c r="K35" s="367"/>
      <c r="L35" s="367"/>
      <c r="M35" s="368">
        <f t="shared" si="1"/>
      </c>
      <c r="N35" s="369">
        <f t="shared" si="2"/>
      </c>
      <c r="O35" s="370"/>
      <c r="P35" s="274">
        <f t="shared" si="3"/>
      </c>
      <c r="Q35" s="371">
        <f t="shared" si="15"/>
      </c>
      <c r="R35" s="180">
        <f t="shared" si="4"/>
      </c>
      <c r="S35" s="372">
        <f t="shared" si="5"/>
        <v>20</v>
      </c>
      <c r="T35" s="427" t="str">
        <f t="shared" si="6"/>
        <v>--</v>
      </c>
      <c r="U35" s="428" t="str">
        <f t="shared" si="7"/>
        <v>--</v>
      </c>
      <c r="V35" s="375" t="str">
        <f t="shared" si="8"/>
        <v>--</v>
      </c>
      <c r="W35" s="376" t="str">
        <f t="shared" si="9"/>
        <v>--</v>
      </c>
      <c r="X35" s="377" t="str">
        <f t="shared" si="10"/>
        <v>--</v>
      </c>
      <c r="Y35" s="378" t="str">
        <f t="shared" si="11"/>
        <v>--</v>
      </c>
      <c r="Z35" s="379" t="str">
        <f t="shared" si="12"/>
        <v>--</v>
      </c>
      <c r="AA35" s="380" t="str">
        <f t="shared" si="13"/>
        <v>--</v>
      </c>
      <c r="AB35" s="444">
        <f t="shared" si="16"/>
      </c>
      <c r="AC35" s="445">
        <f t="shared" si="14"/>
      </c>
      <c r="AD35" s="99"/>
    </row>
    <row r="36" spans="1:30" s="8" customFormat="1" ht="16.5" customHeight="1">
      <c r="A36" s="89"/>
      <c r="B36" s="292"/>
      <c r="C36" s="150"/>
      <c r="D36" s="150"/>
      <c r="E36" s="169"/>
      <c r="F36" s="362"/>
      <c r="G36" s="382"/>
      <c r="H36" s="364"/>
      <c r="I36" s="365"/>
      <c r="J36" s="366">
        <f t="shared" si="0"/>
        <v>0</v>
      </c>
      <c r="K36" s="367"/>
      <c r="L36" s="367"/>
      <c r="M36" s="368">
        <f t="shared" si="1"/>
      </c>
      <c r="N36" s="369">
        <f t="shared" si="2"/>
      </c>
      <c r="O36" s="370"/>
      <c r="P36" s="274">
        <f t="shared" si="3"/>
      </c>
      <c r="Q36" s="371">
        <f t="shared" si="15"/>
      </c>
      <c r="R36" s="180">
        <f t="shared" si="4"/>
      </c>
      <c r="S36" s="372">
        <f t="shared" si="5"/>
        <v>20</v>
      </c>
      <c r="T36" s="427" t="str">
        <f t="shared" si="6"/>
        <v>--</v>
      </c>
      <c r="U36" s="428" t="str">
        <f t="shared" si="7"/>
        <v>--</v>
      </c>
      <c r="V36" s="375" t="str">
        <f t="shared" si="8"/>
        <v>--</v>
      </c>
      <c r="W36" s="376" t="str">
        <f t="shared" si="9"/>
        <v>--</v>
      </c>
      <c r="X36" s="377" t="str">
        <f t="shared" si="10"/>
        <v>--</v>
      </c>
      <c r="Y36" s="378" t="str">
        <f t="shared" si="11"/>
        <v>--</v>
      </c>
      <c r="Z36" s="379" t="str">
        <f t="shared" si="12"/>
        <v>--</v>
      </c>
      <c r="AA36" s="380" t="str">
        <f t="shared" si="13"/>
        <v>--</v>
      </c>
      <c r="AB36" s="444">
        <f t="shared" si="16"/>
      </c>
      <c r="AC36" s="445">
        <f t="shared" si="14"/>
      </c>
      <c r="AD36" s="99"/>
    </row>
    <row r="37" spans="1:30" s="8" customFormat="1" ht="16.5" customHeight="1">
      <c r="A37" s="89"/>
      <c r="B37" s="292"/>
      <c r="C37" s="150"/>
      <c r="D37" s="150"/>
      <c r="E37" s="150"/>
      <c r="F37" s="362"/>
      <c r="G37" s="382"/>
      <c r="H37" s="364"/>
      <c r="I37" s="365"/>
      <c r="J37" s="366">
        <f t="shared" si="0"/>
        <v>0</v>
      </c>
      <c r="K37" s="367"/>
      <c r="L37" s="367"/>
      <c r="M37" s="368">
        <f t="shared" si="1"/>
      </c>
      <c r="N37" s="369">
        <f t="shared" si="2"/>
      </c>
      <c r="O37" s="370"/>
      <c r="P37" s="274">
        <f t="shared" si="3"/>
      </c>
      <c r="Q37" s="371">
        <f t="shared" si="15"/>
      </c>
      <c r="R37" s="180">
        <f t="shared" si="4"/>
      </c>
      <c r="S37" s="372">
        <f t="shared" si="5"/>
        <v>20</v>
      </c>
      <c r="T37" s="427" t="str">
        <f t="shared" si="6"/>
        <v>--</v>
      </c>
      <c r="U37" s="428" t="str">
        <f t="shared" si="7"/>
        <v>--</v>
      </c>
      <c r="V37" s="375" t="str">
        <f t="shared" si="8"/>
        <v>--</v>
      </c>
      <c r="W37" s="376" t="str">
        <f t="shared" si="9"/>
        <v>--</v>
      </c>
      <c r="X37" s="377" t="str">
        <f t="shared" si="10"/>
        <v>--</v>
      </c>
      <c r="Y37" s="378" t="str">
        <f t="shared" si="11"/>
        <v>--</v>
      </c>
      <c r="Z37" s="379" t="str">
        <f t="shared" si="12"/>
        <v>--</v>
      </c>
      <c r="AA37" s="380" t="str">
        <f t="shared" si="13"/>
        <v>--</v>
      </c>
      <c r="AB37" s="444">
        <f t="shared" si="16"/>
      </c>
      <c r="AC37" s="445">
        <f t="shared" si="14"/>
      </c>
      <c r="AD37" s="99"/>
    </row>
    <row r="38" spans="1:30" s="8" customFormat="1" ht="16.5" customHeight="1">
      <c r="A38" s="89"/>
      <c r="B38" s="292"/>
      <c r="C38" s="150"/>
      <c r="D38" s="150"/>
      <c r="E38" s="169"/>
      <c r="F38" s="362"/>
      <c r="G38" s="382"/>
      <c r="H38" s="364"/>
      <c r="I38" s="365"/>
      <c r="J38" s="366">
        <f t="shared" si="0"/>
        <v>0</v>
      </c>
      <c r="K38" s="367"/>
      <c r="L38" s="367"/>
      <c r="M38" s="368">
        <f t="shared" si="1"/>
      </c>
      <c r="N38" s="369">
        <f t="shared" si="2"/>
      </c>
      <c r="O38" s="370"/>
      <c r="P38" s="274">
        <f t="shared" si="3"/>
      </c>
      <c r="Q38" s="371">
        <f t="shared" si="15"/>
      </c>
      <c r="R38" s="180">
        <f t="shared" si="4"/>
      </c>
      <c r="S38" s="372">
        <f t="shared" si="5"/>
        <v>20</v>
      </c>
      <c r="T38" s="427" t="str">
        <f t="shared" si="6"/>
        <v>--</v>
      </c>
      <c r="U38" s="428" t="str">
        <f t="shared" si="7"/>
        <v>--</v>
      </c>
      <c r="V38" s="375" t="str">
        <f t="shared" si="8"/>
        <v>--</v>
      </c>
      <c r="W38" s="376" t="str">
        <f t="shared" si="9"/>
        <v>--</v>
      </c>
      <c r="X38" s="377" t="str">
        <f t="shared" si="10"/>
        <v>--</v>
      </c>
      <c r="Y38" s="378" t="str">
        <f t="shared" si="11"/>
        <v>--</v>
      </c>
      <c r="Z38" s="379" t="str">
        <f t="shared" si="12"/>
        <v>--</v>
      </c>
      <c r="AA38" s="380" t="str">
        <f t="shared" si="13"/>
        <v>--</v>
      </c>
      <c r="AB38" s="444">
        <f t="shared" si="16"/>
      </c>
      <c r="AC38" s="445">
        <f t="shared" si="14"/>
      </c>
      <c r="AD38" s="99"/>
    </row>
    <row r="39" spans="1:30" s="8" customFormat="1" ht="16.5" customHeight="1">
      <c r="A39" s="89"/>
      <c r="B39" s="292"/>
      <c r="C39" s="150"/>
      <c r="D39" s="150"/>
      <c r="E39" s="150"/>
      <c r="F39" s="362"/>
      <c r="G39" s="382"/>
      <c r="H39" s="364"/>
      <c r="I39" s="365"/>
      <c r="J39" s="366">
        <f t="shared" si="0"/>
        <v>0</v>
      </c>
      <c r="K39" s="367"/>
      <c r="L39" s="367"/>
      <c r="M39" s="368">
        <f t="shared" si="1"/>
      </c>
      <c r="N39" s="369">
        <f t="shared" si="2"/>
      </c>
      <c r="O39" s="370"/>
      <c r="P39" s="274">
        <f t="shared" si="3"/>
      </c>
      <c r="Q39" s="371">
        <f t="shared" si="15"/>
      </c>
      <c r="R39" s="180">
        <f t="shared" si="4"/>
      </c>
      <c r="S39" s="372">
        <f t="shared" si="5"/>
        <v>20</v>
      </c>
      <c r="T39" s="427" t="str">
        <f t="shared" si="6"/>
        <v>--</v>
      </c>
      <c r="U39" s="428" t="str">
        <f t="shared" si="7"/>
        <v>--</v>
      </c>
      <c r="V39" s="375" t="str">
        <f t="shared" si="8"/>
        <v>--</v>
      </c>
      <c r="W39" s="376" t="str">
        <f t="shared" si="9"/>
        <v>--</v>
      </c>
      <c r="X39" s="377" t="str">
        <f t="shared" si="10"/>
        <v>--</v>
      </c>
      <c r="Y39" s="378" t="str">
        <f t="shared" si="11"/>
        <v>--</v>
      </c>
      <c r="Z39" s="379" t="str">
        <f t="shared" si="12"/>
        <v>--</v>
      </c>
      <c r="AA39" s="380" t="str">
        <f t="shared" si="13"/>
        <v>--</v>
      </c>
      <c r="AB39" s="444">
        <f t="shared" si="16"/>
      </c>
      <c r="AC39" s="445">
        <f t="shared" si="14"/>
      </c>
      <c r="AD39" s="99"/>
    </row>
    <row r="40" spans="1:30" s="8" customFormat="1" ht="16.5" customHeight="1" thickBot="1">
      <c r="A40" s="89"/>
      <c r="B40" s="292"/>
      <c r="C40" s="383"/>
      <c r="D40" s="383"/>
      <c r="E40" s="383"/>
      <c r="F40" s="383"/>
      <c r="G40" s="383"/>
      <c r="H40" s="383"/>
      <c r="I40" s="385"/>
      <c r="J40" s="386"/>
      <c r="K40" s="387"/>
      <c r="L40" s="388"/>
      <c r="M40" s="389"/>
      <c r="N40" s="390"/>
      <c r="O40" s="391"/>
      <c r="P40" s="216"/>
      <c r="Q40" s="392"/>
      <c r="R40" s="391"/>
      <c r="S40" s="446"/>
      <c r="T40" s="430"/>
      <c r="U40" s="431"/>
      <c r="V40" s="432"/>
      <c r="W40" s="433"/>
      <c r="X40" s="434"/>
      <c r="Y40" s="435"/>
      <c r="Z40" s="436"/>
      <c r="AA40" s="437"/>
      <c r="AB40" s="438"/>
      <c r="AC40" s="403"/>
      <c r="AD40" s="99"/>
    </row>
    <row r="41" spans="1:30" s="8" customFormat="1" ht="16.5" customHeight="1" thickBot="1" thickTop="1">
      <c r="A41" s="89"/>
      <c r="B41" s="292"/>
      <c r="C41" s="229" t="s">
        <v>255</v>
      </c>
      <c r="D41" s="439"/>
      <c r="E41" s="229"/>
      <c r="F41" s="231"/>
      <c r="G41" s="83"/>
      <c r="H41" s="83"/>
      <c r="I41" s="83"/>
      <c r="J41" s="83"/>
      <c r="K41" s="83"/>
      <c r="L41" s="319"/>
      <c r="M41" s="83"/>
      <c r="N41" s="83"/>
      <c r="O41" s="83"/>
      <c r="P41" s="83"/>
      <c r="Q41" s="83"/>
      <c r="R41" s="83"/>
      <c r="S41" s="83"/>
      <c r="T41" s="404">
        <f aca="true" t="shared" si="17" ref="T41:AA41">SUM(T18:T40)</f>
        <v>9466.11</v>
      </c>
      <c r="U41" s="405">
        <f t="shared" si="17"/>
        <v>0</v>
      </c>
      <c r="V41" s="406">
        <f t="shared" si="17"/>
        <v>0</v>
      </c>
      <c r="W41" s="407">
        <f t="shared" si="17"/>
        <v>0</v>
      </c>
      <c r="X41" s="408">
        <f t="shared" si="17"/>
        <v>0</v>
      </c>
      <c r="Y41" s="409">
        <f t="shared" si="17"/>
        <v>0</v>
      </c>
      <c r="Z41" s="410">
        <f t="shared" si="17"/>
        <v>0</v>
      </c>
      <c r="AA41" s="411">
        <f t="shared" si="17"/>
        <v>0</v>
      </c>
      <c r="AB41" s="89"/>
      <c r="AC41" s="412">
        <f>ROUND(SUM(AC18:AC40),2)</f>
        <v>9466.11</v>
      </c>
      <c r="AD41" s="99"/>
    </row>
    <row r="42" spans="1:30" s="8" customFormat="1" ht="16.5" customHeight="1" thickBot="1" thickTop="1">
      <c r="A42" s="89"/>
      <c r="B42" s="413"/>
      <c r="C42" s="414"/>
      <c r="D42" s="414"/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414"/>
      <c r="S42" s="414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5"/>
    </row>
    <row r="43" spans="1:31" ht="16.5" customHeight="1" thickTop="1">
      <c r="A43" s="416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17"/>
      <c r="V43" s="417"/>
      <c r="W43" s="417"/>
      <c r="X43" s="417"/>
      <c r="Y43" s="417"/>
      <c r="Z43" s="417"/>
      <c r="AA43" s="417"/>
      <c r="AB43" s="417"/>
      <c r="AC43" s="417"/>
      <c r="AD43" s="417"/>
      <c r="AE43" s="417"/>
    </row>
    <row r="44" spans="1:31" ht="16.5" customHeight="1">
      <c r="A44" s="416"/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7"/>
      <c r="R44" s="417"/>
      <c r="S44" s="417"/>
      <c r="T44" s="417"/>
      <c r="U44" s="417"/>
      <c r="V44" s="417"/>
      <c r="W44" s="417"/>
      <c r="X44" s="417"/>
      <c r="Y44" s="417"/>
      <c r="Z44" s="417"/>
      <c r="AA44" s="417"/>
      <c r="AB44" s="417"/>
      <c r="AC44" s="417"/>
      <c r="AD44" s="417"/>
      <c r="AE44" s="417"/>
    </row>
    <row r="45" spans="1:31" ht="16.5" customHeight="1">
      <c r="A45" s="416"/>
      <c r="F45" s="417"/>
      <c r="G45" s="417"/>
      <c r="H45" s="417"/>
      <c r="I45" s="417"/>
      <c r="J45" s="417"/>
      <c r="K45" s="417"/>
      <c r="L45" s="417"/>
      <c r="M45" s="417"/>
      <c r="N45" s="417"/>
      <c r="O45" s="417"/>
      <c r="P45" s="417"/>
      <c r="Q45" s="417"/>
      <c r="R45" s="417"/>
      <c r="S45" s="417"/>
      <c r="T45" s="417"/>
      <c r="U45" s="417"/>
      <c r="V45" s="417"/>
      <c r="W45" s="417"/>
      <c r="X45" s="417"/>
      <c r="Y45" s="417"/>
      <c r="Z45" s="417"/>
      <c r="AA45" s="417"/>
      <c r="AB45" s="417"/>
      <c r="AC45" s="417"/>
      <c r="AD45" s="417"/>
      <c r="AE45" s="417"/>
    </row>
    <row r="46" spans="1:31" ht="16.5" customHeight="1">
      <c r="A46" s="416"/>
      <c r="F46" s="417"/>
      <c r="G46" s="417"/>
      <c r="H46" s="417"/>
      <c r="I46" s="417"/>
      <c r="J46" s="417"/>
      <c r="K46" s="417"/>
      <c r="L46" s="417"/>
      <c r="M46" s="417"/>
      <c r="N46" s="417"/>
      <c r="O46" s="417"/>
      <c r="P46" s="417"/>
      <c r="Q46" s="417"/>
      <c r="R46" s="417"/>
      <c r="S46" s="417"/>
      <c r="T46" s="417"/>
      <c r="U46" s="417"/>
      <c r="V46" s="417"/>
      <c r="W46" s="417"/>
      <c r="X46" s="417"/>
      <c r="Y46" s="417"/>
      <c r="Z46" s="417"/>
      <c r="AA46" s="417"/>
      <c r="AB46" s="417"/>
      <c r="AC46" s="417"/>
      <c r="AD46" s="417"/>
      <c r="AE46" s="417"/>
    </row>
    <row r="47" spans="6:31" ht="16.5" customHeight="1">
      <c r="F47" s="417"/>
      <c r="G47" s="417"/>
      <c r="H47" s="417"/>
      <c r="I47" s="417"/>
      <c r="J47" s="417"/>
      <c r="K47" s="417"/>
      <c r="L47" s="417"/>
      <c r="M47" s="417"/>
      <c r="N47" s="417"/>
      <c r="O47" s="417"/>
      <c r="P47" s="417"/>
      <c r="Q47" s="417"/>
      <c r="R47" s="417"/>
      <c r="S47" s="417"/>
      <c r="T47" s="417"/>
      <c r="U47" s="417"/>
      <c r="V47" s="417"/>
      <c r="W47" s="417"/>
      <c r="X47" s="417"/>
      <c r="Y47" s="417"/>
      <c r="Z47" s="417"/>
      <c r="AA47" s="417"/>
      <c r="AB47" s="417"/>
      <c r="AC47" s="417"/>
      <c r="AD47" s="417"/>
      <c r="AE47" s="417"/>
    </row>
    <row r="48" spans="6:31" ht="16.5" customHeight="1">
      <c r="F48" s="417"/>
      <c r="G48" s="417"/>
      <c r="H48" s="417"/>
      <c r="I48" s="417"/>
      <c r="J48" s="417"/>
      <c r="K48" s="417"/>
      <c r="L48" s="417"/>
      <c r="M48" s="417"/>
      <c r="N48" s="417"/>
      <c r="O48" s="417"/>
      <c r="P48" s="417"/>
      <c r="Q48" s="417"/>
      <c r="R48" s="417"/>
      <c r="S48" s="417"/>
      <c r="T48" s="417"/>
      <c r="U48" s="417"/>
      <c r="V48" s="417"/>
      <c r="W48" s="417"/>
      <c r="X48" s="417"/>
      <c r="Y48" s="417"/>
      <c r="Z48" s="417"/>
      <c r="AA48" s="417"/>
      <c r="AB48" s="417"/>
      <c r="AC48" s="417"/>
      <c r="AD48" s="417"/>
      <c r="AE48" s="417"/>
    </row>
    <row r="49" spans="6:31" ht="16.5" customHeight="1">
      <c r="F49" s="417"/>
      <c r="G49" s="417"/>
      <c r="H49" s="417"/>
      <c r="I49" s="417"/>
      <c r="J49" s="417"/>
      <c r="K49" s="417"/>
      <c r="L49" s="417"/>
      <c r="M49" s="417"/>
      <c r="N49" s="417"/>
      <c r="O49" s="417"/>
      <c r="P49" s="417"/>
      <c r="Q49" s="417"/>
      <c r="R49" s="417"/>
      <c r="S49" s="417"/>
      <c r="T49" s="417"/>
      <c r="U49" s="417"/>
      <c r="V49" s="417"/>
      <c r="W49" s="417"/>
      <c r="X49" s="417"/>
      <c r="Y49" s="417"/>
      <c r="Z49" s="417"/>
      <c r="AA49" s="417"/>
      <c r="AB49" s="417"/>
      <c r="AC49" s="417"/>
      <c r="AD49" s="417"/>
      <c r="AE49" s="417"/>
    </row>
    <row r="50" spans="6:31" ht="16.5" customHeight="1">
      <c r="F50" s="417"/>
      <c r="G50" s="417"/>
      <c r="H50" s="417"/>
      <c r="I50" s="417"/>
      <c r="J50" s="417"/>
      <c r="K50" s="417"/>
      <c r="L50" s="417"/>
      <c r="M50" s="417"/>
      <c r="N50" s="417"/>
      <c r="O50" s="417"/>
      <c r="P50" s="417"/>
      <c r="Q50" s="417"/>
      <c r="R50" s="417"/>
      <c r="S50" s="417"/>
      <c r="T50" s="417"/>
      <c r="U50" s="417"/>
      <c r="V50" s="417"/>
      <c r="W50" s="417"/>
      <c r="X50" s="417"/>
      <c r="Y50" s="417"/>
      <c r="Z50" s="417"/>
      <c r="AA50" s="417"/>
      <c r="AB50" s="417"/>
      <c r="AC50" s="417"/>
      <c r="AD50" s="417"/>
      <c r="AE50" s="417"/>
    </row>
    <row r="51" spans="6:31" ht="16.5" customHeight="1">
      <c r="F51" s="417"/>
      <c r="G51" s="417"/>
      <c r="H51" s="417"/>
      <c r="I51" s="417"/>
      <c r="J51" s="417"/>
      <c r="K51" s="417"/>
      <c r="L51" s="417"/>
      <c r="M51" s="417"/>
      <c r="N51" s="417"/>
      <c r="O51" s="417"/>
      <c r="P51" s="417"/>
      <c r="Q51" s="417"/>
      <c r="R51" s="417"/>
      <c r="S51" s="417"/>
      <c r="T51" s="417"/>
      <c r="U51" s="417"/>
      <c r="V51" s="417"/>
      <c r="W51" s="417"/>
      <c r="X51" s="417"/>
      <c r="Y51" s="417"/>
      <c r="Z51" s="417"/>
      <c r="AA51" s="417"/>
      <c r="AB51" s="417"/>
      <c r="AC51" s="417"/>
      <c r="AD51" s="417"/>
      <c r="AE51" s="417"/>
    </row>
    <row r="52" spans="6:31" ht="16.5" customHeight="1">
      <c r="F52" s="417"/>
      <c r="G52" s="417"/>
      <c r="H52" s="417"/>
      <c r="I52" s="417"/>
      <c r="J52" s="417"/>
      <c r="K52" s="417"/>
      <c r="L52" s="417"/>
      <c r="M52" s="417"/>
      <c r="N52" s="417"/>
      <c r="O52" s="417"/>
      <c r="P52" s="417"/>
      <c r="Q52" s="417"/>
      <c r="R52" s="417"/>
      <c r="S52" s="417"/>
      <c r="T52" s="417"/>
      <c r="U52" s="417"/>
      <c r="V52" s="417"/>
      <c r="W52" s="417"/>
      <c r="X52" s="417"/>
      <c r="Y52" s="417"/>
      <c r="Z52" s="417"/>
      <c r="AA52" s="417"/>
      <c r="AB52" s="417"/>
      <c r="AC52" s="417"/>
      <c r="AD52" s="417"/>
      <c r="AE52" s="417"/>
    </row>
    <row r="53" spans="6:31" ht="16.5" customHeight="1"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7"/>
      <c r="Q53" s="417"/>
      <c r="R53" s="417"/>
      <c r="S53" s="417"/>
      <c r="T53" s="417"/>
      <c r="U53" s="417"/>
      <c r="V53" s="417"/>
      <c r="W53" s="417"/>
      <c r="X53" s="417"/>
      <c r="Y53" s="417"/>
      <c r="Z53" s="417"/>
      <c r="AA53" s="417"/>
      <c r="AB53" s="417"/>
      <c r="AC53" s="417"/>
      <c r="AD53" s="417"/>
      <c r="AE53" s="417"/>
    </row>
    <row r="54" spans="6:31" ht="16.5" customHeight="1">
      <c r="F54" s="417"/>
      <c r="G54" s="417"/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417"/>
      <c r="S54" s="417"/>
      <c r="T54" s="417"/>
      <c r="U54" s="417"/>
      <c r="V54" s="417"/>
      <c r="W54" s="417"/>
      <c r="X54" s="417"/>
      <c r="Y54" s="417"/>
      <c r="Z54" s="417"/>
      <c r="AA54" s="417"/>
      <c r="AB54" s="417"/>
      <c r="AC54" s="417"/>
      <c r="AD54" s="417"/>
      <c r="AE54" s="417"/>
    </row>
    <row r="55" spans="6:31" ht="16.5" customHeight="1">
      <c r="F55" s="417"/>
      <c r="G55" s="417"/>
      <c r="H55" s="417"/>
      <c r="I55" s="417"/>
      <c r="J55" s="417"/>
      <c r="K55" s="417"/>
      <c r="L55" s="417"/>
      <c r="M55" s="417"/>
      <c r="N55" s="417"/>
      <c r="O55" s="417"/>
      <c r="P55" s="417"/>
      <c r="Q55" s="417"/>
      <c r="R55" s="417"/>
      <c r="S55" s="417"/>
      <c r="T55" s="417"/>
      <c r="U55" s="417"/>
      <c r="V55" s="417"/>
      <c r="W55" s="417"/>
      <c r="X55" s="417"/>
      <c r="Y55" s="417"/>
      <c r="Z55" s="417"/>
      <c r="AA55" s="417"/>
      <c r="AB55" s="417"/>
      <c r="AC55" s="417"/>
      <c r="AD55" s="417"/>
      <c r="AE55" s="417"/>
    </row>
    <row r="56" spans="6:31" ht="16.5" customHeight="1">
      <c r="F56" s="417"/>
      <c r="G56" s="417"/>
      <c r="H56" s="417"/>
      <c r="I56" s="417"/>
      <c r="J56" s="417"/>
      <c r="K56" s="417"/>
      <c r="L56" s="417"/>
      <c r="M56" s="417"/>
      <c r="N56" s="417"/>
      <c r="O56" s="417"/>
      <c r="P56" s="417"/>
      <c r="Q56" s="417"/>
      <c r="R56" s="417"/>
      <c r="S56" s="417"/>
      <c r="T56" s="417"/>
      <c r="U56" s="417"/>
      <c r="V56" s="417"/>
      <c r="W56" s="417"/>
      <c r="X56" s="417"/>
      <c r="Y56" s="417"/>
      <c r="Z56" s="417"/>
      <c r="AA56" s="417"/>
      <c r="AB56" s="417"/>
      <c r="AC56" s="417"/>
      <c r="AD56" s="417"/>
      <c r="AE56" s="417"/>
    </row>
    <row r="57" spans="6:31" ht="16.5" customHeight="1">
      <c r="F57" s="417"/>
      <c r="G57" s="417"/>
      <c r="H57" s="417"/>
      <c r="I57" s="417"/>
      <c r="J57" s="417"/>
      <c r="K57" s="417"/>
      <c r="L57" s="417"/>
      <c r="M57" s="417"/>
      <c r="N57" s="417"/>
      <c r="O57" s="417"/>
      <c r="P57" s="417"/>
      <c r="Q57" s="417"/>
      <c r="R57" s="417"/>
      <c r="S57" s="417"/>
      <c r="T57" s="417"/>
      <c r="U57" s="417"/>
      <c r="V57" s="417"/>
      <c r="W57" s="417"/>
      <c r="X57" s="417"/>
      <c r="Y57" s="417"/>
      <c r="Z57" s="417"/>
      <c r="AA57" s="417"/>
      <c r="AB57" s="417"/>
      <c r="AC57" s="417"/>
      <c r="AD57" s="417"/>
      <c r="AE57" s="417"/>
    </row>
    <row r="58" spans="6:31" ht="16.5" customHeight="1">
      <c r="F58" s="417"/>
      <c r="G58" s="417"/>
      <c r="H58" s="417"/>
      <c r="I58" s="417"/>
      <c r="J58" s="417"/>
      <c r="K58" s="417"/>
      <c r="L58" s="417"/>
      <c r="M58" s="417"/>
      <c r="N58" s="417"/>
      <c r="O58" s="417"/>
      <c r="P58" s="417"/>
      <c r="Q58" s="417"/>
      <c r="R58" s="417"/>
      <c r="S58" s="417"/>
      <c r="T58" s="417"/>
      <c r="U58" s="417"/>
      <c r="V58" s="417"/>
      <c r="W58" s="417"/>
      <c r="X58" s="417"/>
      <c r="Y58" s="417"/>
      <c r="Z58" s="417"/>
      <c r="AA58" s="417"/>
      <c r="AB58" s="417"/>
      <c r="AC58" s="417"/>
      <c r="AD58" s="417"/>
      <c r="AE58" s="417"/>
    </row>
    <row r="59" spans="6:31" ht="16.5" customHeight="1"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7"/>
      <c r="W59" s="417"/>
      <c r="X59" s="417"/>
      <c r="Y59" s="417"/>
      <c r="Z59" s="417"/>
      <c r="AA59" s="417"/>
      <c r="AB59" s="417"/>
      <c r="AC59" s="417"/>
      <c r="AD59" s="417"/>
      <c r="AE59" s="417"/>
    </row>
    <row r="60" spans="6:31" ht="16.5" customHeight="1">
      <c r="F60" s="417"/>
      <c r="G60" s="417"/>
      <c r="H60" s="417"/>
      <c r="I60" s="417"/>
      <c r="J60" s="417"/>
      <c r="K60" s="417"/>
      <c r="L60" s="417"/>
      <c r="M60" s="417"/>
      <c r="N60" s="417"/>
      <c r="O60" s="417"/>
      <c r="P60" s="417"/>
      <c r="Q60" s="417"/>
      <c r="R60" s="417"/>
      <c r="S60" s="417"/>
      <c r="T60" s="417"/>
      <c r="U60" s="417"/>
      <c r="V60" s="417"/>
      <c r="W60" s="417"/>
      <c r="X60" s="417"/>
      <c r="Y60" s="417"/>
      <c r="Z60" s="417"/>
      <c r="AA60" s="417"/>
      <c r="AB60" s="417"/>
      <c r="AC60" s="417"/>
      <c r="AD60" s="417"/>
      <c r="AE60" s="417"/>
    </row>
    <row r="61" spans="6:31" ht="16.5" customHeight="1">
      <c r="F61" s="417"/>
      <c r="G61" s="417"/>
      <c r="H61" s="417"/>
      <c r="I61" s="417"/>
      <c r="J61" s="417"/>
      <c r="K61" s="417"/>
      <c r="L61" s="417"/>
      <c r="M61" s="417"/>
      <c r="N61" s="417"/>
      <c r="O61" s="417"/>
      <c r="P61" s="417"/>
      <c r="Q61" s="417"/>
      <c r="R61" s="417"/>
      <c r="S61" s="417"/>
      <c r="T61" s="417"/>
      <c r="U61" s="417"/>
      <c r="V61" s="417"/>
      <c r="W61" s="417"/>
      <c r="X61" s="417"/>
      <c r="Y61" s="417"/>
      <c r="Z61" s="417"/>
      <c r="AA61" s="417"/>
      <c r="AB61" s="417"/>
      <c r="AC61" s="417"/>
      <c r="AD61" s="417"/>
      <c r="AE61" s="417"/>
    </row>
    <row r="62" spans="6:31" ht="16.5" customHeight="1">
      <c r="F62" s="417"/>
      <c r="G62" s="417"/>
      <c r="H62" s="417"/>
      <c r="I62" s="417"/>
      <c r="J62" s="417"/>
      <c r="K62" s="417"/>
      <c r="L62" s="417"/>
      <c r="M62" s="417"/>
      <c r="N62" s="417"/>
      <c r="O62" s="417"/>
      <c r="P62" s="417"/>
      <c r="Q62" s="417"/>
      <c r="R62" s="417"/>
      <c r="S62" s="417"/>
      <c r="T62" s="417"/>
      <c r="U62" s="417"/>
      <c r="V62" s="417"/>
      <c r="W62" s="417"/>
      <c r="X62" s="417"/>
      <c r="Y62" s="417"/>
      <c r="Z62" s="417"/>
      <c r="AA62" s="417"/>
      <c r="AB62" s="417"/>
      <c r="AC62" s="417"/>
      <c r="AD62" s="417"/>
      <c r="AE62" s="417"/>
    </row>
    <row r="63" spans="6:31" ht="16.5" customHeight="1">
      <c r="F63" s="417"/>
      <c r="G63" s="417"/>
      <c r="H63" s="417"/>
      <c r="I63" s="417"/>
      <c r="J63" s="417"/>
      <c r="K63" s="417"/>
      <c r="L63" s="417"/>
      <c r="M63" s="417"/>
      <c r="N63" s="417"/>
      <c r="O63" s="417"/>
      <c r="P63" s="417"/>
      <c r="Q63" s="417"/>
      <c r="R63" s="417"/>
      <c r="S63" s="417"/>
      <c r="T63" s="417"/>
      <c r="U63" s="417"/>
      <c r="V63" s="417"/>
      <c r="W63" s="417"/>
      <c r="X63" s="417"/>
      <c r="Y63" s="417"/>
      <c r="Z63" s="417"/>
      <c r="AA63" s="417"/>
      <c r="AB63" s="417"/>
      <c r="AC63" s="417"/>
      <c r="AD63" s="417"/>
      <c r="AE63" s="417"/>
    </row>
    <row r="64" spans="6:31" ht="16.5" customHeight="1">
      <c r="F64" s="417"/>
      <c r="G64" s="417"/>
      <c r="H64" s="417"/>
      <c r="I64" s="417"/>
      <c r="J64" s="417"/>
      <c r="K64" s="417"/>
      <c r="L64" s="417"/>
      <c r="M64" s="417"/>
      <c r="N64" s="417"/>
      <c r="O64" s="417"/>
      <c r="P64" s="417"/>
      <c r="Q64" s="417"/>
      <c r="R64" s="417"/>
      <c r="S64" s="417"/>
      <c r="T64" s="417"/>
      <c r="U64" s="417"/>
      <c r="V64" s="417"/>
      <c r="W64" s="417"/>
      <c r="X64" s="417"/>
      <c r="Y64" s="417"/>
      <c r="Z64" s="417"/>
      <c r="AA64" s="417"/>
      <c r="AB64" s="417"/>
      <c r="AC64" s="417"/>
      <c r="AD64" s="417"/>
      <c r="AE64" s="417"/>
    </row>
    <row r="65" spans="6:31" ht="16.5" customHeight="1">
      <c r="F65" s="417"/>
      <c r="G65" s="417"/>
      <c r="H65" s="417"/>
      <c r="I65" s="417"/>
      <c r="J65" s="417"/>
      <c r="K65" s="417"/>
      <c r="L65" s="417"/>
      <c r="M65" s="417"/>
      <c r="N65" s="417"/>
      <c r="O65" s="417"/>
      <c r="P65" s="417"/>
      <c r="Q65" s="417"/>
      <c r="R65" s="417"/>
      <c r="S65" s="417"/>
      <c r="T65" s="417"/>
      <c r="U65" s="417"/>
      <c r="V65" s="417"/>
      <c r="W65" s="417"/>
      <c r="X65" s="417"/>
      <c r="Y65" s="417"/>
      <c r="Z65" s="417"/>
      <c r="AA65" s="417"/>
      <c r="AB65" s="417"/>
      <c r="AC65" s="417"/>
      <c r="AD65" s="417"/>
      <c r="AE65" s="417"/>
    </row>
    <row r="66" spans="6:31" ht="16.5" customHeight="1">
      <c r="F66" s="417"/>
      <c r="G66" s="417"/>
      <c r="H66" s="417"/>
      <c r="I66" s="417"/>
      <c r="J66" s="417"/>
      <c r="K66" s="417"/>
      <c r="L66" s="417"/>
      <c r="M66" s="417"/>
      <c r="N66" s="417"/>
      <c r="O66" s="417"/>
      <c r="P66" s="417"/>
      <c r="Q66" s="417"/>
      <c r="R66" s="417"/>
      <c r="S66" s="417"/>
      <c r="T66" s="417"/>
      <c r="U66" s="417"/>
      <c r="V66" s="417"/>
      <c r="W66" s="417"/>
      <c r="X66" s="417"/>
      <c r="Y66" s="417"/>
      <c r="Z66" s="417"/>
      <c r="AA66" s="417"/>
      <c r="AB66" s="417"/>
      <c r="AC66" s="417"/>
      <c r="AD66" s="417"/>
      <c r="AE66" s="417"/>
    </row>
    <row r="67" spans="6:31" ht="16.5" customHeight="1">
      <c r="F67" s="417"/>
      <c r="G67" s="417"/>
      <c r="H67" s="417"/>
      <c r="I67" s="417"/>
      <c r="J67" s="417"/>
      <c r="K67" s="417"/>
      <c r="L67" s="417"/>
      <c r="M67" s="417"/>
      <c r="N67" s="417"/>
      <c r="O67" s="417"/>
      <c r="P67" s="417"/>
      <c r="Q67" s="417"/>
      <c r="R67" s="417"/>
      <c r="S67" s="417"/>
      <c r="T67" s="417"/>
      <c r="U67" s="417"/>
      <c r="V67" s="417"/>
      <c r="W67" s="417"/>
      <c r="X67" s="417"/>
      <c r="Y67" s="417"/>
      <c r="Z67" s="417"/>
      <c r="AA67" s="417"/>
      <c r="AB67" s="417"/>
      <c r="AC67" s="417"/>
      <c r="AD67" s="417"/>
      <c r="AE67" s="417"/>
    </row>
    <row r="68" spans="6:31" ht="16.5" customHeight="1">
      <c r="F68" s="417"/>
      <c r="G68" s="417"/>
      <c r="H68" s="417"/>
      <c r="I68" s="417"/>
      <c r="J68" s="417"/>
      <c r="K68" s="417"/>
      <c r="L68" s="417"/>
      <c r="M68" s="417"/>
      <c r="N68" s="417"/>
      <c r="O68" s="417"/>
      <c r="P68" s="417"/>
      <c r="Q68" s="417"/>
      <c r="R68" s="417"/>
      <c r="S68" s="417"/>
      <c r="T68" s="417"/>
      <c r="U68" s="417"/>
      <c r="V68" s="417"/>
      <c r="W68" s="417"/>
      <c r="X68" s="417"/>
      <c r="Y68" s="417"/>
      <c r="Z68" s="417"/>
      <c r="AA68" s="417"/>
      <c r="AB68" s="417"/>
      <c r="AC68" s="417"/>
      <c r="AD68" s="417"/>
      <c r="AE68" s="417"/>
    </row>
    <row r="69" spans="6:31" ht="16.5" customHeight="1">
      <c r="F69" s="417"/>
      <c r="G69" s="417"/>
      <c r="H69" s="417"/>
      <c r="I69" s="417"/>
      <c r="J69" s="417"/>
      <c r="K69" s="417"/>
      <c r="L69" s="417"/>
      <c r="M69" s="417"/>
      <c r="N69" s="417"/>
      <c r="O69" s="417"/>
      <c r="P69" s="417"/>
      <c r="Q69" s="417"/>
      <c r="R69" s="417"/>
      <c r="S69" s="417"/>
      <c r="T69" s="417"/>
      <c r="U69" s="417"/>
      <c r="V69" s="417"/>
      <c r="W69" s="417"/>
      <c r="X69" s="417"/>
      <c r="Y69" s="417"/>
      <c r="Z69" s="417"/>
      <c r="AA69" s="417"/>
      <c r="AB69" s="417"/>
      <c r="AC69" s="417"/>
      <c r="AD69" s="417"/>
      <c r="AE69" s="417"/>
    </row>
    <row r="70" spans="6:31" ht="16.5" customHeight="1">
      <c r="F70" s="417"/>
      <c r="G70" s="417"/>
      <c r="H70" s="417"/>
      <c r="I70" s="417"/>
      <c r="J70" s="417"/>
      <c r="K70" s="417"/>
      <c r="L70" s="417"/>
      <c r="M70" s="417"/>
      <c r="N70" s="417"/>
      <c r="O70" s="417"/>
      <c r="P70" s="417"/>
      <c r="Q70" s="417"/>
      <c r="R70" s="417"/>
      <c r="S70" s="417"/>
      <c r="T70" s="417"/>
      <c r="U70" s="417"/>
      <c r="V70" s="417"/>
      <c r="W70" s="417"/>
      <c r="X70" s="417"/>
      <c r="Y70" s="417"/>
      <c r="Z70" s="417"/>
      <c r="AA70" s="417"/>
      <c r="AB70" s="417"/>
      <c r="AC70" s="417"/>
      <c r="AD70" s="417"/>
      <c r="AE70" s="417"/>
    </row>
    <row r="71" spans="6:31" ht="16.5" customHeight="1">
      <c r="F71" s="417"/>
      <c r="G71" s="417"/>
      <c r="H71" s="417"/>
      <c r="I71" s="417"/>
      <c r="J71" s="417"/>
      <c r="K71" s="417"/>
      <c r="L71" s="417"/>
      <c r="M71" s="417"/>
      <c r="N71" s="417"/>
      <c r="O71" s="417"/>
      <c r="P71" s="417"/>
      <c r="Q71" s="417"/>
      <c r="R71" s="417"/>
      <c r="S71" s="417"/>
      <c r="T71" s="417"/>
      <c r="U71" s="417"/>
      <c r="V71" s="417"/>
      <c r="W71" s="417"/>
      <c r="X71" s="417"/>
      <c r="Y71" s="417"/>
      <c r="Z71" s="417"/>
      <c r="AA71" s="417"/>
      <c r="AB71" s="417"/>
      <c r="AC71" s="417"/>
      <c r="AD71" s="417"/>
      <c r="AE71" s="417"/>
    </row>
    <row r="72" spans="6:31" ht="16.5" customHeight="1">
      <c r="F72" s="417"/>
      <c r="G72" s="417"/>
      <c r="H72" s="417"/>
      <c r="I72" s="417"/>
      <c r="J72" s="417"/>
      <c r="K72" s="417"/>
      <c r="L72" s="417"/>
      <c r="M72" s="417"/>
      <c r="N72" s="417"/>
      <c r="O72" s="417"/>
      <c r="P72" s="417"/>
      <c r="Q72" s="417"/>
      <c r="R72" s="417"/>
      <c r="S72" s="417"/>
      <c r="T72" s="417"/>
      <c r="U72" s="417"/>
      <c r="V72" s="417"/>
      <c r="W72" s="417"/>
      <c r="X72" s="417"/>
      <c r="Y72" s="417"/>
      <c r="Z72" s="417"/>
      <c r="AA72" s="417"/>
      <c r="AB72" s="417"/>
      <c r="AC72" s="417"/>
      <c r="AD72" s="417"/>
      <c r="AE72" s="417"/>
    </row>
    <row r="73" spans="6:31" ht="16.5" customHeight="1">
      <c r="F73" s="417"/>
      <c r="G73" s="417"/>
      <c r="H73" s="417"/>
      <c r="I73" s="417"/>
      <c r="J73" s="417"/>
      <c r="K73" s="417"/>
      <c r="L73" s="417"/>
      <c r="M73" s="417"/>
      <c r="N73" s="417"/>
      <c r="O73" s="417"/>
      <c r="P73" s="417"/>
      <c r="Q73" s="417"/>
      <c r="R73" s="417"/>
      <c r="S73" s="417"/>
      <c r="T73" s="417"/>
      <c r="U73" s="417"/>
      <c r="V73" s="417"/>
      <c r="W73" s="417"/>
      <c r="X73" s="417"/>
      <c r="Y73" s="417"/>
      <c r="Z73" s="417"/>
      <c r="AA73" s="417"/>
      <c r="AB73" s="417"/>
      <c r="AC73" s="417"/>
      <c r="AD73" s="417"/>
      <c r="AE73" s="417"/>
    </row>
    <row r="74" spans="6:31" ht="16.5" customHeight="1">
      <c r="F74" s="417"/>
      <c r="G74" s="417"/>
      <c r="H74" s="417"/>
      <c r="I74" s="417"/>
      <c r="J74" s="417"/>
      <c r="K74" s="417"/>
      <c r="L74" s="417"/>
      <c r="M74" s="417"/>
      <c r="N74" s="417"/>
      <c r="O74" s="417"/>
      <c r="P74" s="417"/>
      <c r="Q74" s="417"/>
      <c r="R74" s="417"/>
      <c r="S74" s="417"/>
      <c r="T74" s="417"/>
      <c r="U74" s="417"/>
      <c r="V74" s="417"/>
      <c r="W74" s="417"/>
      <c r="X74" s="417"/>
      <c r="Y74" s="417"/>
      <c r="Z74" s="417"/>
      <c r="AA74" s="417"/>
      <c r="AB74" s="417"/>
      <c r="AC74" s="417"/>
      <c r="AD74" s="417"/>
      <c r="AE74" s="417"/>
    </row>
    <row r="75" spans="6:31" ht="16.5" customHeight="1">
      <c r="F75" s="417"/>
      <c r="G75" s="417"/>
      <c r="H75" s="417"/>
      <c r="I75" s="417"/>
      <c r="J75" s="417"/>
      <c r="K75" s="417"/>
      <c r="L75" s="417"/>
      <c r="M75" s="417"/>
      <c r="N75" s="417"/>
      <c r="O75" s="417"/>
      <c r="P75" s="417"/>
      <c r="Q75" s="417"/>
      <c r="R75" s="417"/>
      <c r="S75" s="417"/>
      <c r="T75" s="417"/>
      <c r="U75" s="417"/>
      <c r="V75" s="417"/>
      <c r="W75" s="417"/>
      <c r="X75" s="417"/>
      <c r="Y75" s="417"/>
      <c r="Z75" s="417"/>
      <c r="AA75" s="417"/>
      <c r="AB75" s="417"/>
      <c r="AC75" s="417"/>
      <c r="AD75" s="417"/>
      <c r="AE75" s="417"/>
    </row>
    <row r="76" spans="6:31" ht="16.5" customHeight="1">
      <c r="F76" s="417"/>
      <c r="G76" s="417"/>
      <c r="H76" s="417"/>
      <c r="I76" s="417"/>
      <c r="J76" s="417"/>
      <c r="K76" s="417"/>
      <c r="L76" s="417"/>
      <c r="M76" s="417"/>
      <c r="N76" s="417"/>
      <c r="O76" s="417"/>
      <c r="P76" s="417"/>
      <c r="Q76" s="417"/>
      <c r="R76" s="417"/>
      <c r="S76" s="417"/>
      <c r="T76" s="417"/>
      <c r="U76" s="417"/>
      <c r="V76" s="417"/>
      <c r="W76" s="417"/>
      <c r="X76" s="417"/>
      <c r="Y76" s="417"/>
      <c r="Z76" s="417"/>
      <c r="AA76" s="417"/>
      <c r="AB76" s="417"/>
      <c r="AC76" s="417"/>
      <c r="AD76" s="417"/>
      <c r="AE76" s="417"/>
    </row>
    <row r="77" spans="6:31" ht="16.5" customHeight="1">
      <c r="F77" s="417"/>
      <c r="G77" s="417"/>
      <c r="H77" s="417"/>
      <c r="I77" s="417"/>
      <c r="J77" s="417"/>
      <c r="K77" s="417"/>
      <c r="L77" s="417"/>
      <c r="M77" s="417"/>
      <c r="N77" s="417"/>
      <c r="O77" s="417"/>
      <c r="P77" s="417"/>
      <c r="Q77" s="417"/>
      <c r="R77" s="417"/>
      <c r="S77" s="417"/>
      <c r="T77" s="417"/>
      <c r="U77" s="417"/>
      <c r="V77" s="417"/>
      <c r="W77" s="417"/>
      <c r="X77" s="417"/>
      <c r="Y77" s="417"/>
      <c r="Z77" s="417"/>
      <c r="AA77" s="417"/>
      <c r="AB77" s="417"/>
      <c r="AC77" s="417"/>
      <c r="AD77" s="417"/>
      <c r="AE77" s="417"/>
    </row>
    <row r="78" spans="6:31" ht="16.5" customHeight="1">
      <c r="F78" s="417"/>
      <c r="G78" s="417"/>
      <c r="H78" s="417"/>
      <c r="I78" s="417"/>
      <c r="J78" s="417"/>
      <c r="K78" s="417"/>
      <c r="L78" s="417"/>
      <c r="M78" s="417"/>
      <c r="N78" s="417"/>
      <c r="O78" s="417"/>
      <c r="P78" s="417"/>
      <c r="Q78" s="417"/>
      <c r="R78" s="417"/>
      <c r="S78" s="417"/>
      <c r="T78" s="417"/>
      <c r="U78" s="417"/>
      <c r="V78" s="417"/>
      <c r="W78" s="417"/>
      <c r="X78" s="417"/>
      <c r="Y78" s="417"/>
      <c r="Z78" s="417"/>
      <c r="AA78" s="417"/>
      <c r="AB78" s="417"/>
      <c r="AC78" s="417"/>
      <c r="AD78" s="417"/>
      <c r="AE78" s="417"/>
    </row>
    <row r="79" spans="6:31" ht="16.5" customHeight="1">
      <c r="F79" s="417"/>
      <c r="G79" s="417"/>
      <c r="H79" s="417"/>
      <c r="I79" s="417"/>
      <c r="J79" s="417"/>
      <c r="K79" s="417"/>
      <c r="L79" s="417"/>
      <c r="M79" s="417"/>
      <c r="N79" s="417"/>
      <c r="O79" s="417"/>
      <c r="P79" s="417"/>
      <c r="Q79" s="417"/>
      <c r="R79" s="417"/>
      <c r="S79" s="417"/>
      <c r="T79" s="417"/>
      <c r="U79" s="417"/>
      <c r="V79" s="417"/>
      <c r="W79" s="417"/>
      <c r="X79" s="417"/>
      <c r="Y79" s="417"/>
      <c r="Z79" s="417"/>
      <c r="AA79" s="417"/>
      <c r="AB79" s="417"/>
      <c r="AC79" s="417"/>
      <c r="AD79" s="417"/>
      <c r="AE79" s="417"/>
    </row>
    <row r="80" spans="6:31" ht="16.5" customHeight="1">
      <c r="F80" s="417"/>
      <c r="G80" s="417"/>
      <c r="H80" s="417"/>
      <c r="I80" s="417"/>
      <c r="J80" s="417"/>
      <c r="K80" s="417"/>
      <c r="L80" s="417"/>
      <c r="M80" s="417"/>
      <c r="N80" s="417"/>
      <c r="O80" s="417"/>
      <c r="P80" s="417"/>
      <c r="Q80" s="417"/>
      <c r="R80" s="417"/>
      <c r="S80" s="417"/>
      <c r="T80" s="417"/>
      <c r="U80" s="417"/>
      <c r="V80" s="417"/>
      <c r="W80" s="417"/>
      <c r="X80" s="417"/>
      <c r="Y80" s="417"/>
      <c r="Z80" s="417"/>
      <c r="AA80" s="417"/>
      <c r="AB80" s="417"/>
      <c r="AC80" s="417"/>
      <c r="AD80" s="417"/>
      <c r="AE80" s="417"/>
    </row>
    <row r="81" spans="6:31" ht="16.5" customHeight="1">
      <c r="F81" s="417"/>
      <c r="G81" s="417"/>
      <c r="H81" s="417"/>
      <c r="I81" s="417"/>
      <c r="J81" s="417"/>
      <c r="K81" s="417"/>
      <c r="L81" s="417"/>
      <c r="M81" s="417"/>
      <c r="N81" s="417"/>
      <c r="O81" s="417"/>
      <c r="P81" s="417"/>
      <c r="Q81" s="417"/>
      <c r="R81" s="417"/>
      <c r="S81" s="417"/>
      <c r="T81" s="417"/>
      <c r="U81" s="417"/>
      <c r="V81" s="417"/>
      <c r="W81" s="417"/>
      <c r="X81" s="417"/>
      <c r="Y81" s="417"/>
      <c r="Z81" s="417"/>
      <c r="AA81" s="417"/>
      <c r="AB81" s="417"/>
      <c r="AC81" s="417"/>
      <c r="AD81" s="417"/>
      <c r="AE81" s="417"/>
    </row>
    <row r="82" spans="6:31" ht="16.5" customHeight="1">
      <c r="F82" s="417"/>
      <c r="G82" s="417"/>
      <c r="H82" s="417"/>
      <c r="I82" s="417"/>
      <c r="J82" s="417"/>
      <c r="K82" s="417"/>
      <c r="L82" s="417"/>
      <c r="M82" s="417"/>
      <c r="N82" s="417"/>
      <c r="O82" s="417"/>
      <c r="P82" s="417"/>
      <c r="Q82" s="417"/>
      <c r="R82" s="417"/>
      <c r="S82" s="417"/>
      <c r="T82" s="417"/>
      <c r="U82" s="417"/>
      <c r="V82" s="417"/>
      <c r="W82" s="417"/>
      <c r="X82" s="417"/>
      <c r="Y82" s="417"/>
      <c r="Z82" s="417"/>
      <c r="AA82" s="417"/>
      <c r="AB82" s="417"/>
      <c r="AC82" s="417"/>
      <c r="AD82" s="417"/>
      <c r="AE82" s="417"/>
    </row>
    <row r="83" spans="6:31" ht="16.5" customHeight="1">
      <c r="F83" s="417"/>
      <c r="G83" s="417"/>
      <c r="H83" s="417"/>
      <c r="I83" s="417"/>
      <c r="J83" s="417"/>
      <c r="K83" s="417"/>
      <c r="L83" s="417"/>
      <c r="M83" s="417"/>
      <c r="N83" s="417"/>
      <c r="O83" s="417"/>
      <c r="P83" s="417"/>
      <c r="Q83" s="417"/>
      <c r="R83" s="417"/>
      <c r="S83" s="417"/>
      <c r="T83" s="417"/>
      <c r="U83" s="417"/>
      <c r="V83" s="417"/>
      <c r="W83" s="417"/>
      <c r="X83" s="417"/>
      <c r="Y83" s="417"/>
      <c r="Z83" s="417"/>
      <c r="AA83" s="417"/>
      <c r="AB83" s="417"/>
      <c r="AC83" s="417"/>
      <c r="AD83" s="417"/>
      <c r="AE83" s="417"/>
    </row>
    <row r="84" spans="6:31" ht="16.5" customHeight="1">
      <c r="F84" s="417"/>
      <c r="G84" s="417"/>
      <c r="H84" s="417"/>
      <c r="I84" s="417"/>
      <c r="J84" s="417"/>
      <c r="K84" s="417"/>
      <c r="L84" s="417"/>
      <c r="M84" s="417"/>
      <c r="N84" s="417"/>
      <c r="O84" s="417"/>
      <c r="P84" s="417"/>
      <c r="Q84" s="417"/>
      <c r="R84" s="417"/>
      <c r="S84" s="417"/>
      <c r="T84" s="417"/>
      <c r="U84" s="417"/>
      <c r="V84" s="417"/>
      <c r="W84" s="417"/>
      <c r="X84" s="417"/>
      <c r="Y84" s="417"/>
      <c r="Z84" s="417"/>
      <c r="AA84" s="417"/>
      <c r="AB84" s="417"/>
      <c r="AC84" s="417"/>
      <c r="AD84" s="417"/>
      <c r="AE84" s="417"/>
    </row>
    <row r="85" spans="6:31" ht="16.5" customHeight="1">
      <c r="F85" s="417"/>
      <c r="G85" s="417"/>
      <c r="H85" s="417"/>
      <c r="I85" s="417"/>
      <c r="J85" s="417"/>
      <c r="K85" s="417"/>
      <c r="L85" s="417"/>
      <c r="M85" s="417"/>
      <c r="N85" s="417"/>
      <c r="O85" s="417"/>
      <c r="P85" s="417"/>
      <c r="Q85" s="417"/>
      <c r="R85" s="417"/>
      <c r="S85" s="417"/>
      <c r="T85" s="417"/>
      <c r="U85" s="417"/>
      <c r="V85" s="417"/>
      <c r="W85" s="417"/>
      <c r="X85" s="417"/>
      <c r="Y85" s="417"/>
      <c r="Z85" s="417"/>
      <c r="AA85" s="417"/>
      <c r="AB85" s="417"/>
      <c r="AC85" s="417"/>
      <c r="AD85" s="417"/>
      <c r="AE85" s="417"/>
    </row>
    <row r="86" spans="6:31" ht="16.5" customHeight="1">
      <c r="F86" s="417"/>
      <c r="G86" s="417"/>
      <c r="H86" s="417"/>
      <c r="I86" s="417"/>
      <c r="J86" s="417"/>
      <c r="K86" s="417"/>
      <c r="L86" s="417"/>
      <c r="M86" s="417"/>
      <c r="N86" s="417"/>
      <c r="O86" s="417"/>
      <c r="P86" s="417"/>
      <c r="Q86" s="417"/>
      <c r="R86" s="417"/>
      <c r="S86" s="417"/>
      <c r="T86" s="417"/>
      <c r="U86" s="417"/>
      <c r="V86" s="417"/>
      <c r="W86" s="417"/>
      <c r="X86" s="417"/>
      <c r="Y86" s="417"/>
      <c r="Z86" s="417"/>
      <c r="AA86" s="417"/>
      <c r="AB86" s="417"/>
      <c r="AC86" s="417"/>
      <c r="AD86" s="417"/>
      <c r="AE86" s="417"/>
    </row>
    <row r="87" spans="6:31" ht="16.5" customHeight="1">
      <c r="F87" s="417"/>
      <c r="G87" s="417"/>
      <c r="H87" s="417"/>
      <c r="I87" s="417"/>
      <c r="J87" s="417"/>
      <c r="K87" s="417"/>
      <c r="L87" s="417"/>
      <c r="M87" s="417"/>
      <c r="N87" s="417"/>
      <c r="O87" s="417"/>
      <c r="P87" s="417"/>
      <c r="Q87" s="417"/>
      <c r="R87" s="417"/>
      <c r="S87" s="417"/>
      <c r="T87" s="417"/>
      <c r="U87" s="417"/>
      <c r="V87" s="417"/>
      <c r="W87" s="417"/>
      <c r="X87" s="417"/>
      <c r="Y87" s="417"/>
      <c r="Z87" s="417"/>
      <c r="AA87" s="417"/>
      <c r="AB87" s="417"/>
      <c r="AC87" s="417"/>
      <c r="AD87" s="417"/>
      <c r="AE87" s="417"/>
    </row>
    <row r="88" spans="6:31" ht="16.5" customHeight="1">
      <c r="F88" s="417"/>
      <c r="G88" s="417"/>
      <c r="H88" s="417"/>
      <c r="I88" s="417"/>
      <c r="J88" s="417"/>
      <c r="K88" s="417"/>
      <c r="L88" s="417"/>
      <c r="M88" s="417"/>
      <c r="N88" s="417"/>
      <c r="O88" s="417"/>
      <c r="P88" s="417"/>
      <c r="Q88" s="417"/>
      <c r="R88" s="417"/>
      <c r="S88" s="417"/>
      <c r="T88" s="417"/>
      <c r="U88" s="417"/>
      <c r="V88" s="417"/>
      <c r="W88" s="417"/>
      <c r="X88" s="417"/>
      <c r="Y88" s="417"/>
      <c r="Z88" s="417"/>
      <c r="AA88" s="417"/>
      <c r="AB88" s="417"/>
      <c r="AC88" s="417"/>
      <c r="AD88" s="417"/>
      <c r="AE88" s="417"/>
    </row>
    <row r="89" spans="6:31" ht="16.5" customHeight="1">
      <c r="F89" s="417"/>
      <c r="G89" s="417"/>
      <c r="H89" s="417"/>
      <c r="I89" s="417"/>
      <c r="J89" s="417"/>
      <c r="K89" s="417"/>
      <c r="L89" s="417"/>
      <c r="M89" s="417"/>
      <c r="N89" s="417"/>
      <c r="O89" s="417"/>
      <c r="P89" s="417"/>
      <c r="Q89" s="417"/>
      <c r="R89" s="417"/>
      <c r="S89" s="417"/>
      <c r="T89" s="417"/>
      <c r="U89" s="417"/>
      <c r="V89" s="417"/>
      <c r="W89" s="417"/>
      <c r="X89" s="417"/>
      <c r="Y89" s="417"/>
      <c r="Z89" s="417"/>
      <c r="AA89" s="417"/>
      <c r="AB89" s="417"/>
      <c r="AC89" s="417"/>
      <c r="AD89" s="417"/>
      <c r="AE89" s="417"/>
    </row>
    <row r="90" spans="6:31" ht="16.5" customHeight="1">
      <c r="F90" s="417"/>
      <c r="G90" s="417"/>
      <c r="H90" s="417"/>
      <c r="I90" s="417"/>
      <c r="J90" s="417"/>
      <c r="K90" s="417"/>
      <c r="L90" s="417"/>
      <c r="M90" s="417"/>
      <c r="N90" s="417"/>
      <c r="O90" s="417"/>
      <c r="P90" s="417"/>
      <c r="Q90" s="417"/>
      <c r="R90" s="417"/>
      <c r="S90" s="417"/>
      <c r="T90" s="417"/>
      <c r="U90" s="417"/>
      <c r="V90" s="417"/>
      <c r="W90" s="417"/>
      <c r="X90" s="417"/>
      <c r="Y90" s="417"/>
      <c r="Z90" s="417"/>
      <c r="AA90" s="417"/>
      <c r="AB90" s="417"/>
      <c r="AC90" s="417"/>
      <c r="AD90" s="417"/>
      <c r="AE90" s="417"/>
    </row>
    <row r="91" spans="6:31" ht="16.5" customHeight="1">
      <c r="F91" s="417"/>
      <c r="G91" s="417"/>
      <c r="H91" s="417"/>
      <c r="I91" s="417"/>
      <c r="J91" s="417"/>
      <c r="K91" s="417"/>
      <c r="L91" s="417"/>
      <c r="M91" s="417"/>
      <c r="N91" s="417"/>
      <c r="O91" s="417"/>
      <c r="P91" s="417"/>
      <c r="Q91" s="417"/>
      <c r="R91" s="417"/>
      <c r="S91" s="417"/>
      <c r="T91" s="417"/>
      <c r="U91" s="417"/>
      <c r="V91" s="417"/>
      <c r="W91" s="417"/>
      <c r="X91" s="417"/>
      <c r="Y91" s="417"/>
      <c r="Z91" s="417"/>
      <c r="AA91" s="417"/>
      <c r="AB91" s="417"/>
      <c r="AC91" s="417"/>
      <c r="AD91" s="417"/>
      <c r="AE91" s="417"/>
    </row>
    <row r="92" spans="6:31" ht="16.5" customHeight="1">
      <c r="F92" s="417"/>
      <c r="G92" s="417"/>
      <c r="H92" s="417"/>
      <c r="I92" s="417"/>
      <c r="J92" s="417"/>
      <c r="K92" s="417"/>
      <c r="L92" s="417"/>
      <c r="M92" s="417"/>
      <c r="N92" s="417"/>
      <c r="O92" s="417"/>
      <c r="P92" s="417"/>
      <c r="Q92" s="417"/>
      <c r="R92" s="417"/>
      <c r="S92" s="417"/>
      <c r="T92" s="417"/>
      <c r="U92" s="417"/>
      <c r="V92" s="417"/>
      <c r="W92" s="417"/>
      <c r="X92" s="417"/>
      <c r="Y92" s="417"/>
      <c r="Z92" s="417"/>
      <c r="AA92" s="417"/>
      <c r="AB92" s="417"/>
      <c r="AC92" s="417"/>
      <c r="AD92" s="417"/>
      <c r="AE92" s="417"/>
    </row>
    <row r="93" spans="6:31" ht="16.5" customHeight="1">
      <c r="F93" s="417"/>
      <c r="G93" s="417"/>
      <c r="H93" s="417"/>
      <c r="I93" s="417"/>
      <c r="J93" s="417"/>
      <c r="K93" s="417"/>
      <c r="L93" s="417"/>
      <c r="M93" s="417"/>
      <c r="N93" s="417"/>
      <c r="O93" s="417"/>
      <c r="P93" s="417"/>
      <c r="Q93" s="417"/>
      <c r="R93" s="417"/>
      <c r="S93" s="417"/>
      <c r="T93" s="417"/>
      <c r="U93" s="417"/>
      <c r="V93" s="417"/>
      <c r="W93" s="417"/>
      <c r="X93" s="417"/>
      <c r="Y93" s="417"/>
      <c r="Z93" s="417"/>
      <c r="AA93" s="417"/>
      <c r="AB93" s="417"/>
      <c r="AC93" s="417"/>
      <c r="AD93" s="417"/>
      <c r="AE93" s="417"/>
    </row>
    <row r="94" spans="6:31" ht="16.5" customHeight="1">
      <c r="F94" s="417"/>
      <c r="G94" s="417"/>
      <c r="H94" s="417"/>
      <c r="I94" s="417"/>
      <c r="J94" s="417"/>
      <c r="K94" s="417"/>
      <c r="L94" s="417"/>
      <c r="M94" s="417"/>
      <c r="N94" s="417"/>
      <c r="O94" s="417"/>
      <c r="P94" s="417"/>
      <c r="Q94" s="417"/>
      <c r="R94" s="417"/>
      <c r="S94" s="417"/>
      <c r="T94" s="417"/>
      <c r="U94" s="417"/>
      <c r="V94" s="417"/>
      <c r="W94" s="417"/>
      <c r="X94" s="417"/>
      <c r="Y94" s="417"/>
      <c r="Z94" s="417"/>
      <c r="AA94" s="417"/>
      <c r="AB94" s="417"/>
      <c r="AC94" s="417"/>
      <c r="AD94" s="417"/>
      <c r="AE94" s="417"/>
    </row>
    <row r="95" spans="6:31" ht="16.5" customHeight="1">
      <c r="F95" s="417"/>
      <c r="G95" s="417"/>
      <c r="H95" s="417"/>
      <c r="I95" s="417"/>
      <c r="J95" s="417"/>
      <c r="K95" s="417"/>
      <c r="L95" s="417"/>
      <c r="M95" s="417"/>
      <c r="N95" s="417"/>
      <c r="O95" s="417"/>
      <c r="P95" s="417"/>
      <c r="Q95" s="417"/>
      <c r="R95" s="417"/>
      <c r="S95" s="417"/>
      <c r="T95" s="417"/>
      <c r="U95" s="417"/>
      <c r="V95" s="417"/>
      <c r="W95" s="417"/>
      <c r="X95" s="417"/>
      <c r="Y95" s="417"/>
      <c r="Z95" s="417"/>
      <c r="AA95" s="417"/>
      <c r="AB95" s="417"/>
      <c r="AC95" s="417"/>
      <c r="AD95" s="417"/>
      <c r="AE95" s="417"/>
    </row>
    <row r="96" spans="6:31" ht="16.5" customHeight="1">
      <c r="F96" s="417"/>
      <c r="G96" s="417"/>
      <c r="H96" s="417"/>
      <c r="I96" s="417"/>
      <c r="J96" s="417"/>
      <c r="K96" s="417"/>
      <c r="L96" s="417"/>
      <c r="M96" s="417"/>
      <c r="N96" s="417"/>
      <c r="O96" s="417"/>
      <c r="P96" s="417"/>
      <c r="Q96" s="417"/>
      <c r="R96" s="417"/>
      <c r="S96" s="417"/>
      <c r="T96" s="417"/>
      <c r="U96" s="417"/>
      <c r="V96" s="417"/>
      <c r="W96" s="417"/>
      <c r="X96" s="417"/>
      <c r="Y96" s="417"/>
      <c r="Z96" s="417"/>
      <c r="AA96" s="417"/>
      <c r="AB96" s="417"/>
      <c r="AC96" s="417"/>
      <c r="AD96" s="417"/>
      <c r="AE96" s="417"/>
    </row>
    <row r="97" spans="6:31" ht="16.5" customHeight="1">
      <c r="F97" s="417"/>
      <c r="G97" s="417"/>
      <c r="H97" s="417"/>
      <c r="I97" s="417"/>
      <c r="J97" s="417"/>
      <c r="K97" s="417"/>
      <c r="L97" s="417"/>
      <c r="M97" s="417"/>
      <c r="N97" s="417"/>
      <c r="O97" s="417"/>
      <c r="P97" s="417"/>
      <c r="Q97" s="417"/>
      <c r="R97" s="417"/>
      <c r="S97" s="417"/>
      <c r="T97" s="417"/>
      <c r="U97" s="417"/>
      <c r="V97" s="417"/>
      <c r="W97" s="417"/>
      <c r="X97" s="417"/>
      <c r="Y97" s="417"/>
      <c r="Z97" s="417"/>
      <c r="AA97" s="417"/>
      <c r="AB97" s="417"/>
      <c r="AC97" s="417"/>
      <c r="AD97" s="417"/>
      <c r="AE97" s="417"/>
    </row>
    <row r="98" spans="6:31" ht="16.5" customHeight="1">
      <c r="F98" s="417"/>
      <c r="G98" s="417"/>
      <c r="H98" s="417"/>
      <c r="I98" s="417"/>
      <c r="J98" s="417"/>
      <c r="K98" s="417"/>
      <c r="L98" s="417"/>
      <c r="M98" s="417"/>
      <c r="N98" s="417"/>
      <c r="O98" s="417"/>
      <c r="P98" s="417"/>
      <c r="Q98" s="417"/>
      <c r="R98" s="417"/>
      <c r="S98" s="417"/>
      <c r="T98" s="417"/>
      <c r="U98" s="417"/>
      <c r="V98" s="417"/>
      <c r="W98" s="417"/>
      <c r="X98" s="417"/>
      <c r="Y98" s="417"/>
      <c r="Z98" s="417"/>
      <c r="AA98" s="417"/>
      <c r="AB98" s="417"/>
      <c r="AC98" s="417"/>
      <c r="AD98" s="417"/>
      <c r="AE98" s="417"/>
    </row>
    <row r="99" spans="6:31" ht="16.5" customHeight="1">
      <c r="F99" s="417"/>
      <c r="G99" s="417"/>
      <c r="H99" s="417"/>
      <c r="I99" s="417"/>
      <c r="J99" s="417"/>
      <c r="K99" s="417"/>
      <c r="L99" s="417"/>
      <c r="M99" s="417"/>
      <c r="N99" s="417"/>
      <c r="O99" s="417"/>
      <c r="P99" s="417"/>
      <c r="Q99" s="417"/>
      <c r="R99" s="417"/>
      <c r="S99" s="417"/>
      <c r="T99" s="417"/>
      <c r="U99" s="417"/>
      <c r="V99" s="417"/>
      <c r="W99" s="417"/>
      <c r="X99" s="417"/>
      <c r="Y99" s="417"/>
      <c r="Z99" s="417"/>
      <c r="AA99" s="417"/>
      <c r="AB99" s="417"/>
      <c r="AC99" s="417"/>
      <c r="AD99" s="417"/>
      <c r="AE99" s="417"/>
    </row>
    <row r="100" spans="6:31" ht="16.5" customHeight="1">
      <c r="F100" s="417"/>
      <c r="G100" s="417"/>
      <c r="H100" s="417"/>
      <c r="I100" s="417"/>
      <c r="J100" s="417"/>
      <c r="K100" s="417"/>
      <c r="L100" s="417"/>
      <c r="M100" s="417"/>
      <c r="N100" s="417"/>
      <c r="O100" s="417"/>
      <c r="P100" s="417"/>
      <c r="Q100" s="417"/>
      <c r="R100" s="417"/>
      <c r="S100" s="417"/>
      <c r="T100" s="417"/>
      <c r="U100" s="417"/>
      <c r="V100" s="417"/>
      <c r="W100" s="417"/>
      <c r="X100" s="417"/>
      <c r="Y100" s="417"/>
      <c r="Z100" s="417"/>
      <c r="AA100" s="417"/>
      <c r="AB100" s="417"/>
      <c r="AC100" s="417"/>
      <c r="AD100" s="417"/>
      <c r="AE100" s="417"/>
    </row>
    <row r="101" spans="6:31" ht="16.5" customHeight="1">
      <c r="F101" s="417"/>
      <c r="G101" s="417"/>
      <c r="H101" s="417"/>
      <c r="I101" s="417"/>
      <c r="J101" s="417"/>
      <c r="K101" s="417"/>
      <c r="L101" s="417"/>
      <c r="M101" s="417"/>
      <c r="N101" s="417"/>
      <c r="O101" s="417"/>
      <c r="P101" s="417"/>
      <c r="Q101" s="417"/>
      <c r="R101" s="417"/>
      <c r="S101" s="417"/>
      <c r="T101" s="417"/>
      <c r="U101" s="417"/>
      <c r="V101" s="417"/>
      <c r="W101" s="417"/>
      <c r="X101" s="417"/>
      <c r="Y101" s="417"/>
      <c r="Z101" s="417"/>
      <c r="AA101" s="417"/>
      <c r="AB101" s="417"/>
      <c r="AC101" s="417"/>
      <c r="AD101" s="417"/>
      <c r="AE101" s="417"/>
    </row>
    <row r="102" spans="6:31" ht="16.5" customHeight="1">
      <c r="F102" s="417"/>
      <c r="G102" s="417"/>
      <c r="H102" s="417"/>
      <c r="I102" s="417"/>
      <c r="J102" s="417"/>
      <c r="K102" s="417"/>
      <c r="L102" s="417"/>
      <c r="M102" s="417"/>
      <c r="N102" s="417"/>
      <c r="O102" s="417"/>
      <c r="P102" s="417"/>
      <c r="Q102" s="417"/>
      <c r="R102" s="417"/>
      <c r="S102" s="417"/>
      <c r="T102" s="417"/>
      <c r="U102" s="417"/>
      <c r="V102" s="417"/>
      <c r="W102" s="417"/>
      <c r="X102" s="417"/>
      <c r="Y102" s="417"/>
      <c r="Z102" s="417"/>
      <c r="AA102" s="417"/>
      <c r="AB102" s="417"/>
      <c r="AC102" s="417"/>
      <c r="AD102" s="417"/>
      <c r="AE102" s="417"/>
    </row>
    <row r="103" spans="6:31" ht="16.5" customHeight="1">
      <c r="F103" s="417"/>
      <c r="G103" s="417"/>
      <c r="H103" s="417"/>
      <c r="I103" s="417"/>
      <c r="J103" s="417"/>
      <c r="K103" s="417"/>
      <c r="L103" s="417"/>
      <c r="M103" s="417"/>
      <c r="N103" s="417"/>
      <c r="O103" s="417"/>
      <c r="P103" s="417"/>
      <c r="Q103" s="417"/>
      <c r="R103" s="417"/>
      <c r="S103" s="417"/>
      <c r="T103" s="417"/>
      <c r="U103" s="417"/>
      <c r="V103" s="417"/>
      <c r="W103" s="417"/>
      <c r="X103" s="417"/>
      <c r="Y103" s="417"/>
      <c r="Z103" s="417"/>
      <c r="AA103" s="417"/>
      <c r="AB103" s="417"/>
      <c r="AC103" s="417"/>
      <c r="AD103" s="417"/>
      <c r="AE103" s="417"/>
    </row>
    <row r="104" spans="6:31" ht="16.5" customHeight="1">
      <c r="F104" s="417"/>
      <c r="G104" s="417"/>
      <c r="H104" s="417"/>
      <c r="I104" s="417"/>
      <c r="J104" s="417"/>
      <c r="K104" s="417"/>
      <c r="L104" s="417"/>
      <c r="M104" s="417"/>
      <c r="N104" s="417"/>
      <c r="O104" s="417"/>
      <c r="P104" s="417"/>
      <c r="Q104" s="417"/>
      <c r="R104" s="417"/>
      <c r="S104" s="417"/>
      <c r="T104" s="417"/>
      <c r="U104" s="417"/>
      <c r="V104" s="417"/>
      <c r="W104" s="417"/>
      <c r="X104" s="417"/>
      <c r="Y104" s="417"/>
      <c r="Z104" s="417"/>
      <c r="AA104" s="417"/>
      <c r="AB104" s="417"/>
      <c r="AC104" s="417"/>
      <c r="AD104" s="417"/>
      <c r="AE104" s="417"/>
    </row>
    <row r="105" spans="6:31" ht="16.5" customHeight="1">
      <c r="F105" s="417"/>
      <c r="G105" s="417"/>
      <c r="H105" s="417"/>
      <c r="I105" s="417"/>
      <c r="J105" s="417"/>
      <c r="K105" s="417"/>
      <c r="L105" s="417"/>
      <c r="M105" s="417"/>
      <c r="N105" s="417"/>
      <c r="O105" s="417"/>
      <c r="P105" s="417"/>
      <c r="Q105" s="417"/>
      <c r="R105" s="417"/>
      <c r="S105" s="417"/>
      <c r="T105" s="417"/>
      <c r="U105" s="417"/>
      <c r="V105" s="417"/>
      <c r="W105" s="417"/>
      <c r="X105" s="417"/>
      <c r="Y105" s="417"/>
      <c r="Z105" s="417"/>
      <c r="AA105" s="417"/>
      <c r="AB105" s="417"/>
      <c r="AC105" s="417"/>
      <c r="AD105" s="417"/>
      <c r="AE105" s="417"/>
    </row>
    <row r="106" spans="6:31" ht="16.5" customHeight="1">
      <c r="F106" s="417"/>
      <c r="G106" s="417"/>
      <c r="H106" s="417"/>
      <c r="I106" s="417"/>
      <c r="J106" s="417"/>
      <c r="K106" s="417"/>
      <c r="L106" s="417"/>
      <c r="M106" s="417"/>
      <c r="N106" s="417"/>
      <c r="O106" s="417"/>
      <c r="P106" s="417"/>
      <c r="Q106" s="417"/>
      <c r="R106" s="417"/>
      <c r="S106" s="417"/>
      <c r="T106" s="417"/>
      <c r="U106" s="417"/>
      <c r="V106" s="417"/>
      <c r="W106" s="417"/>
      <c r="X106" s="417"/>
      <c r="Y106" s="417"/>
      <c r="Z106" s="417"/>
      <c r="AA106" s="417"/>
      <c r="AB106" s="417"/>
      <c r="AC106" s="417"/>
      <c r="AD106" s="417"/>
      <c r="AE106" s="417"/>
    </row>
    <row r="107" spans="6:31" ht="16.5" customHeight="1">
      <c r="F107" s="417"/>
      <c r="G107" s="417"/>
      <c r="H107" s="417"/>
      <c r="I107" s="417"/>
      <c r="J107" s="417"/>
      <c r="K107" s="417"/>
      <c r="L107" s="417"/>
      <c r="M107" s="417"/>
      <c r="N107" s="417"/>
      <c r="O107" s="417"/>
      <c r="P107" s="417"/>
      <c r="Q107" s="417"/>
      <c r="R107" s="417"/>
      <c r="S107" s="417"/>
      <c r="T107" s="417"/>
      <c r="U107" s="417"/>
      <c r="V107" s="417"/>
      <c r="W107" s="417"/>
      <c r="X107" s="417"/>
      <c r="Y107" s="417"/>
      <c r="Z107" s="417"/>
      <c r="AA107" s="417"/>
      <c r="AB107" s="417"/>
      <c r="AC107" s="417"/>
      <c r="AD107" s="417"/>
      <c r="AE107" s="417"/>
    </row>
    <row r="108" spans="6:31" ht="16.5" customHeight="1">
      <c r="F108" s="417"/>
      <c r="G108" s="417"/>
      <c r="H108" s="417"/>
      <c r="I108" s="417"/>
      <c r="J108" s="417"/>
      <c r="K108" s="417"/>
      <c r="L108" s="417"/>
      <c r="M108" s="417"/>
      <c r="N108" s="417"/>
      <c r="O108" s="417"/>
      <c r="P108" s="417"/>
      <c r="Q108" s="417"/>
      <c r="R108" s="417"/>
      <c r="S108" s="417"/>
      <c r="T108" s="417"/>
      <c r="U108" s="417"/>
      <c r="V108" s="417"/>
      <c r="W108" s="417"/>
      <c r="X108" s="417"/>
      <c r="Y108" s="417"/>
      <c r="Z108" s="417"/>
      <c r="AA108" s="417"/>
      <c r="AB108" s="417"/>
      <c r="AC108" s="417"/>
      <c r="AD108" s="417"/>
      <c r="AE108" s="417"/>
    </row>
    <row r="109" spans="6:31" ht="16.5" customHeight="1">
      <c r="F109" s="417"/>
      <c r="G109" s="417"/>
      <c r="H109" s="417"/>
      <c r="I109" s="417"/>
      <c r="J109" s="417"/>
      <c r="K109" s="417"/>
      <c r="L109" s="417"/>
      <c r="M109" s="417"/>
      <c r="N109" s="417"/>
      <c r="O109" s="417"/>
      <c r="P109" s="417"/>
      <c r="Q109" s="417"/>
      <c r="R109" s="417"/>
      <c r="S109" s="417"/>
      <c r="T109" s="417"/>
      <c r="U109" s="417"/>
      <c r="V109" s="417"/>
      <c r="W109" s="417"/>
      <c r="X109" s="417"/>
      <c r="Y109" s="417"/>
      <c r="Z109" s="417"/>
      <c r="AA109" s="417"/>
      <c r="AB109" s="417"/>
      <c r="AC109" s="417"/>
      <c r="AD109" s="417"/>
      <c r="AE109" s="417"/>
    </row>
    <row r="110" spans="6:31" ht="16.5" customHeight="1">
      <c r="F110" s="417"/>
      <c r="G110" s="417"/>
      <c r="H110" s="417"/>
      <c r="I110" s="417"/>
      <c r="J110" s="417"/>
      <c r="K110" s="417"/>
      <c r="L110" s="417"/>
      <c r="M110" s="417"/>
      <c r="N110" s="417"/>
      <c r="O110" s="417"/>
      <c r="P110" s="417"/>
      <c r="Q110" s="417"/>
      <c r="R110" s="417"/>
      <c r="S110" s="417"/>
      <c r="T110" s="417"/>
      <c r="U110" s="417"/>
      <c r="V110" s="417"/>
      <c r="W110" s="417"/>
      <c r="X110" s="417"/>
      <c r="Y110" s="417"/>
      <c r="Z110" s="417"/>
      <c r="AA110" s="417"/>
      <c r="AB110" s="417"/>
      <c r="AC110" s="417"/>
      <c r="AD110" s="417"/>
      <c r="AE110" s="417"/>
    </row>
    <row r="111" spans="6:31" ht="16.5" customHeight="1">
      <c r="F111" s="417"/>
      <c r="G111" s="417"/>
      <c r="H111" s="417"/>
      <c r="I111" s="417"/>
      <c r="J111" s="417"/>
      <c r="K111" s="417"/>
      <c r="L111" s="417"/>
      <c r="M111" s="417"/>
      <c r="N111" s="417"/>
      <c r="O111" s="417"/>
      <c r="P111" s="417"/>
      <c r="Q111" s="417"/>
      <c r="R111" s="417"/>
      <c r="S111" s="417"/>
      <c r="T111" s="417"/>
      <c r="U111" s="417"/>
      <c r="V111" s="417"/>
      <c r="W111" s="417"/>
      <c r="X111" s="417"/>
      <c r="Y111" s="417"/>
      <c r="Z111" s="417"/>
      <c r="AA111" s="417"/>
      <c r="AB111" s="417"/>
      <c r="AC111" s="417"/>
      <c r="AD111" s="417"/>
      <c r="AE111" s="417"/>
    </row>
    <row r="112" spans="6:31" ht="16.5" customHeight="1">
      <c r="F112" s="417"/>
      <c r="G112" s="417"/>
      <c r="H112" s="417"/>
      <c r="I112" s="417"/>
      <c r="J112" s="417"/>
      <c r="K112" s="417"/>
      <c r="L112" s="417"/>
      <c r="M112" s="417"/>
      <c r="N112" s="417"/>
      <c r="O112" s="417"/>
      <c r="P112" s="417"/>
      <c r="Q112" s="417"/>
      <c r="R112" s="417"/>
      <c r="S112" s="417"/>
      <c r="T112" s="417"/>
      <c r="U112" s="417"/>
      <c r="V112" s="417"/>
      <c r="W112" s="417"/>
      <c r="X112" s="417"/>
      <c r="Y112" s="417"/>
      <c r="Z112" s="417"/>
      <c r="AA112" s="417"/>
      <c r="AB112" s="417"/>
      <c r="AC112" s="417"/>
      <c r="AD112" s="417"/>
      <c r="AE112" s="417"/>
    </row>
    <row r="113" spans="6:31" ht="16.5" customHeight="1">
      <c r="F113" s="417"/>
      <c r="G113" s="417"/>
      <c r="H113" s="417"/>
      <c r="I113" s="417"/>
      <c r="J113" s="417"/>
      <c r="K113" s="417"/>
      <c r="L113" s="417"/>
      <c r="M113" s="417"/>
      <c r="N113" s="417"/>
      <c r="O113" s="417"/>
      <c r="P113" s="417"/>
      <c r="Q113" s="417"/>
      <c r="R113" s="417"/>
      <c r="S113" s="417"/>
      <c r="T113" s="417"/>
      <c r="U113" s="417"/>
      <c r="V113" s="417"/>
      <c r="W113" s="417"/>
      <c r="X113" s="417"/>
      <c r="Y113" s="417"/>
      <c r="Z113" s="417"/>
      <c r="AA113" s="417"/>
      <c r="AB113" s="417"/>
      <c r="AC113" s="417"/>
      <c r="AD113" s="417"/>
      <c r="AE113" s="417"/>
    </row>
    <row r="114" spans="6:31" ht="16.5" customHeight="1">
      <c r="F114" s="417"/>
      <c r="G114" s="417"/>
      <c r="H114" s="417"/>
      <c r="I114" s="417"/>
      <c r="J114" s="417"/>
      <c r="K114" s="417"/>
      <c r="L114" s="417"/>
      <c r="M114" s="417"/>
      <c r="N114" s="417"/>
      <c r="O114" s="417"/>
      <c r="P114" s="417"/>
      <c r="Q114" s="417"/>
      <c r="R114" s="417"/>
      <c r="S114" s="417"/>
      <c r="T114" s="417"/>
      <c r="U114" s="417"/>
      <c r="V114" s="417"/>
      <c r="W114" s="417"/>
      <c r="X114" s="417"/>
      <c r="Y114" s="417"/>
      <c r="Z114" s="417"/>
      <c r="AA114" s="417"/>
      <c r="AB114" s="417"/>
      <c r="AC114" s="417"/>
      <c r="AD114" s="417"/>
      <c r="AE114" s="417"/>
    </row>
    <row r="115" spans="6:31" ht="16.5" customHeight="1">
      <c r="F115" s="417"/>
      <c r="G115" s="417"/>
      <c r="H115" s="417"/>
      <c r="I115" s="417"/>
      <c r="J115" s="417"/>
      <c r="K115" s="417"/>
      <c r="L115" s="417"/>
      <c r="M115" s="417"/>
      <c r="N115" s="417"/>
      <c r="O115" s="417"/>
      <c r="P115" s="417"/>
      <c r="Q115" s="417"/>
      <c r="R115" s="417"/>
      <c r="S115" s="417"/>
      <c r="T115" s="417"/>
      <c r="U115" s="417"/>
      <c r="V115" s="417"/>
      <c r="W115" s="417"/>
      <c r="X115" s="417"/>
      <c r="Y115" s="417"/>
      <c r="Z115" s="417"/>
      <c r="AA115" s="417"/>
      <c r="AB115" s="417"/>
      <c r="AC115" s="417"/>
      <c r="AD115" s="417"/>
      <c r="AE115" s="417"/>
    </row>
    <row r="116" spans="6:31" ht="16.5" customHeight="1">
      <c r="F116" s="417"/>
      <c r="G116" s="417"/>
      <c r="H116" s="417"/>
      <c r="I116" s="417"/>
      <c r="J116" s="417"/>
      <c r="K116" s="417"/>
      <c r="L116" s="417"/>
      <c r="M116" s="417"/>
      <c r="N116" s="417"/>
      <c r="O116" s="417"/>
      <c r="P116" s="417"/>
      <c r="Q116" s="417"/>
      <c r="R116" s="417"/>
      <c r="S116" s="417"/>
      <c r="T116" s="417"/>
      <c r="U116" s="417"/>
      <c r="V116" s="417"/>
      <c r="W116" s="417"/>
      <c r="X116" s="417"/>
      <c r="Y116" s="417"/>
      <c r="Z116" s="417"/>
      <c r="AA116" s="417"/>
      <c r="AB116" s="417"/>
      <c r="AC116" s="417"/>
      <c r="AD116" s="417"/>
      <c r="AE116" s="417"/>
    </row>
    <row r="117" spans="6:31" ht="16.5" customHeight="1">
      <c r="F117" s="417"/>
      <c r="G117" s="417"/>
      <c r="H117" s="417"/>
      <c r="I117" s="417"/>
      <c r="J117" s="417"/>
      <c r="K117" s="417"/>
      <c r="L117" s="417"/>
      <c r="M117" s="417"/>
      <c r="N117" s="417"/>
      <c r="O117" s="417"/>
      <c r="P117" s="417"/>
      <c r="Q117" s="417"/>
      <c r="R117" s="417"/>
      <c r="S117" s="417"/>
      <c r="T117" s="417"/>
      <c r="U117" s="417"/>
      <c r="V117" s="417"/>
      <c r="W117" s="417"/>
      <c r="X117" s="417"/>
      <c r="Y117" s="417"/>
      <c r="Z117" s="417"/>
      <c r="AA117" s="417"/>
      <c r="AB117" s="417"/>
      <c r="AC117" s="417"/>
      <c r="AD117" s="417"/>
      <c r="AE117" s="417"/>
    </row>
    <row r="118" spans="6:31" ht="16.5" customHeight="1">
      <c r="F118" s="417"/>
      <c r="G118" s="417"/>
      <c r="H118" s="417"/>
      <c r="I118" s="417"/>
      <c r="J118" s="417"/>
      <c r="K118" s="417"/>
      <c r="L118" s="417"/>
      <c r="M118" s="417"/>
      <c r="N118" s="417"/>
      <c r="O118" s="417"/>
      <c r="P118" s="417"/>
      <c r="Q118" s="417"/>
      <c r="R118" s="417"/>
      <c r="S118" s="417"/>
      <c r="T118" s="417"/>
      <c r="U118" s="417"/>
      <c r="V118" s="417"/>
      <c r="W118" s="417"/>
      <c r="X118" s="417"/>
      <c r="Y118" s="417"/>
      <c r="Z118" s="417"/>
      <c r="AA118" s="417"/>
      <c r="AB118" s="417"/>
      <c r="AC118" s="417"/>
      <c r="AD118" s="417"/>
      <c r="AE118" s="417"/>
    </row>
    <row r="119" spans="6:31" ht="16.5" customHeight="1">
      <c r="F119" s="417"/>
      <c r="G119" s="417"/>
      <c r="H119" s="417"/>
      <c r="I119" s="417"/>
      <c r="J119" s="417"/>
      <c r="K119" s="417"/>
      <c r="L119" s="417"/>
      <c r="M119" s="417"/>
      <c r="N119" s="417"/>
      <c r="O119" s="417"/>
      <c r="P119" s="417"/>
      <c r="Q119" s="417"/>
      <c r="R119" s="417"/>
      <c r="S119" s="417"/>
      <c r="T119" s="417"/>
      <c r="U119" s="417"/>
      <c r="V119" s="417"/>
      <c r="W119" s="417"/>
      <c r="X119" s="417"/>
      <c r="Y119" s="417"/>
      <c r="Z119" s="417"/>
      <c r="AA119" s="417"/>
      <c r="AB119" s="417"/>
      <c r="AC119" s="417"/>
      <c r="AD119" s="417"/>
      <c r="AE119" s="417"/>
    </row>
    <row r="120" spans="6:31" ht="16.5" customHeight="1">
      <c r="F120" s="417"/>
      <c r="G120" s="417"/>
      <c r="H120" s="417"/>
      <c r="I120" s="417"/>
      <c r="J120" s="417"/>
      <c r="K120" s="417"/>
      <c r="L120" s="417"/>
      <c r="M120" s="417"/>
      <c r="N120" s="417"/>
      <c r="O120" s="417"/>
      <c r="P120" s="417"/>
      <c r="Q120" s="417"/>
      <c r="R120" s="417"/>
      <c r="S120" s="417"/>
      <c r="T120" s="417"/>
      <c r="U120" s="417"/>
      <c r="V120" s="417"/>
      <c r="W120" s="417"/>
      <c r="X120" s="417"/>
      <c r="Y120" s="417"/>
      <c r="Z120" s="417"/>
      <c r="AA120" s="417"/>
      <c r="AB120" s="417"/>
      <c r="AC120" s="417"/>
      <c r="AD120" s="417"/>
      <c r="AE120" s="417"/>
    </row>
    <row r="121" spans="6:31" ht="16.5" customHeight="1">
      <c r="F121" s="417"/>
      <c r="G121" s="417"/>
      <c r="H121" s="417"/>
      <c r="I121" s="417"/>
      <c r="J121" s="417"/>
      <c r="K121" s="417"/>
      <c r="L121" s="417"/>
      <c r="M121" s="417"/>
      <c r="N121" s="417"/>
      <c r="O121" s="417"/>
      <c r="P121" s="417"/>
      <c r="Q121" s="417"/>
      <c r="R121" s="417"/>
      <c r="S121" s="417"/>
      <c r="T121" s="417"/>
      <c r="U121" s="417"/>
      <c r="V121" s="417"/>
      <c r="W121" s="417"/>
      <c r="X121" s="417"/>
      <c r="Y121" s="417"/>
      <c r="Z121" s="417"/>
      <c r="AA121" s="417"/>
      <c r="AB121" s="417"/>
      <c r="AC121" s="417"/>
      <c r="AD121" s="417"/>
      <c r="AE121" s="417"/>
    </row>
    <row r="122" spans="6:31" ht="16.5" customHeight="1">
      <c r="F122" s="417"/>
      <c r="G122" s="417"/>
      <c r="H122" s="417"/>
      <c r="I122" s="417"/>
      <c r="J122" s="417"/>
      <c r="K122" s="417"/>
      <c r="L122" s="417"/>
      <c r="M122" s="417"/>
      <c r="N122" s="417"/>
      <c r="O122" s="417"/>
      <c r="P122" s="417"/>
      <c r="Q122" s="417"/>
      <c r="R122" s="417"/>
      <c r="S122" s="417"/>
      <c r="T122" s="417"/>
      <c r="U122" s="417"/>
      <c r="V122" s="417"/>
      <c r="W122" s="417"/>
      <c r="X122" s="417"/>
      <c r="Y122" s="417"/>
      <c r="Z122" s="417"/>
      <c r="AA122" s="417"/>
      <c r="AB122" s="417"/>
      <c r="AC122" s="417"/>
      <c r="AD122" s="417"/>
      <c r="AE122" s="417"/>
    </row>
    <row r="123" spans="6:31" ht="16.5" customHeight="1">
      <c r="F123" s="417"/>
      <c r="G123" s="417"/>
      <c r="H123" s="417"/>
      <c r="I123" s="417"/>
      <c r="J123" s="417"/>
      <c r="K123" s="417"/>
      <c r="L123" s="417"/>
      <c r="M123" s="417"/>
      <c r="N123" s="417"/>
      <c r="O123" s="417"/>
      <c r="P123" s="417"/>
      <c r="Q123" s="417"/>
      <c r="R123" s="417"/>
      <c r="S123" s="417"/>
      <c r="T123" s="417"/>
      <c r="U123" s="417"/>
      <c r="V123" s="417"/>
      <c r="W123" s="417"/>
      <c r="X123" s="417"/>
      <c r="Y123" s="417"/>
      <c r="Z123" s="417"/>
      <c r="AA123" s="417"/>
      <c r="AB123" s="417"/>
      <c r="AC123" s="417"/>
      <c r="AD123" s="417"/>
      <c r="AE123" s="417"/>
    </row>
    <row r="124" spans="6:31" ht="16.5" customHeight="1">
      <c r="F124" s="417"/>
      <c r="G124" s="417"/>
      <c r="H124" s="417"/>
      <c r="I124" s="417"/>
      <c r="J124" s="417"/>
      <c r="K124" s="417"/>
      <c r="L124" s="417"/>
      <c r="M124" s="417"/>
      <c r="N124" s="417"/>
      <c r="O124" s="417"/>
      <c r="P124" s="417"/>
      <c r="Q124" s="417"/>
      <c r="R124" s="417"/>
      <c r="S124" s="417"/>
      <c r="T124" s="417"/>
      <c r="U124" s="417"/>
      <c r="V124" s="417"/>
      <c r="W124" s="417"/>
      <c r="X124" s="417"/>
      <c r="Y124" s="417"/>
      <c r="Z124" s="417"/>
      <c r="AA124" s="417"/>
      <c r="AB124" s="417"/>
      <c r="AC124" s="417"/>
      <c r="AD124" s="417"/>
      <c r="AE124" s="417"/>
    </row>
    <row r="125" spans="6:31" ht="16.5" customHeight="1">
      <c r="F125" s="417"/>
      <c r="G125" s="417"/>
      <c r="H125" s="417"/>
      <c r="I125" s="417"/>
      <c r="J125" s="417"/>
      <c r="K125" s="417"/>
      <c r="L125" s="417"/>
      <c r="M125" s="417"/>
      <c r="N125" s="417"/>
      <c r="O125" s="417"/>
      <c r="P125" s="417"/>
      <c r="Q125" s="417"/>
      <c r="R125" s="417"/>
      <c r="S125" s="417"/>
      <c r="T125" s="417"/>
      <c r="U125" s="417"/>
      <c r="V125" s="417"/>
      <c r="W125" s="417"/>
      <c r="X125" s="417"/>
      <c r="Y125" s="417"/>
      <c r="Z125" s="417"/>
      <c r="AA125" s="417"/>
      <c r="AB125" s="417"/>
      <c r="AC125" s="417"/>
      <c r="AD125" s="417"/>
      <c r="AE125" s="417"/>
    </row>
    <row r="126" spans="6:31" ht="16.5" customHeight="1">
      <c r="F126" s="417"/>
      <c r="G126" s="417"/>
      <c r="H126" s="417"/>
      <c r="I126" s="417"/>
      <c r="J126" s="417"/>
      <c r="K126" s="417"/>
      <c r="L126" s="417"/>
      <c r="M126" s="417"/>
      <c r="N126" s="417"/>
      <c r="O126" s="417"/>
      <c r="P126" s="417"/>
      <c r="Q126" s="417"/>
      <c r="R126" s="417"/>
      <c r="S126" s="417"/>
      <c r="T126" s="417"/>
      <c r="U126" s="417"/>
      <c r="V126" s="417"/>
      <c r="W126" s="417"/>
      <c r="X126" s="417"/>
      <c r="Y126" s="417"/>
      <c r="Z126" s="417"/>
      <c r="AA126" s="417"/>
      <c r="AB126" s="417"/>
      <c r="AC126" s="417"/>
      <c r="AD126" s="417"/>
      <c r="AE126" s="417"/>
    </row>
    <row r="127" spans="6:31" ht="16.5" customHeight="1">
      <c r="F127" s="417"/>
      <c r="G127" s="417"/>
      <c r="H127" s="417"/>
      <c r="I127" s="417"/>
      <c r="J127" s="417"/>
      <c r="K127" s="417"/>
      <c r="L127" s="417"/>
      <c r="M127" s="417"/>
      <c r="N127" s="417"/>
      <c r="O127" s="417"/>
      <c r="P127" s="417"/>
      <c r="Q127" s="417"/>
      <c r="R127" s="417"/>
      <c r="S127" s="417"/>
      <c r="T127" s="417"/>
      <c r="U127" s="417"/>
      <c r="V127" s="417"/>
      <c r="W127" s="417"/>
      <c r="X127" s="417"/>
      <c r="Y127" s="417"/>
      <c r="Z127" s="417"/>
      <c r="AA127" s="417"/>
      <c r="AB127" s="417"/>
      <c r="AC127" s="417"/>
      <c r="AD127" s="417"/>
      <c r="AE127" s="417"/>
    </row>
    <row r="128" spans="6:31" ht="16.5" customHeight="1">
      <c r="F128" s="417"/>
      <c r="G128" s="417"/>
      <c r="H128" s="417"/>
      <c r="I128" s="417"/>
      <c r="J128" s="417"/>
      <c r="K128" s="417"/>
      <c r="L128" s="417"/>
      <c r="M128" s="417"/>
      <c r="N128" s="417"/>
      <c r="O128" s="417"/>
      <c r="P128" s="417"/>
      <c r="Q128" s="417"/>
      <c r="R128" s="417"/>
      <c r="S128" s="417"/>
      <c r="T128" s="417"/>
      <c r="U128" s="417"/>
      <c r="V128" s="417"/>
      <c r="W128" s="417"/>
      <c r="X128" s="417"/>
      <c r="Y128" s="417"/>
      <c r="Z128" s="417"/>
      <c r="AA128" s="417"/>
      <c r="AB128" s="417"/>
      <c r="AC128" s="417"/>
      <c r="AD128" s="417"/>
      <c r="AE128" s="417"/>
    </row>
    <row r="129" spans="6:31" ht="16.5" customHeight="1">
      <c r="F129" s="417"/>
      <c r="G129" s="417"/>
      <c r="H129" s="417"/>
      <c r="I129" s="417"/>
      <c r="J129" s="417"/>
      <c r="K129" s="417"/>
      <c r="L129" s="417"/>
      <c r="M129" s="417"/>
      <c r="N129" s="417"/>
      <c r="O129" s="417"/>
      <c r="P129" s="417"/>
      <c r="Q129" s="417"/>
      <c r="R129" s="417"/>
      <c r="S129" s="417"/>
      <c r="T129" s="417"/>
      <c r="U129" s="417"/>
      <c r="V129" s="417"/>
      <c r="W129" s="417"/>
      <c r="X129" s="417"/>
      <c r="Y129" s="417"/>
      <c r="Z129" s="417"/>
      <c r="AA129" s="417"/>
      <c r="AB129" s="417"/>
      <c r="AC129" s="417"/>
      <c r="AD129" s="417"/>
      <c r="AE129" s="417"/>
    </row>
    <row r="130" spans="6:31" ht="16.5" customHeight="1">
      <c r="F130" s="417"/>
      <c r="G130" s="417"/>
      <c r="H130" s="417"/>
      <c r="I130" s="417"/>
      <c r="J130" s="417"/>
      <c r="K130" s="417"/>
      <c r="L130" s="417"/>
      <c r="M130" s="417"/>
      <c r="N130" s="417"/>
      <c r="O130" s="417"/>
      <c r="P130" s="417"/>
      <c r="Q130" s="417"/>
      <c r="R130" s="417"/>
      <c r="S130" s="417"/>
      <c r="T130" s="417"/>
      <c r="U130" s="417"/>
      <c r="V130" s="417"/>
      <c r="W130" s="417"/>
      <c r="X130" s="417"/>
      <c r="Y130" s="417"/>
      <c r="Z130" s="417"/>
      <c r="AA130" s="417"/>
      <c r="AB130" s="417"/>
      <c r="AC130" s="417"/>
      <c r="AD130" s="417"/>
      <c r="AE130" s="417"/>
    </row>
    <row r="131" spans="6:31" ht="16.5" customHeight="1">
      <c r="F131" s="417"/>
      <c r="G131" s="417"/>
      <c r="H131" s="417"/>
      <c r="I131" s="417"/>
      <c r="J131" s="417"/>
      <c r="K131" s="417"/>
      <c r="L131" s="417"/>
      <c r="M131" s="417"/>
      <c r="N131" s="417"/>
      <c r="O131" s="417"/>
      <c r="P131" s="417"/>
      <c r="Q131" s="417"/>
      <c r="R131" s="417"/>
      <c r="S131" s="417"/>
      <c r="T131" s="417"/>
      <c r="U131" s="417"/>
      <c r="V131" s="417"/>
      <c r="W131" s="417"/>
      <c r="X131" s="417"/>
      <c r="Y131" s="417"/>
      <c r="Z131" s="417"/>
      <c r="AA131" s="417"/>
      <c r="AB131" s="417"/>
      <c r="AC131" s="417"/>
      <c r="AD131" s="417"/>
      <c r="AE131" s="417"/>
    </row>
    <row r="132" spans="6:31" ht="16.5" customHeight="1">
      <c r="F132" s="417"/>
      <c r="G132" s="417"/>
      <c r="H132" s="417"/>
      <c r="I132" s="417"/>
      <c r="J132" s="417"/>
      <c r="K132" s="417"/>
      <c r="L132" s="417"/>
      <c r="M132" s="417"/>
      <c r="N132" s="417"/>
      <c r="O132" s="417"/>
      <c r="P132" s="417"/>
      <c r="Q132" s="417"/>
      <c r="R132" s="417"/>
      <c r="S132" s="417"/>
      <c r="T132" s="417"/>
      <c r="U132" s="417"/>
      <c r="V132" s="417"/>
      <c r="W132" s="417"/>
      <c r="X132" s="417"/>
      <c r="Y132" s="417"/>
      <c r="Z132" s="417"/>
      <c r="AA132" s="417"/>
      <c r="AB132" s="417"/>
      <c r="AC132" s="417"/>
      <c r="AD132" s="417"/>
      <c r="AE132" s="417"/>
    </row>
    <row r="133" spans="6:31" ht="16.5" customHeight="1">
      <c r="F133" s="417"/>
      <c r="G133" s="417"/>
      <c r="H133" s="417"/>
      <c r="I133" s="417"/>
      <c r="J133" s="417"/>
      <c r="K133" s="417"/>
      <c r="L133" s="417"/>
      <c r="M133" s="417"/>
      <c r="N133" s="417"/>
      <c r="O133" s="417"/>
      <c r="P133" s="417"/>
      <c r="Q133" s="417"/>
      <c r="R133" s="417"/>
      <c r="S133" s="417"/>
      <c r="T133" s="417"/>
      <c r="U133" s="417"/>
      <c r="V133" s="417"/>
      <c r="W133" s="417"/>
      <c r="X133" s="417"/>
      <c r="Y133" s="417"/>
      <c r="Z133" s="417"/>
      <c r="AA133" s="417"/>
      <c r="AB133" s="417"/>
      <c r="AC133" s="417"/>
      <c r="AD133" s="417"/>
      <c r="AE133" s="417"/>
    </row>
    <row r="134" spans="6:31" ht="16.5" customHeight="1">
      <c r="F134" s="417"/>
      <c r="G134" s="417"/>
      <c r="H134" s="417"/>
      <c r="I134" s="417"/>
      <c r="J134" s="417"/>
      <c r="K134" s="417"/>
      <c r="L134" s="417"/>
      <c r="M134" s="417"/>
      <c r="N134" s="417"/>
      <c r="O134" s="417"/>
      <c r="P134" s="417"/>
      <c r="Q134" s="417"/>
      <c r="R134" s="417"/>
      <c r="S134" s="417"/>
      <c r="T134" s="417"/>
      <c r="U134" s="417"/>
      <c r="V134" s="417"/>
      <c r="W134" s="417"/>
      <c r="X134" s="417"/>
      <c r="Y134" s="417"/>
      <c r="Z134" s="417"/>
      <c r="AA134" s="417"/>
      <c r="AB134" s="417"/>
      <c r="AC134" s="417"/>
      <c r="AD134" s="417"/>
      <c r="AE134" s="417"/>
    </row>
    <row r="135" spans="6:31" ht="16.5" customHeight="1">
      <c r="F135" s="417"/>
      <c r="G135" s="417"/>
      <c r="H135" s="417"/>
      <c r="I135" s="417"/>
      <c r="J135" s="417"/>
      <c r="K135" s="417"/>
      <c r="L135" s="417"/>
      <c r="M135" s="417"/>
      <c r="N135" s="417"/>
      <c r="O135" s="417"/>
      <c r="P135" s="417"/>
      <c r="Q135" s="417"/>
      <c r="R135" s="417"/>
      <c r="S135" s="417"/>
      <c r="T135" s="417"/>
      <c r="U135" s="417"/>
      <c r="V135" s="417"/>
      <c r="W135" s="417"/>
      <c r="X135" s="417"/>
      <c r="Y135" s="417"/>
      <c r="Z135" s="417"/>
      <c r="AA135" s="417"/>
      <c r="AB135" s="417"/>
      <c r="AC135" s="417"/>
      <c r="AD135" s="417"/>
      <c r="AE135" s="417"/>
    </row>
    <row r="136" spans="6:31" ht="16.5" customHeight="1">
      <c r="F136" s="417"/>
      <c r="G136" s="417"/>
      <c r="H136" s="417"/>
      <c r="I136" s="417"/>
      <c r="J136" s="417"/>
      <c r="K136" s="417"/>
      <c r="L136" s="417"/>
      <c r="M136" s="417"/>
      <c r="N136" s="417"/>
      <c r="O136" s="417"/>
      <c r="P136" s="417"/>
      <c r="Q136" s="417"/>
      <c r="R136" s="417"/>
      <c r="S136" s="417"/>
      <c r="T136" s="417"/>
      <c r="U136" s="417"/>
      <c r="V136" s="417"/>
      <c r="W136" s="417"/>
      <c r="X136" s="417"/>
      <c r="Y136" s="417"/>
      <c r="Z136" s="417"/>
      <c r="AA136" s="417"/>
      <c r="AB136" s="417"/>
      <c r="AC136" s="417"/>
      <c r="AD136" s="417"/>
      <c r="AE136" s="417"/>
    </row>
    <row r="137" spans="6:31" ht="16.5" customHeight="1">
      <c r="F137" s="417"/>
      <c r="G137" s="417"/>
      <c r="H137" s="417"/>
      <c r="I137" s="417"/>
      <c r="J137" s="417"/>
      <c r="K137" s="417"/>
      <c r="L137" s="417"/>
      <c r="M137" s="417"/>
      <c r="N137" s="417"/>
      <c r="O137" s="417"/>
      <c r="P137" s="417"/>
      <c r="Q137" s="417"/>
      <c r="R137" s="417"/>
      <c r="S137" s="417"/>
      <c r="T137" s="417"/>
      <c r="U137" s="417"/>
      <c r="V137" s="417"/>
      <c r="W137" s="417"/>
      <c r="X137" s="417"/>
      <c r="Y137" s="417"/>
      <c r="Z137" s="417"/>
      <c r="AA137" s="417"/>
      <c r="AB137" s="417"/>
      <c r="AC137" s="417"/>
      <c r="AD137" s="417"/>
      <c r="AE137" s="417"/>
    </row>
    <row r="138" spans="6:31" ht="16.5" customHeight="1">
      <c r="F138" s="417"/>
      <c r="G138" s="417"/>
      <c r="H138" s="417"/>
      <c r="I138" s="417"/>
      <c r="J138" s="417"/>
      <c r="K138" s="417"/>
      <c r="L138" s="417"/>
      <c r="M138" s="417"/>
      <c r="N138" s="417"/>
      <c r="O138" s="417"/>
      <c r="P138" s="417"/>
      <c r="Q138" s="417"/>
      <c r="R138" s="417"/>
      <c r="S138" s="417"/>
      <c r="T138" s="417"/>
      <c r="U138" s="417"/>
      <c r="V138" s="417"/>
      <c r="W138" s="417"/>
      <c r="X138" s="417"/>
      <c r="Y138" s="417"/>
      <c r="Z138" s="417"/>
      <c r="AA138" s="417"/>
      <c r="AB138" s="417"/>
      <c r="AC138" s="417"/>
      <c r="AD138" s="417"/>
      <c r="AE138" s="417"/>
    </row>
    <row r="139" spans="6:31" ht="16.5" customHeight="1">
      <c r="F139" s="417"/>
      <c r="G139" s="417"/>
      <c r="H139" s="417"/>
      <c r="I139" s="417"/>
      <c r="J139" s="417"/>
      <c r="K139" s="417"/>
      <c r="L139" s="417"/>
      <c r="M139" s="417"/>
      <c r="N139" s="417"/>
      <c r="O139" s="417"/>
      <c r="P139" s="417"/>
      <c r="Q139" s="417"/>
      <c r="R139" s="417"/>
      <c r="S139" s="417"/>
      <c r="T139" s="417"/>
      <c r="U139" s="417"/>
      <c r="V139" s="417"/>
      <c r="W139" s="417"/>
      <c r="X139" s="417"/>
      <c r="Y139" s="417"/>
      <c r="Z139" s="417"/>
      <c r="AA139" s="417"/>
      <c r="AB139" s="417"/>
      <c r="AC139" s="417"/>
      <c r="AD139" s="417"/>
      <c r="AE139" s="417"/>
    </row>
    <row r="140" spans="6:31" ht="16.5" customHeight="1">
      <c r="F140" s="417"/>
      <c r="G140" s="417"/>
      <c r="H140" s="417"/>
      <c r="I140" s="417"/>
      <c r="J140" s="417"/>
      <c r="K140" s="417"/>
      <c r="L140" s="417"/>
      <c r="M140" s="417"/>
      <c r="N140" s="417"/>
      <c r="O140" s="417"/>
      <c r="P140" s="417"/>
      <c r="Q140" s="417"/>
      <c r="R140" s="417"/>
      <c r="S140" s="417"/>
      <c r="T140" s="417"/>
      <c r="U140" s="417"/>
      <c r="V140" s="417"/>
      <c r="W140" s="417"/>
      <c r="X140" s="417"/>
      <c r="Y140" s="417"/>
      <c r="Z140" s="417"/>
      <c r="AA140" s="417"/>
      <c r="AB140" s="417"/>
      <c r="AC140" s="417"/>
      <c r="AD140" s="417"/>
      <c r="AE140" s="417"/>
    </row>
    <row r="141" spans="6:31" ht="16.5" customHeight="1">
      <c r="F141" s="417"/>
      <c r="G141" s="417"/>
      <c r="H141" s="417"/>
      <c r="I141" s="417"/>
      <c r="J141" s="417"/>
      <c r="K141" s="417"/>
      <c r="L141" s="417"/>
      <c r="M141" s="417"/>
      <c r="N141" s="417"/>
      <c r="O141" s="417"/>
      <c r="P141" s="417"/>
      <c r="Q141" s="417"/>
      <c r="R141" s="417"/>
      <c r="S141" s="417"/>
      <c r="T141" s="417"/>
      <c r="U141" s="417"/>
      <c r="V141" s="417"/>
      <c r="W141" s="417"/>
      <c r="X141" s="417"/>
      <c r="Y141" s="417"/>
      <c r="Z141" s="417"/>
      <c r="AA141" s="417"/>
      <c r="AB141" s="417"/>
      <c r="AC141" s="417"/>
      <c r="AD141" s="417"/>
      <c r="AE141" s="417"/>
    </row>
    <row r="142" spans="6:31" ht="16.5" customHeight="1">
      <c r="F142" s="417"/>
      <c r="G142" s="417"/>
      <c r="H142" s="417"/>
      <c r="I142" s="417"/>
      <c r="J142" s="417"/>
      <c r="K142" s="417"/>
      <c r="L142" s="417"/>
      <c r="M142" s="417"/>
      <c r="N142" s="417"/>
      <c r="O142" s="417"/>
      <c r="P142" s="417"/>
      <c r="Q142" s="417"/>
      <c r="R142" s="417"/>
      <c r="S142" s="417"/>
      <c r="T142" s="417"/>
      <c r="U142" s="417"/>
      <c r="V142" s="417"/>
      <c r="W142" s="417"/>
      <c r="X142" s="417"/>
      <c r="Y142" s="417"/>
      <c r="Z142" s="417"/>
      <c r="AA142" s="417"/>
      <c r="AB142" s="417"/>
      <c r="AC142" s="417"/>
      <c r="AD142" s="417"/>
      <c r="AE142" s="417"/>
    </row>
    <row r="143" spans="6:31" ht="16.5" customHeight="1">
      <c r="F143" s="417"/>
      <c r="G143" s="417"/>
      <c r="H143" s="417"/>
      <c r="I143" s="417"/>
      <c r="J143" s="417"/>
      <c r="K143" s="417"/>
      <c r="L143" s="417"/>
      <c r="M143" s="417"/>
      <c r="N143" s="417"/>
      <c r="O143" s="417"/>
      <c r="P143" s="417"/>
      <c r="Q143" s="417"/>
      <c r="R143" s="417"/>
      <c r="S143" s="417"/>
      <c r="T143" s="417"/>
      <c r="U143" s="417"/>
      <c r="V143" s="417"/>
      <c r="W143" s="417"/>
      <c r="X143" s="417"/>
      <c r="Y143" s="417"/>
      <c r="Z143" s="417"/>
      <c r="AA143" s="417"/>
      <c r="AB143" s="417"/>
      <c r="AC143" s="417"/>
      <c r="AD143" s="417"/>
      <c r="AE143" s="417"/>
    </row>
    <row r="144" spans="6:31" ht="16.5" customHeight="1">
      <c r="F144" s="417"/>
      <c r="G144" s="417"/>
      <c r="H144" s="417"/>
      <c r="I144" s="417"/>
      <c r="J144" s="417"/>
      <c r="K144" s="417"/>
      <c r="L144" s="417"/>
      <c r="M144" s="417"/>
      <c r="N144" s="417"/>
      <c r="O144" s="417"/>
      <c r="P144" s="417"/>
      <c r="Q144" s="417"/>
      <c r="R144" s="417"/>
      <c r="S144" s="417"/>
      <c r="T144" s="417"/>
      <c r="U144" s="417"/>
      <c r="V144" s="417"/>
      <c r="W144" s="417"/>
      <c r="X144" s="417"/>
      <c r="Y144" s="417"/>
      <c r="Z144" s="417"/>
      <c r="AA144" s="417"/>
      <c r="AB144" s="417"/>
      <c r="AC144" s="417"/>
      <c r="AD144" s="417"/>
      <c r="AE144" s="417"/>
    </row>
    <row r="145" spans="6:31" ht="16.5" customHeight="1">
      <c r="F145" s="417"/>
      <c r="G145" s="417"/>
      <c r="H145" s="417"/>
      <c r="I145" s="417"/>
      <c r="J145" s="417"/>
      <c r="K145" s="417"/>
      <c r="L145" s="417"/>
      <c r="M145" s="417"/>
      <c r="N145" s="417"/>
      <c r="O145" s="417"/>
      <c r="P145" s="417"/>
      <c r="Q145" s="417"/>
      <c r="R145" s="417"/>
      <c r="S145" s="417"/>
      <c r="T145" s="417"/>
      <c r="U145" s="417"/>
      <c r="V145" s="417"/>
      <c r="W145" s="417"/>
      <c r="X145" s="417"/>
      <c r="Y145" s="417"/>
      <c r="Z145" s="417"/>
      <c r="AA145" s="417"/>
      <c r="AB145" s="417"/>
      <c r="AC145" s="417"/>
      <c r="AD145" s="417"/>
      <c r="AE145" s="417"/>
    </row>
    <row r="146" spans="6:31" ht="16.5" customHeight="1">
      <c r="F146" s="417"/>
      <c r="G146" s="417"/>
      <c r="H146" s="417"/>
      <c r="I146" s="417"/>
      <c r="J146" s="417"/>
      <c r="K146" s="417"/>
      <c r="L146" s="417"/>
      <c r="M146" s="417"/>
      <c r="N146" s="417"/>
      <c r="O146" s="417"/>
      <c r="P146" s="417"/>
      <c r="Q146" s="417"/>
      <c r="R146" s="417"/>
      <c r="S146" s="417"/>
      <c r="T146" s="417"/>
      <c r="U146" s="417"/>
      <c r="V146" s="417"/>
      <c r="W146" s="417"/>
      <c r="X146" s="417"/>
      <c r="Y146" s="417"/>
      <c r="Z146" s="417"/>
      <c r="AA146" s="417"/>
      <c r="AB146" s="417"/>
      <c r="AC146" s="417"/>
      <c r="AD146" s="417"/>
      <c r="AE146" s="417"/>
    </row>
    <row r="147" spans="6:31" ht="16.5" customHeight="1">
      <c r="F147" s="417"/>
      <c r="G147" s="417"/>
      <c r="H147" s="417"/>
      <c r="I147" s="417"/>
      <c r="J147" s="417"/>
      <c r="K147" s="417"/>
      <c r="L147" s="417"/>
      <c r="M147" s="417"/>
      <c r="N147" s="417"/>
      <c r="O147" s="417"/>
      <c r="P147" s="417"/>
      <c r="Q147" s="417"/>
      <c r="R147" s="417"/>
      <c r="S147" s="417"/>
      <c r="T147" s="417"/>
      <c r="U147" s="417"/>
      <c r="V147" s="417"/>
      <c r="W147" s="417"/>
      <c r="X147" s="417"/>
      <c r="Y147" s="417"/>
      <c r="Z147" s="417"/>
      <c r="AA147" s="417"/>
      <c r="AB147" s="417"/>
      <c r="AC147" s="417"/>
      <c r="AD147" s="417"/>
      <c r="AE147" s="417"/>
    </row>
    <row r="148" spans="6:31" ht="16.5" customHeight="1">
      <c r="F148" s="417"/>
      <c r="G148" s="417"/>
      <c r="H148" s="417"/>
      <c r="I148" s="417"/>
      <c r="J148" s="417"/>
      <c r="K148" s="417"/>
      <c r="L148" s="417"/>
      <c r="M148" s="417"/>
      <c r="N148" s="417"/>
      <c r="O148" s="417"/>
      <c r="P148" s="417"/>
      <c r="Q148" s="417"/>
      <c r="R148" s="417"/>
      <c r="S148" s="417"/>
      <c r="T148" s="417"/>
      <c r="U148" s="417"/>
      <c r="V148" s="417"/>
      <c r="W148" s="417"/>
      <c r="X148" s="417"/>
      <c r="Y148" s="417"/>
      <c r="Z148" s="417"/>
      <c r="AA148" s="417"/>
      <c r="AB148" s="417"/>
      <c r="AC148" s="417"/>
      <c r="AD148" s="417"/>
      <c r="AE148" s="417"/>
    </row>
    <row r="149" spans="6:31" ht="16.5" customHeight="1">
      <c r="F149" s="417"/>
      <c r="G149" s="417"/>
      <c r="H149" s="417"/>
      <c r="I149" s="417"/>
      <c r="J149" s="417"/>
      <c r="K149" s="417"/>
      <c r="L149" s="417"/>
      <c r="M149" s="417"/>
      <c r="N149" s="417"/>
      <c r="O149" s="417"/>
      <c r="P149" s="417"/>
      <c r="Q149" s="417"/>
      <c r="R149" s="417"/>
      <c r="S149" s="417"/>
      <c r="T149" s="417"/>
      <c r="U149" s="417"/>
      <c r="V149" s="417"/>
      <c r="W149" s="417"/>
      <c r="X149" s="417"/>
      <c r="Y149" s="417"/>
      <c r="Z149" s="417"/>
      <c r="AA149" s="417"/>
      <c r="AB149" s="417"/>
      <c r="AC149" s="417"/>
      <c r="AD149" s="417"/>
      <c r="AE149" s="417"/>
    </row>
    <row r="150" spans="6:31" ht="16.5" customHeight="1">
      <c r="F150" s="417"/>
      <c r="G150" s="417"/>
      <c r="H150" s="417"/>
      <c r="I150" s="417"/>
      <c r="J150" s="417"/>
      <c r="K150" s="417"/>
      <c r="L150" s="417"/>
      <c r="M150" s="417"/>
      <c r="N150" s="417"/>
      <c r="O150" s="417"/>
      <c r="P150" s="417"/>
      <c r="Q150" s="417"/>
      <c r="R150" s="417"/>
      <c r="S150" s="417"/>
      <c r="T150" s="417"/>
      <c r="U150" s="417"/>
      <c r="V150" s="417"/>
      <c r="W150" s="417"/>
      <c r="X150" s="417"/>
      <c r="Y150" s="417"/>
      <c r="Z150" s="417"/>
      <c r="AA150" s="417"/>
      <c r="AB150" s="417"/>
      <c r="AC150" s="417"/>
      <c r="AD150" s="417"/>
      <c r="AE150" s="417"/>
    </row>
    <row r="151" ht="16.5" customHeight="1">
      <c r="AE151" s="417"/>
    </row>
    <row r="152" ht="16.5" customHeight="1">
      <c r="AE152" s="417"/>
    </row>
    <row r="153" ht="16.5" customHeight="1">
      <c r="AE153" s="417"/>
    </row>
    <row r="154" ht="16.5" customHeight="1">
      <c r="AE154" s="417"/>
    </row>
    <row r="155" ht="16.5" customHeight="1"/>
    <row r="156" ht="16.5" customHeight="1"/>
    <row r="157" ht="16.5" customHeight="1"/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Roman,Normal"&amp;8&amp;F-&amp;A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56">
    <pageSetUpPr fitToPage="1"/>
  </sheetPr>
  <dimension ref="A1:AE154"/>
  <sheetViews>
    <sheetView zoomScale="70" zoomScaleNormal="70" zoomScalePageLayoutView="0" workbookViewId="0" topLeftCell="A1">
      <selection activeCell="N51" sqref="N51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57421875" style="9" customWidth="1"/>
    <col min="6" max="7" width="25.7109375" style="9" customWidth="1"/>
    <col min="8" max="8" width="9.7109375" style="9" customWidth="1"/>
    <col min="9" max="9" width="12.7109375" style="9" customWidth="1"/>
    <col min="10" max="10" width="13.7109375" style="9" hidden="1" customWidth="1"/>
    <col min="11" max="12" width="15.7109375" style="9" customWidth="1"/>
    <col min="13" max="16" width="9.7109375" style="9" customWidth="1"/>
    <col min="17" max="17" width="5.8515625" style="9" customWidth="1"/>
    <col min="18" max="18" width="7.00390625" style="9" customWidth="1"/>
    <col min="19" max="19" width="13.140625" style="9" hidden="1" customWidth="1"/>
    <col min="20" max="21" width="16.421875" style="9" hidden="1" customWidth="1"/>
    <col min="22" max="22" width="16.57421875" style="9" hidden="1" customWidth="1"/>
    <col min="23" max="27" width="16.28125" style="9" hidden="1" customWidth="1"/>
    <col min="28" max="28" width="9.7109375" style="9" customWidth="1"/>
    <col min="29" max="29" width="15.7109375" style="9" customWidth="1"/>
    <col min="30" max="30" width="4.140625" style="9" customWidth="1"/>
    <col min="31" max="16384" width="11.421875" style="9" customWidth="1"/>
  </cols>
  <sheetData>
    <row r="1" spans="2:30" s="3" customFormat="1" ht="26.25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280"/>
    </row>
    <row r="2" spans="1:30" s="3" customFormat="1" ht="26.25">
      <c r="A2" s="88"/>
      <c r="B2" s="281" t="str">
        <f>+'TOT-0912'!B2</f>
        <v>ANEXO IV al Memorándum  D.T.E.E.  N° 295 / 2014</v>
      </c>
      <c r="C2" s="281"/>
      <c r="D2" s="281"/>
      <c r="E2" s="281"/>
      <c r="F2" s="281"/>
      <c r="G2" s="2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</row>
    <row r="3" spans="1:30" s="8" customFormat="1" ht="12.7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</row>
    <row r="4" spans="1:30" s="14" customFormat="1" ht="11.25">
      <c r="A4" s="282" t="s">
        <v>53</v>
      </c>
      <c r="B4" s="283"/>
      <c r="C4" s="283"/>
      <c r="D4" s="283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</row>
    <row r="5" spans="1:30" s="14" customFormat="1" ht="11.25">
      <c r="A5" s="282" t="s">
        <v>3</v>
      </c>
      <c r="B5" s="283"/>
      <c r="C5" s="283"/>
      <c r="D5" s="283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</row>
    <row r="6" spans="1:30" s="8" customFormat="1" ht="13.5" thickBo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</row>
    <row r="7" spans="1:30" s="8" customFormat="1" ht="13.5" thickTop="1">
      <c r="A7" s="89"/>
      <c r="B7" s="285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94"/>
    </row>
    <row r="8" spans="1:30" s="18" customFormat="1" ht="20.25">
      <c r="A8" s="287"/>
      <c r="B8" s="288"/>
      <c r="C8" s="289"/>
      <c r="D8" s="289"/>
      <c r="E8" s="287"/>
      <c r="F8" s="290" t="s">
        <v>23</v>
      </c>
      <c r="G8" s="287"/>
      <c r="H8" s="287"/>
      <c r="I8" s="291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98"/>
    </row>
    <row r="9" spans="1:30" s="8" customFormat="1" ht="12.75">
      <c r="A9" s="89"/>
      <c r="B9" s="292"/>
      <c r="C9" s="83"/>
      <c r="D9" s="83"/>
      <c r="E9" s="89"/>
      <c r="F9" s="83"/>
      <c r="G9" s="293"/>
      <c r="H9" s="89"/>
      <c r="I9" s="83"/>
      <c r="J9" s="89"/>
      <c r="K9" s="89"/>
      <c r="L9" s="89"/>
      <c r="M9" s="89"/>
      <c r="N9" s="89"/>
      <c r="O9" s="89"/>
      <c r="P9" s="89"/>
      <c r="Q9" s="89"/>
      <c r="R9" s="89"/>
      <c r="S9" s="89"/>
      <c r="T9" s="83"/>
      <c r="U9" s="83"/>
      <c r="V9" s="83"/>
      <c r="W9" s="83"/>
      <c r="X9" s="83"/>
      <c r="Y9" s="83"/>
      <c r="Z9" s="83"/>
      <c r="AA9" s="83"/>
      <c r="AB9" s="83"/>
      <c r="AC9" s="83"/>
      <c r="AD9" s="99"/>
    </row>
    <row r="10" spans="1:30" s="249" customFormat="1" ht="33" customHeight="1">
      <c r="A10" s="440"/>
      <c r="B10" s="441"/>
      <c r="C10" s="442"/>
      <c r="D10" s="442"/>
      <c r="E10" s="440"/>
      <c r="F10" s="418" t="s">
        <v>54</v>
      </c>
      <c r="G10" s="440"/>
      <c r="H10" s="443"/>
      <c r="I10" s="442"/>
      <c r="J10" s="440"/>
      <c r="K10" s="440"/>
      <c r="L10" s="440"/>
      <c r="M10" s="440"/>
      <c r="N10" s="440"/>
      <c r="O10" s="440"/>
      <c r="P10" s="440"/>
      <c r="Q10" s="440"/>
      <c r="R10" s="440"/>
      <c r="S10" s="440"/>
      <c r="T10" s="442"/>
      <c r="U10" s="442"/>
      <c r="V10" s="442"/>
      <c r="W10" s="442"/>
      <c r="X10" s="442"/>
      <c r="Y10" s="442"/>
      <c r="Z10" s="442"/>
      <c r="AA10" s="442"/>
      <c r="AB10" s="442"/>
      <c r="AC10" s="442"/>
      <c r="AD10" s="253"/>
    </row>
    <row r="11" spans="1:30" s="254" customFormat="1" ht="33" customHeight="1">
      <c r="A11" s="419"/>
      <c r="B11" s="420"/>
      <c r="C11" s="421"/>
      <c r="D11" s="421"/>
      <c r="E11" s="419"/>
      <c r="F11" s="272" t="s">
        <v>379</v>
      </c>
      <c r="G11" s="421"/>
      <c r="H11" s="421"/>
      <c r="I11" s="422"/>
      <c r="J11" s="421"/>
      <c r="K11" s="421"/>
      <c r="L11" s="421"/>
      <c r="M11" s="421"/>
      <c r="N11" s="421"/>
      <c r="O11" s="419"/>
      <c r="P11" s="419"/>
      <c r="Q11" s="419"/>
      <c r="R11" s="419"/>
      <c r="S11" s="419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258"/>
    </row>
    <row r="12" spans="1:30" s="34" customFormat="1" ht="19.5">
      <c r="A12" s="309"/>
      <c r="B12" s="35" t="str">
        <f>'TOT-0912'!B14</f>
        <v>Desde el 01 al 30 de septiembre de 2012</v>
      </c>
      <c r="C12" s="39"/>
      <c r="D12" s="39"/>
      <c r="E12" s="310"/>
      <c r="F12" s="311"/>
      <c r="G12" s="311"/>
      <c r="H12" s="311"/>
      <c r="I12" s="311"/>
      <c r="J12" s="311"/>
      <c r="K12" s="311"/>
      <c r="L12" s="311"/>
      <c r="M12" s="311"/>
      <c r="N12" s="311"/>
      <c r="O12" s="310"/>
      <c r="P12" s="310"/>
      <c r="Q12" s="310"/>
      <c r="R12" s="310"/>
      <c r="S12" s="310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2"/>
    </row>
    <row r="13" spans="1:30" s="8" customFormat="1" ht="13.5" thickBot="1">
      <c r="A13" s="89"/>
      <c r="B13" s="292"/>
      <c r="C13" s="83"/>
      <c r="D13" s="83"/>
      <c r="E13" s="89"/>
      <c r="F13" s="83"/>
      <c r="G13" s="83"/>
      <c r="H13" s="83"/>
      <c r="I13" s="308"/>
      <c r="J13" s="83"/>
      <c r="K13" s="83"/>
      <c r="L13" s="83"/>
      <c r="M13" s="83"/>
      <c r="N13" s="83"/>
      <c r="O13" s="89"/>
      <c r="P13" s="89"/>
      <c r="Q13" s="89"/>
      <c r="R13" s="89"/>
      <c r="S13" s="89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99"/>
    </row>
    <row r="14" spans="1:30" s="8" customFormat="1" ht="16.5" customHeight="1" thickBot="1" thickTop="1">
      <c r="A14" s="89"/>
      <c r="B14" s="292"/>
      <c r="C14" s="83"/>
      <c r="D14" s="83"/>
      <c r="E14" s="89"/>
      <c r="F14" s="313" t="s">
        <v>56</v>
      </c>
      <c r="G14" s="314"/>
      <c r="H14" s="315">
        <v>0.697</v>
      </c>
      <c r="J14" s="89"/>
      <c r="K14" s="89"/>
      <c r="L14" s="89"/>
      <c r="M14" s="89"/>
      <c r="N14" s="89"/>
      <c r="O14" s="89"/>
      <c r="P14" s="89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99"/>
    </row>
    <row r="15" spans="1:30" s="8" customFormat="1" ht="16.5" customHeight="1" thickBot="1" thickTop="1">
      <c r="A15" s="89"/>
      <c r="B15" s="292"/>
      <c r="C15" s="83"/>
      <c r="D15" s="83"/>
      <c r="E15" s="89"/>
      <c r="F15" s="316" t="s">
        <v>57</v>
      </c>
      <c r="G15" s="317"/>
      <c r="H15" s="318">
        <v>200</v>
      </c>
      <c r="I15" s="9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319"/>
      <c r="X15" s="319"/>
      <c r="Y15" s="319"/>
      <c r="Z15" s="319"/>
      <c r="AA15" s="319"/>
      <c r="AB15" s="319"/>
      <c r="AC15" s="89"/>
      <c r="AD15" s="99"/>
    </row>
    <row r="16" spans="1:30" s="8" customFormat="1" ht="16.5" customHeight="1" thickBot="1" thickTop="1">
      <c r="A16" s="89"/>
      <c r="B16" s="292"/>
      <c r="C16" s="320">
        <v>3</v>
      </c>
      <c r="D16" s="320">
        <v>4</v>
      </c>
      <c r="E16" s="320">
        <v>5</v>
      </c>
      <c r="F16" s="320">
        <v>6</v>
      </c>
      <c r="G16" s="320">
        <v>7</v>
      </c>
      <c r="H16" s="320">
        <v>8</v>
      </c>
      <c r="I16" s="320">
        <v>9</v>
      </c>
      <c r="J16" s="320">
        <v>10</v>
      </c>
      <c r="K16" s="320">
        <v>11</v>
      </c>
      <c r="L16" s="320">
        <v>12</v>
      </c>
      <c r="M16" s="320">
        <v>13</v>
      </c>
      <c r="N16" s="320">
        <v>14</v>
      </c>
      <c r="O16" s="320">
        <v>15</v>
      </c>
      <c r="P16" s="320">
        <v>16</v>
      </c>
      <c r="Q16" s="320">
        <v>17</v>
      </c>
      <c r="R16" s="320">
        <v>18</v>
      </c>
      <c r="S16" s="320">
        <v>19</v>
      </c>
      <c r="T16" s="320">
        <v>20</v>
      </c>
      <c r="U16" s="320">
        <v>21</v>
      </c>
      <c r="V16" s="320">
        <v>22</v>
      </c>
      <c r="W16" s="320">
        <v>23</v>
      </c>
      <c r="X16" s="320">
        <v>24</v>
      </c>
      <c r="Y16" s="320">
        <v>25</v>
      </c>
      <c r="Z16" s="320">
        <v>26</v>
      </c>
      <c r="AA16" s="320">
        <v>27</v>
      </c>
      <c r="AB16" s="320">
        <v>28</v>
      </c>
      <c r="AC16" s="320">
        <v>29</v>
      </c>
      <c r="AD16" s="99"/>
    </row>
    <row r="17" spans="1:30" s="8" customFormat="1" ht="33.75" customHeight="1" thickBot="1" thickTop="1">
      <c r="A17" s="89"/>
      <c r="B17" s="292"/>
      <c r="C17" s="321" t="s">
        <v>28</v>
      </c>
      <c r="D17" s="111" t="s">
        <v>29</v>
      </c>
      <c r="E17" s="111" t="s">
        <v>30</v>
      </c>
      <c r="F17" s="322" t="s">
        <v>58</v>
      </c>
      <c r="G17" s="323" t="s">
        <v>59</v>
      </c>
      <c r="H17" s="324" t="s">
        <v>60</v>
      </c>
      <c r="I17" s="325" t="s">
        <v>31</v>
      </c>
      <c r="J17" s="326" t="s">
        <v>35</v>
      </c>
      <c r="K17" s="323" t="s">
        <v>36</v>
      </c>
      <c r="L17" s="323" t="s">
        <v>37</v>
      </c>
      <c r="M17" s="322" t="s">
        <v>61</v>
      </c>
      <c r="N17" s="322" t="s">
        <v>39</v>
      </c>
      <c r="O17" s="119" t="s">
        <v>254</v>
      </c>
      <c r="P17" s="119" t="s">
        <v>40</v>
      </c>
      <c r="Q17" s="327" t="s">
        <v>42</v>
      </c>
      <c r="R17" s="323" t="s">
        <v>62</v>
      </c>
      <c r="S17" s="328" t="s">
        <v>34</v>
      </c>
      <c r="T17" s="329" t="s">
        <v>43</v>
      </c>
      <c r="U17" s="330" t="s">
        <v>44</v>
      </c>
      <c r="V17" s="122" t="s">
        <v>63</v>
      </c>
      <c r="W17" s="124"/>
      <c r="X17" s="331" t="s">
        <v>64</v>
      </c>
      <c r="Y17" s="332"/>
      <c r="Z17" s="333" t="s">
        <v>47</v>
      </c>
      <c r="AA17" s="334" t="s">
        <v>48</v>
      </c>
      <c r="AB17" s="130" t="s">
        <v>49</v>
      </c>
      <c r="AC17" s="325" t="s">
        <v>50</v>
      </c>
      <c r="AD17" s="99"/>
    </row>
    <row r="18" spans="1:30" s="8" customFormat="1" ht="16.5" customHeight="1" thickTop="1">
      <c r="A18" s="89"/>
      <c r="B18" s="292"/>
      <c r="C18" s="335"/>
      <c r="D18" s="335"/>
      <c r="E18" s="335"/>
      <c r="F18" s="335"/>
      <c r="G18" s="335"/>
      <c r="H18" s="335"/>
      <c r="I18" s="336"/>
      <c r="J18" s="337"/>
      <c r="K18" s="335"/>
      <c r="L18" s="335"/>
      <c r="M18" s="335"/>
      <c r="N18" s="335"/>
      <c r="O18" s="335"/>
      <c r="P18" s="132"/>
      <c r="Q18" s="447"/>
      <c r="R18" s="133"/>
      <c r="S18" s="448"/>
      <c r="T18" s="449"/>
      <c r="U18" s="450"/>
      <c r="V18" s="342"/>
      <c r="W18" s="343"/>
      <c r="X18" s="451"/>
      <c r="Y18" s="452"/>
      <c r="Z18" s="453"/>
      <c r="AA18" s="454"/>
      <c r="AB18" s="447"/>
      <c r="AC18" s="455"/>
      <c r="AD18" s="99"/>
    </row>
    <row r="19" spans="1:30" s="8" customFormat="1" ht="16.5" customHeight="1">
      <c r="A19" s="89"/>
      <c r="B19" s="292"/>
      <c r="C19" s="150"/>
      <c r="D19" s="150"/>
      <c r="E19" s="150"/>
      <c r="F19" s="150"/>
      <c r="G19" s="150"/>
      <c r="H19" s="150"/>
      <c r="I19" s="349"/>
      <c r="J19" s="350"/>
      <c r="K19" s="150"/>
      <c r="L19" s="150"/>
      <c r="M19" s="150"/>
      <c r="N19" s="150"/>
      <c r="O19" s="150"/>
      <c r="P19" s="456">
        <f aca="true" t="shared" si="0" ref="P19:P39">IF(F19="","","--")</f>
      </c>
      <c r="Q19" s="425">
        <f>IF(F19="","",IF(OR(O19="P",O19="RP"),"--","NO"))</f>
      </c>
      <c r="R19" s="426">
        <f aca="true" t="shared" si="1" ref="R19:R39">IF(F19="","","NO")</f>
      </c>
      <c r="S19" s="424">
        <f aca="true" t="shared" si="2" ref="S19:S39">$H$15*IF(OR(O19="P",O19="RP"),0.1,1)*IF(R19="SI",1,0.1)</f>
        <v>20</v>
      </c>
      <c r="T19" s="457" t="str">
        <f aca="true" t="shared" si="3" ref="T19:T39">IF(O19="P",J19*S19*ROUND(N19/60,2),"--")</f>
        <v>--</v>
      </c>
      <c r="U19" s="458" t="str">
        <f aca="true" t="shared" si="4" ref="U19:U39">IF(O19="RP",J19*S19*P19/100*ROUND(N19/60,2),"--")</f>
        <v>--</v>
      </c>
      <c r="V19" s="375" t="str">
        <f aca="true" t="shared" si="5" ref="V19:V39">IF(AND(O19="F",Q19="NO"),J19*S19,"--")</f>
        <v>--</v>
      </c>
      <c r="W19" s="376" t="str">
        <f aca="true" t="shared" si="6" ref="W19:W39">IF(O19="F",J19*S19*ROUND(N19/60,2),"--")</f>
        <v>--</v>
      </c>
      <c r="X19" s="377" t="str">
        <f aca="true" t="shared" si="7" ref="X19:X39">IF(AND(O19="R",Q19="NO"),J19*S19*P19/100,"--")</f>
        <v>--</v>
      </c>
      <c r="Y19" s="378" t="str">
        <f aca="true" t="shared" si="8" ref="Y19:Y39">IF(O19="R",J19*S19*P19/100*ROUND(N19/60,2),"--")</f>
        <v>--</v>
      </c>
      <c r="Z19" s="459" t="str">
        <f aca="true" t="shared" si="9" ref="Z19:Z39">IF(O19="RF",J19*S19*ROUND(N19/60,2),"--")</f>
        <v>--</v>
      </c>
      <c r="AA19" s="380" t="str">
        <f aca="true" t="shared" si="10" ref="AA19:AA39">IF(O19="RR",J19*S19*P19/100*ROUND(N19/60,2),"--")</f>
        <v>--</v>
      </c>
      <c r="AB19" s="429">
        <f aca="true" t="shared" si="11" ref="AB19:AB39">IF(F19="","","SI")</f>
      </c>
      <c r="AC19" s="361"/>
      <c r="AD19" s="99"/>
    </row>
    <row r="20" spans="1:30" s="8" customFormat="1" ht="16.5" customHeight="1">
      <c r="A20" s="89"/>
      <c r="B20" s="292"/>
      <c r="C20" s="150">
        <v>55</v>
      </c>
      <c r="D20" s="150">
        <v>251858</v>
      </c>
      <c r="E20" s="169">
        <v>4471</v>
      </c>
      <c r="F20" s="362" t="s">
        <v>289</v>
      </c>
      <c r="G20" s="363" t="s">
        <v>290</v>
      </c>
      <c r="H20" s="364">
        <v>450</v>
      </c>
      <c r="I20" s="618" t="s">
        <v>81</v>
      </c>
      <c r="J20" s="366">
        <f aca="true" t="shared" si="12" ref="J20:J39">H20*$H$14</f>
        <v>313.65</v>
      </c>
      <c r="K20" s="367">
        <v>41175.291666666664</v>
      </c>
      <c r="L20" s="367">
        <v>41175.40347222222</v>
      </c>
      <c r="M20" s="368">
        <f aca="true" t="shared" si="13" ref="M20:M39">IF(F20="","",(L20-K20)*24)</f>
        <v>2.6833333333488554</v>
      </c>
      <c r="N20" s="369">
        <f aca="true" t="shared" si="14" ref="N20:N39">IF(F20="","",ROUND((L20-K20)*24*60,0))</f>
        <v>161</v>
      </c>
      <c r="O20" s="370" t="s">
        <v>259</v>
      </c>
      <c r="P20" s="274" t="str">
        <f t="shared" si="0"/>
        <v>--</v>
      </c>
      <c r="Q20" s="371" t="str">
        <f>IF(F20="","",IF(OR(O20="P",O20="RP"),"--","NO"))</f>
        <v>--</v>
      </c>
      <c r="R20" s="180" t="str">
        <f t="shared" si="1"/>
        <v>NO</v>
      </c>
      <c r="S20" s="372">
        <f t="shared" si="2"/>
        <v>2</v>
      </c>
      <c r="T20" s="427">
        <f t="shared" si="3"/>
        <v>1681.164</v>
      </c>
      <c r="U20" s="428" t="str">
        <f t="shared" si="4"/>
        <v>--</v>
      </c>
      <c r="V20" s="375" t="str">
        <f t="shared" si="5"/>
        <v>--</v>
      </c>
      <c r="W20" s="376" t="str">
        <f t="shared" si="6"/>
        <v>--</v>
      </c>
      <c r="X20" s="377" t="str">
        <f t="shared" si="7"/>
        <v>--</v>
      </c>
      <c r="Y20" s="378" t="str">
        <f t="shared" si="8"/>
        <v>--</v>
      </c>
      <c r="Z20" s="379" t="str">
        <f t="shared" si="9"/>
        <v>--</v>
      </c>
      <c r="AA20" s="380" t="str">
        <f t="shared" si="10"/>
        <v>--</v>
      </c>
      <c r="AB20" s="444" t="s">
        <v>79</v>
      </c>
      <c r="AC20" s="445">
        <f aca="true" t="shared" si="15" ref="AC20:AC39">IF(F20="","",SUM(T20:AA20)*IF(AB20="SI",1,2)*IF(AND(P20&lt;&gt;"--",O20="RF"),P20/100,1))</f>
        <v>1681.164</v>
      </c>
      <c r="AD20" s="99"/>
    </row>
    <row r="21" spans="1:30" s="8" customFormat="1" ht="16.5" customHeight="1">
      <c r="A21" s="89"/>
      <c r="B21" s="292"/>
      <c r="C21" s="150"/>
      <c r="D21" s="150"/>
      <c r="E21" s="150"/>
      <c r="F21" s="362"/>
      <c r="G21" s="363"/>
      <c r="H21" s="364"/>
      <c r="I21" s="365"/>
      <c r="J21" s="366">
        <f t="shared" si="12"/>
        <v>0</v>
      </c>
      <c r="K21" s="367"/>
      <c r="L21" s="367"/>
      <c r="M21" s="368">
        <f t="shared" si="13"/>
      </c>
      <c r="N21" s="369">
        <f t="shared" si="14"/>
      </c>
      <c r="O21" s="370"/>
      <c r="P21" s="274">
        <f t="shared" si="0"/>
      </c>
      <c r="Q21" s="371">
        <f aca="true" t="shared" si="16" ref="Q21:Q39">IF(F21="","",IF(O21="P","--","NO"))</f>
      </c>
      <c r="R21" s="180">
        <f t="shared" si="1"/>
      </c>
      <c r="S21" s="372">
        <f t="shared" si="2"/>
        <v>20</v>
      </c>
      <c r="T21" s="427" t="str">
        <f t="shared" si="3"/>
        <v>--</v>
      </c>
      <c r="U21" s="428" t="str">
        <f t="shared" si="4"/>
        <v>--</v>
      </c>
      <c r="V21" s="375" t="str">
        <f t="shared" si="5"/>
        <v>--</v>
      </c>
      <c r="W21" s="376" t="str">
        <f t="shared" si="6"/>
        <v>--</v>
      </c>
      <c r="X21" s="377" t="str">
        <f t="shared" si="7"/>
        <v>--</v>
      </c>
      <c r="Y21" s="378" t="str">
        <f t="shared" si="8"/>
        <v>--</v>
      </c>
      <c r="Z21" s="379" t="str">
        <f t="shared" si="9"/>
        <v>--</v>
      </c>
      <c r="AA21" s="380" t="str">
        <f t="shared" si="10"/>
        <v>--</v>
      </c>
      <c r="AB21" s="444">
        <f t="shared" si="11"/>
      </c>
      <c r="AC21" s="445">
        <f t="shared" si="15"/>
      </c>
      <c r="AD21" s="99"/>
    </row>
    <row r="22" spans="1:30" s="8" customFormat="1" ht="16.5" customHeight="1">
      <c r="A22" s="89"/>
      <c r="B22" s="292"/>
      <c r="C22" s="150"/>
      <c r="D22" s="150"/>
      <c r="E22" s="169"/>
      <c r="F22" s="362"/>
      <c r="G22" s="363"/>
      <c r="H22" s="364"/>
      <c r="I22" s="365"/>
      <c r="J22" s="366">
        <f t="shared" si="12"/>
        <v>0</v>
      </c>
      <c r="K22" s="367"/>
      <c r="L22" s="367"/>
      <c r="M22" s="368">
        <f t="shared" si="13"/>
      </c>
      <c r="N22" s="369">
        <f t="shared" si="14"/>
      </c>
      <c r="O22" s="370"/>
      <c r="P22" s="274">
        <f t="shared" si="0"/>
      </c>
      <c r="Q22" s="371">
        <f t="shared" si="16"/>
      </c>
      <c r="R22" s="180">
        <f t="shared" si="1"/>
      </c>
      <c r="S22" s="372">
        <f t="shared" si="2"/>
        <v>20</v>
      </c>
      <c r="T22" s="427" t="str">
        <f t="shared" si="3"/>
        <v>--</v>
      </c>
      <c r="U22" s="428" t="str">
        <f t="shared" si="4"/>
        <v>--</v>
      </c>
      <c r="V22" s="375" t="str">
        <f t="shared" si="5"/>
        <v>--</v>
      </c>
      <c r="W22" s="376" t="str">
        <f t="shared" si="6"/>
        <v>--</v>
      </c>
      <c r="X22" s="377" t="str">
        <f t="shared" si="7"/>
        <v>--</v>
      </c>
      <c r="Y22" s="378" t="str">
        <f t="shared" si="8"/>
        <v>--</v>
      </c>
      <c r="Z22" s="379" t="str">
        <f t="shared" si="9"/>
        <v>--</v>
      </c>
      <c r="AA22" s="380" t="str">
        <f t="shared" si="10"/>
        <v>--</v>
      </c>
      <c r="AB22" s="444">
        <f t="shared" si="11"/>
      </c>
      <c r="AC22" s="445">
        <f t="shared" si="15"/>
      </c>
      <c r="AD22" s="99"/>
    </row>
    <row r="23" spans="1:30" s="8" customFormat="1" ht="16.5" customHeight="1">
      <c r="A23" s="89"/>
      <c r="B23" s="292"/>
      <c r="C23" s="150"/>
      <c r="D23" s="150"/>
      <c r="E23" s="150"/>
      <c r="F23" s="362"/>
      <c r="G23" s="363"/>
      <c r="H23" s="364"/>
      <c r="I23" s="365"/>
      <c r="J23" s="366">
        <f t="shared" si="12"/>
        <v>0</v>
      </c>
      <c r="K23" s="367"/>
      <c r="L23" s="367"/>
      <c r="M23" s="368">
        <f t="shared" si="13"/>
      </c>
      <c r="N23" s="369">
        <f t="shared" si="14"/>
      </c>
      <c r="O23" s="370"/>
      <c r="P23" s="274">
        <f t="shared" si="0"/>
      </c>
      <c r="Q23" s="371">
        <f t="shared" si="16"/>
      </c>
      <c r="R23" s="180">
        <f t="shared" si="1"/>
      </c>
      <c r="S23" s="372">
        <f t="shared" si="2"/>
        <v>20</v>
      </c>
      <c r="T23" s="427" t="str">
        <f t="shared" si="3"/>
        <v>--</v>
      </c>
      <c r="U23" s="428" t="str">
        <f t="shared" si="4"/>
        <v>--</v>
      </c>
      <c r="V23" s="375" t="str">
        <f t="shared" si="5"/>
        <v>--</v>
      </c>
      <c r="W23" s="376" t="str">
        <f t="shared" si="6"/>
        <v>--</v>
      </c>
      <c r="X23" s="377" t="str">
        <f t="shared" si="7"/>
        <v>--</v>
      </c>
      <c r="Y23" s="378" t="str">
        <f t="shared" si="8"/>
        <v>--</v>
      </c>
      <c r="Z23" s="379" t="str">
        <f t="shared" si="9"/>
        <v>--</v>
      </c>
      <c r="AA23" s="380" t="str">
        <f t="shared" si="10"/>
        <v>--</v>
      </c>
      <c r="AB23" s="444">
        <f t="shared" si="11"/>
      </c>
      <c r="AC23" s="445">
        <f t="shared" si="15"/>
      </c>
      <c r="AD23" s="99"/>
    </row>
    <row r="24" spans="1:30" s="8" customFormat="1" ht="16.5" customHeight="1">
      <c r="A24" s="89"/>
      <c r="B24" s="292"/>
      <c r="C24" s="150"/>
      <c r="D24" s="150"/>
      <c r="E24" s="169"/>
      <c r="F24" s="362"/>
      <c r="G24" s="363"/>
      <c r="H24" s="364"/>
      <c r="I24" s="365"/>
      <c r="J24" s="366">
        <f t="shared" si="12"/>
        <v>0</v>
      </c>
      <c r="K24" s="367"/>
      <c r="L24" s="367"/>
      <c r="M24" s="368">
        <f t="shared" si="13"/>
      </c>
      <c r="N24" s="369">
        <f t="shared" si="14"/>
      </c>
      <c r="O24" s="370"/>
      <c r="P24" s="274">
        <f t="shared" si="0"/>
      </c>
      <c r="Q24" s="371">
        <f t="shared" si="16"/>
      </c>
      <c r="R24" s="180">
        <f t="shared" si="1"/>
      </c>
      <c r="S24" s="372">
        <f t="shared" si="2"/>
        <v>20</v>
      </c>
      <c r="T24" s="427" t="str">
        <f t="shared" si="3"/>
        <v>--</v>
      </c>
      <c r="U24" s="428" t="str">
        <f t="shared" si="4"/>
        <v>--</v>
      </c>
      <c r="V24" s="375" t="str">
        <f t="shared" si="5"/>
        <v>--</v>
      </c>
      <c r="W24" s="376" t="str">
        <f t="shared" si="6"/>
        <v>--</v>
      </c>
      <c r="X24" s="377" t="str">
        <f t="shared" si="7"/>
        <v>--</v>
      </c>
      <c r="Y24" s="378" t="str">
        <f t="shared" si="8"/>
        <v>--</v>
      </c>
      <c r="Z24" s="379" t="str">
        <f t="shared" si="9"/>
        <v>--</v>
      </c>
      <c r="AA24" s="380" t="str">
        <f t="shared" si="10"/>
        <v>--</v>
      </c>
      <c r="AB24" s="444">
        <f t="shared" si="11"/>
      </c>
      <c r="AC24" s="445">
        <f t="shared" si="15"/>
      </c>
      <c r="AD24" s="99"/>
    </row>
    <row r="25" spans="1:30" s="8" customFormat="1" ht="16.5" customHeight="1">
      <c r="A25" s="89"/>
      <c r="B25" s="292"/>
      <c r="C25" s="150"/>
      <c r="D25" s="150"/>
      <c r="E25" s="150"/>
      <c r="F25" s="362"/>
      <c r="G25" s="363"/>
      <c r="H25" s="364"/>
      <c r="I25" s="365"/>
      <c r="J25" s="366">
        <f t="shared" si="12"/>
        <v>0</v>
      </c>
      <c r="K25" s="367"/>
      <c r="L25" s="367"/>
      <c r="M25" s="368">
        <f t="shared" si="13"/>
      </c>
      <c r="N25" s="369">
        <f t="shared" si="14"/>
      </c>
      <c r="O25" s="370"/>
      <c r="P25" s="274">
        <f t="shared" si="0"/>
      </c>
      <c r="Q25" s="371">
        <f t="shared" si="16"/>
      </c>
      <c r="R25" s="180">
        <f t="shared" si="1"/>
      </c>
      <c r="S25" s="372">
        <f t="shared" si="2"/>
        <v>20</v>
      </c>
      <c r="T25" s="427" t="str">
        <f t="shared" si="3"/>
        <v>--</v>
      </c>
      <c r="U25" s="428" t="str">
        <f t="shared" si="4"/>
        <v>--</v>
      </c>
      <c r="V25" s="375" t="str">
        <f t="shared" si="5"/>
        <v>--</v>
      </c>
      <c r="W25" s="376" t="str">
        <f t="shared" si="6"/>
        <v>--</v>
      </c>
      <c r="X25" s="377" t="str">
        <f t="shared" si="7"/>
        <v>--</v>
      </c>
      <c r="Y25" s="378" t="str">
        <f t="shared" si="8"/>
        <v>--</v>
      </c>
      <c r="Z25" s="379" t="str">
        <f t="shared" si="9"/>
        <v>--</v>
      </c>
      <c r="AA25" s="380" t="str">
        <f t="shared" si="10"/>
        <v>--</v>
      </c>
      <c r="AB25" s="444">
        <f t="shared" si="11"/>
      </c>
      <c r="AC25" s="445">
        <f t="shared" si="15"/>
      </c>
      <c r="AD25" s="99"/>
    </row>
    <row r="26" spans="1:31" s="8" customFormat="1" ht="16.5" customHeight="1">
      <c r="A26" s="89"/>
      <c r="B26" s="292"/>
      <c r="C26" s="150"/>
      <c r="D26" s="150"/>
      <c r="E26" s="169"/>
      <c r="F26" s="362"/>
      <c r="G26" s="363"/>
      <c r="H26" s="364"/>
      <c r="I26" s="365"/>
      <c r="J26" s="366">
        <f t="shared" si="12"/>
        <v>0</v>
      </c>
      <c r="K26" s="367"/>
      <c r="L26" s="367"/>
      <c r="M26" s="368">
        <f t="shared" si="13"/>
      </c>
      <c r="N26" s="369">
        <f t="shared" si="14"/>
      </c>
      <c r="O26" s="370"/>
      <c r="P26" s="274">
        <f t="shared" si="0"/>
      </c>
      <c r="Q26" s="371">
        <f t="shared" si="16"/>
      </c>
      <c r="R26" s="180">
        <f t="shared" si="1"/>
      </c>
      <c r="S26" s="372">
        <f t="shared" si="2"/>
        <v>20</v>
      </c>
      <c r="T26" s="427" t="str">
        <f t="shared" si="3"/>
        <v>--</v>
      </c>
      <c r="U26" s="428" t="str">
        <f t="shared" si="4"/>
        <v>--</v>
      </c>
      <c r="V26" s="375" t="str">
        <f t="shared" si="5"/>
        <v>--</v>
      </c>
      <c r="W26" s="376" t="str">
        <f t="shared" si="6"/>
        <v>--</v>
      </c>
      <c r="X26" s="377" t="str">
        <f t="shared" si="7"/>
        <v>--</v>
      </c>
      <c r="Y26" s="378" t="str">
        <f t="shared" si="8"/>
        <v>--</v>
      </c>
      <c r="Z26" s="379" t="str">
        <f t="shared" si="9"/>
        <v>--</v>
      </c>
      <c r="AA26" s="380" t="str">
        <f t="shared" si="10"/>
        <v>--</v>
      </c>
      <c r="AB26" s="444">
        <f t="shared" si="11"/>
      </c>
      <c r="AC26" s="445">
        <f t="shared" si="15"/>
      </c>
      <c r="AD26" s="99"/>
      <c r="AE26" s="83"/>
    </row>
    <row r="27" spans="1:30" s="8" customFormat="1" ht="16.5" customHeight="1">
      <c r="A27" s="89"/>
      <c r="B27" s="292"/>
      <c r="C27" s="150"/>
      <c r="D27" s="150"/>
      <c r="E27" s="150"/>
      <c r="F27" s="362"/>
      <c r="G27" s="363"/>
      <c r="H27" s="364"/>
      <c r="I27" s="365"/>
      <c r="J27" s="366">
        <f t="shared" si="12"/>
        <v>0</v>
      </c>
      <c r="K27" s="367"/>
      <c r="L27" s="367"/>
      <c r="M27" s="368">
        <f t="shared" si="13"/>
      </c>
      <c r="N27" s="369">
        <f t="shared" si="14"/>
      </c>
      <c r="O27" s="370"/>
      <c r="P27" s="274">
        <f t="shared" si="0"/>
      </c>
      <c r="Q27" s="371">
        <f t="shared" si="16"/>
      </c>
      <c r="R27" s="180">
        <f t="shared" si="1"/>
      </c>
      <c r="S27" s="372">
        <f t="shared" si="2"/>
        <v>20</v>
      </c>
      <c r="T27" s="427" t="str">
        <f t="shared" si="3"/>
        <v>--</v>
      </c>
      <c r="U27" s="428" t="str">
        <f t="shared" si="4"/>
        <v>--</v>
      </c>
      <c r="V27" s="375" t="str">
        <f t="shared" si="5"/>
        <v>--</v>
      </c>
      <c r="W27" s="376" t="str">
        <f t="shared" si="6"/>
        <v>--</v>
      </c>
      <c r="X27" s="377" t="str">
        <f t="shared" si="7"/>
        <v>--</v>
      </c>
      <c r="Y27" s="378" t="str">
        <f t="shared" si="8"/>
        <v>--</v>
      </c>
      <c r="Z27" s="379" t="str">
        <f t="shared" si="9"/>
        <v>--</v>
      </c>
      <c r="AA27" s="380" t="str">
        <f t="shared" si="10"/>
        <v>--</v>
      </c>
      <c r="AB27" s="444">
        <f t="shared" si="11"/>
      </c>
      <c r="AC27" s="445">
        <f t="shared" si="15"/>
      </c>
      <c r="AD27" s="99"/>
    </row>
    <row r="28" spans="1:30" s="8" customFormat="1" ht="16.5" customHeight="1">
      <c r="A28" s="89"/>
      <c r="B28" s="292"/>
      <c r="C28" s="150"/>
      <c r="D28" s="150"/>
      <c r="E28" s="169"/>
      <c r="F28" s="362"/>
      <c r="G28" s="363"/>
      <c r="H28" s="364"/>
      <c r="I28" s="365"/>
      <c r="J28" s="366">
        <f t="shared" si="12"/>
        <v>0</v>
      </c>
      <c r="K28" s="367"/>
      <c r="L28" s="367"/>
      <c r="M28" s="368">
        <f t="shared" si="13"/>
      </c>
      <c r="N28" s="369">
        <f t="shared" si="14"/>
      </c>
      <c r="O28" s="370"/>
      <c r="P28" s="274">
        <f t="shared" si="0"/>
      </c>
      <c r="Q28" s="371">
        <f t="shared" si="16"/>
      </c>
      <c r="R28" s="180">
        <f t="shared" si="1"/>
      </c>
      <c r="S28" s="372">
        <f t="shared" si="2"/>
        <v>20</v>
      </c>
      <c r="T28" s="427" t="str">
        <f t="shared" si="3"/>
        <v>--</v>
      </c>
      <c r="U28" s="428" t="str">
        <f t="shared" si="4"/>
        <v>--</v>
      </c>
      <c r="V28" s="375" t="str">
        <f t="shared" si="5"/>
        <v>--</v>
      </c>
      <c r="W28" s="376" t="str">
        <f t="shared" si="6"/>
        <v>--</v>
      </c>
      <c r="X28" s="377" t="str">
        <f t="shared" si="7"/>
        <v>--</v>
      </c>
      <c r="Y28" s="378" t="str">
        <f t="shared" si="8"/>
        <v>--</v>
      </c>
      <c r="Z28" s="379" t="str">
        <f t="shared" si="9"/>
        <v>--</v>
      </c>
      <c r="AA28" s="380" t="str">
        <f t="shared" si="10"/>
        <v>--</v>
      </c>
      <c r="AB28" s="444">
        <f t="shared" si="11"/>
      </c>
      <c r="AC28" s="445">
        <f t="shared" si="15"/>
      </c>
      <c r="AD28" s="99"/>
    </row>
    <row r="29" spans="1:30" s="8" customFormat="1" ht="16.5" customHeight="1">
      <c r="A29" s="89"/>
      <c r="B29" s="292"/>
      <c r="C29" s="150"/>
      <c r="D29" s="150"/>
      <c r="E29" s="150"/>
      <c r="F29" s="362"/>
      <c r="G29" s="363"/>
      <c r="H29" s="364"/>
      <c r="I29" s="365"/>
      <c r="J29" s="366">
        <f t="shared" si="12"/>
        <v>0</v>
      </c>
      <c r="K29" s="367"/>
      <c r="L29" s="367"/>
      <c r="M29" s="368">
        <f t="shared" si="13"/>
      </c>
      <c r="N29" s="369">
        <f t="shared" si="14"/>
      </c>
      <c r="O29" s="370"/>
      <c r="P29" s="274">
        <f t="shared" si="0"/>
      </c>
      <c r="Q29" s="371">
        <f t="shared" si="16"/>
      </c>
      <c r="R29" s="180">
        <f t="shared" si="1"/>
      </c>
      <c r="S29" s="372">
        <f t="shared" si="2"/>
        <v>20</v>
      </c>
      <c r="T29" s="427" t="str">
        <f t="shared" si="3"/>
        <v>--</v>
      </c>
      <c r="U29" s="428" t="str">
        <f t="shared" si="4"/>
        <v>--</v>
      </c>
      <c r="V29" s="375" t="str">
        <f t="shared" si="5"/>
        <v>--</v>
      </c>
      <c r="W29" s="376" t="str">
        <f t="shared" si="6"/>
        <v>--</v>
      </c>
      <c r="X29" s="377" t="str">
        <f t="shared" si="7"/>
        <v>--</v>
      </c>
      <c r="Y29" s="378" t="str">
        <f t="shared" si="8"/>
        <v>--</v>
      </c>
      <c r="Z29" s="379" t="str">
        <f t="shared" si="9"/>
        <v>--</v>
      </c>
      <c r="AA29" s="380" t="str">
        <f t="shared" si="10"/>
        <v>--</v>
      </c>
      <c r="AB29" s="444">
        <f t="shared" si="11"/>
      </c>
      <c r="AC29" s="445">
        <f t="shared" si="15"/>
      </c>
      <c r="AD29" s="99"/>
    </row>
    <row r="30" spans="1:30" s="8" customFormat="1" ht="16.5" customHeight="1">
      <c r="A30" s="89"/>
      <c r="B30" s="292"/>
      <c r="C30" s="150"/>
      <c r="D30" s="150"/>
      <c r="E30" s="169"/>
      <c r="F30" s="362"/>
      <c r="G30" s="382"/>
      <c r="H30" s="364"/>
      <c r="I30" s="365"/>
      <c r="J30" s="366">
        <f t="shared" si="12"/>
        <v>0</v>
      </c>
      <c r="K30" s="367"/>
      <c r="L30" s="367"/>
      <c r="M30" s="368">
        <f t="shared" si="13"/>
      </c>
      <c r="N30" s="369">
        <f t="shared" si="14"/>
      </c>
      <c r="O30" s="370"/>
      <c r="P30" s="274">
        <f t="shared" si="0"/>
      </c>
      <c r="Q30" s="371">
        <f t="shared" si="16"/>
      </c>
      <c r="R30" s="180">
        <f t="shared" si="1"/>
      </c>
      <c r="S30" s="372">
        <f t="shared" si="2"/>
        <v>20</v>
      </c>
      <c r="T30" s="427" t="str">
        <f t="shared" si="3"/>
        <v>--</v>
      </c>
      <c r="U30" s="428" t="str">
        <f t="shared" si="4"/>
        <v>--</v>
      </c>
      <c r="V30" s="375" t="str">
        <f t="shared" si="5"/>
        <v>--</v>
      </c>
      <c r="W30" s="376" t="str">
        <f t="shared" si="6"/>
        <v>--</v>
      </c>
      <c r="X30" s="377" t="str">
        <f t="shared" si="7"/>
        <v>--</v>
      </c>
      <c r="Y30" s="378" t="str">
        <f t="shared" si="8"/>
        <v>--</v>
      </c>
      <c r="Z30" s="379" t="str">
        <f t="shared" si="9"/>
        <v>--</v>
      </c>
      <c r="AA30" s="380" t="str">
        <f t="shared" si="10"/>
        <v>--</v>
      </c>
      <c r="AB30" s="444">
        <f t="shared" si="11"/>
      </c>
      <c r="AC30" s="445">
        <f t="shared" si="15"/>
      </c>
      <c r="AD30" s="99"/>
    </row>
    <row r="31" spans="1:30" s="8" customFormat="1" ht="16.5" customHeight="1">
      <c r="A31" s="89"/>
      <c r="B31" s="292"/>
      <c r="C31" s="150"/>
      <c r="D31" s="150"/>
      <c r="E31" s="150"/>
      <c r="F31" s="362"/>
      <c r="G31" s="382"/>
      <c r="H31" s="364"/>
      <c r="I31" s="365"/>
      <c r="J31" s="366">
        <f t="shared" si="12"/>
        <v>0</v>
      </c>
      <c r="K31" s="367"/>
      <c r="L31" s="367"/>
      <c r="M31" s="368">
        <f t="shared" si="13"/>
      </c>
      <c r="N31" s="369">
        <f t="shared" si="14"/>
      </c>
      <c r="O31" s="370"/>
      <c r="P31" s="274">
        <f t="shared" si="0"/>
      </c>
      <c r="Q31" s="371">
        <f t="shared" si="16"/>
      </c>
      <c r="R31" s="180">
        <f t="shared" si="1"/>
      </c>
      <c r="S31" s="372">
        <f t="shared" si="2"/>
        <v>20</v>
      </c>
      <c r="T31" s="427" t="str">
        <f t="shared" si="3"/>
        <v>--</v>
      </c>
      <c r="U31" s="428" t="str">
        <f t="shared" si="4"/>
        <v>--</v>
      </c>
      <c r="V31" s="375" t="str">
        <f t="shared" si="5"/>
        <v>--</v>
      </c>
      <c r="W31" s="376" t="str">
        <f t="shared" si="6"/>
        <v>--</v>
      </c>
      <c r="X31" s="377" t="str">
        <f t="shared" si="7"/>
        <v>--</v>
      </c>
      <c r="Y31" s="378" t="str">
        <f t="shared" si="8"/>
        <v>--</v>
      </c>
      <c r="Z31" s="379" t="str">
        <f t="shared" si="9"/>
        <v>--</v>
      </c>
      <c r="AA31" s="380" t="str">
        <f t="shared" si="10"/>
        <v>--</v>
      </c>
      <c r="AB31" s="444">
        <f t="shared" si="11"/>
      </c>
      <c r="AC31" s="445">
        <f t="shared" si="15"/>
      </c>
      <c r="AD31" s="99"/>
    </row>
    <row r="32" spans="1:30" s="8" customFormat="1" ht="16.5" customHeight="1">
      <c r="A32" s="89"/>
      <c r="B32" s="292"/>
      <c r="C32" s="150"/>
      <c r="D32" s="150"/>
      <c r="E32" s="169"/>
      <c r="F32" s="362"/>
      <c r="G32" s="382"/>
      <c r="H32" s="364"/>
      <c r="I32" s="365"/>
      <c r="J32" s="366">
        <f t="shared" si="12"/>
        <v>0</v>
      </c>
      <c r="K32" s="367"/>
      <c r="L32" s="367"/>
      <c r="M32" s="368">
        <f t="shared" si="13"/>
      </c>
      <c r="N32" s="369">
        <f t="shared" si="14"/>
      </c>
      <c r="O32" s="370"/>
      <c r="P32" s="274">
        <f t="shared" si="0"/>
      </c>
      <c r="Q32" s="371">
        <f t="shared" si="16"/>
      </c>
      <c r="R32" s="180">
        <f t="shared" si="1"/>
      </c>
      <c r="S32" s="372">
        <f t="shared" si="2"/>
        <v>20</v>
      </c>
      <c r="T32" s="427" t="str">
        <f t="shared" si="3"/>
        <v>--</v>
      </c>
      <c r="U32" s="428" t="str">
        <f t="shared" si="4"/>
        <v>--</v>
      </c>
      <c r="V32" s="375" t="str">
        <f t="shared" si="5"/>
        <v>--</v>
      </c>
      <c r="W32" s="376" t="str">
        <f t="shared" si="6"/>
        <v>--</v>
      </c>
      <c r="X32" s="377" t="str">
        <f t="shared" si="7"/>
        <v>--</v>
      </c>
      <c r="Y32" s="378" t="str">
        <f t="shared" si="8"/>
        <v>--</v>
      </c>
      <c r="Z32" s="379" t="str">
        <f t="shared" si="9"/>
        <v>--</v>
      </c>
      <c r="AA32" s="380" t="str">
        <f t="shared" si="10"/>
        <v>--</v>
      </c>
      <c r="AB32" s="444">
        <f t="shared" si="11"/>
      </c>
      <c r="AC32" s="445">
        <f t="shared" si="15"/>
      </c>
      <c r="AD32" s="99"/>
    </row>
    <row r="33" spans="1:30" s="8" customFormat="1" ht="16.5" customHeight="1">
      <c r="A33" s="89"/>
      <c r="B33" s="292"/>
      <c r="C33" s="150"/>
      <c r="D33" s="150"/>
      <c r="E33" s="150"/>
      <c r="F33" s="362"/>
      <c r="G33" s="382"/>
      <c r="H33" s="364"/>
      <c r="I33" s="365"/>
      <c r="J33" s="366">
        <f t="shared" si="12"/>
        <v>0</v>
      </c>
      <c r="K33" s="367"/>
      <c r="L33" s="367"/>
      <c r="M33" s="368">
        <f t="shared" si="13"/>
      </c>
      <c r="N33" s="369">
        <f t="shared" si="14"/>
      </c>
      <c r="O33" s="370"/>
      <c r="P33" s="274">
        <f t="shared" si="0"/>
      </c>
      <c r="Q33" s="371">
        <f t="shared" si="16"/>
      </c>
      <c r="R33" s="180">
        <f t="shared" si="1"/>
      </c>
      <c r="S33" s="372">
        <f t="shared" si="2"/>
        <v>20</v>
      </c>
      <c r="T33" s="427" t="str">
        <f t="shared" si="3"/>
        <v>--</v>
      </c>
      <c r="U33" s="428" t="str">
        <f t="shared" si="4"/>
        <v>--</v>
      </c>
      <c r="V33" s="375" t="str">
        <f t="shared" si="5"/>
        <v>--</v>
      </c>
      <c r="W33" s="376" t="str">
        <f t="shared" si="6"/>
        <v>--</v>
      </c>
      <c r="X33" s="377" t="str">
        <f t="shared" si="7"/>
        <v>--</v>
      </c>
      <c r="Y33" s="378" t="str">
        <f t="shared" si="8"/>
        <v>--</v>
      </c>
      <c r="Z33" s="379" t="str">
        <f t="shared" si="9"/>
        <v>--</v>
      </c>
      <c r="AA33" s="380" t="str">
        <f t="shared" si="10"/>
        <v>--</v>
      </c>
      <c r="AB33" s="444">
        <f t="shared" si="11"/>
      </c>
      <c r="AC33" s="445">
        <f t="shared" si="15"/>
      </c>
      <c r="AD33" s="99"/>
    </row>
    <row r="34" spans="1:30" s="8" customFormat="1" ht="16.5" customHeight="1">
      <c r="A34" s="89"/>
      <c r="B34" s="292"/>
      <c r="C34" s="150"/>
      <c r="D34" s="150"/>
      <c r="E34" s="169"/>
      <c r="F34" s="362"/>
      <c r="G34" s="382"/>
      <c r="H34" s="364"/>
      <c r="I34" s="365"/>
      <c r="J34" s="366">
        <f t="shared" si="12"/>
        <v>0</v>
      </c>
      <c r="K34" s="367"/>
      <c r="L34" s="367"/>
      <c r="M34" s="368">
        <f t="shared" si="13"/>
      </c>
      <c r="N34" s="369">
        <f t="shared" si="14"/>
      </c>
      <c r="O34" s="370"/>
      <c r="P34" s="274">
        <f t="shared" si="0"/>
      </c>
      <c r="Q34" s="371">
        <f t="shared" si="16"/>
      </c>
      <c r="R34" s="180">
        <f t="shared" si="1"/>
      </c>
      <c r="S34" s="372">
        <f t="shared" si="2"/>
        <v>20</v>
      </c>
      <c r="T34" s="427" t="str">
        <f t="shared" si="3"/>
        <v>--</v>
      </c>
      <c r="U34" s="428" t="str">
        <f t="shared" si="4"/>
        <v>--</v>
      </c>
      <c r="V34" s="375" t="str">
        <f t="shared" si="5"/>
        <v>--</v>
      </c>
      <c r="W34" s="376" t="str">
        <f t="shared" si="6"/>
        <v>--</v>
      </c>
      <c r="X34" s="377" t="str">
        <f t="shared" si="7"/>
        <v>--</v>
      </c>
      <c r="Y34" s="378" t="str">
        <f t="shared" si="8"/>
        <v>--</v>
      </c>
      <c r="Z34" s="379" t="str">
        <f t="shared" si="9"/>
        <v>--</v>
      </c>
      <c r="AA34" s="380" t="str">
        <f t="shared" si="10"/>
        <v>--</v>
      </c>
      <c r="AB34" s="444">
        <f t="shared" si="11"/>
      </c>
      <c r="AC34" s="445">
        <f t="shared" si="15"/>
      </c>
      <c r="AD34" s="99"/>
    </row>
    <row r="35" spans="1:30" s="8" customFormat="1" ht="16.5" customHeight="1">
      <c r="A35" s="89"/>
      <c r="B35" s="292"/>
      <c r="C35" s="150"/>
      <c r="D35" s="150"/>
      <c r="E35" s="150"/>
      <c r="F35" s="362"/>
      <c r="G35" s="382"/>
      <c r="H35" s="364"/>
      <c r="I35" s="365"/>
      <c r="J35" s="366">
        <f t="shared" si="12"/>
        <v>0</v>
      </c>
      <c r="K35" s="367"/>
      <c r="L35" s="367"/>
      <c r="M35" s="368">
        <f t="shared" si="13"/>
      </c>
      <c r="N35" s="369">
        <f t="shared" si="14"/>
      </c>
      <c r="O35" s="370"/>
      <c r="P35" s="274">
        <f t="shared" si="0"/>
      </c>
      <c r="Q35" s="371">
        <f t="shared" si="16"/>
      </c>
      <c r="R35" s="180">
        <f t="shared" si="1"/>
      </c>
      <c r="S35" s="372">
        <f t="shared" si="2"/>
        <v>20</v>
      </c>
      <c r="T35" s="427" t="str">
        <f t="shared" si="3"/>
        <v>--</v>
      </c>
      <c r="U35" s="428" t="str">
        <f t="shared" si="4"/>
        <v>--</v>
      </c>
      <c r="V35" s="375" t="str">
        <f t="shared" si="5"/>
        <v>--</v>
      </c>
      <c r="W35" s="376" t="str">
        <f t="shared" si="6"/>
        <v>--</v>
      </c>
      <c r="X35" s="377" t="str">
        <f t="shared" si="7"/>
        <v>--</v>
      </c>
      <c r="Y35" s="378" t="str">
        <f t="shared" si="8"/>
        <v>--</v>
      </c>
      <c r="Z35" s="379" t="str">
        <f t="shared" si="9"/>
        <v>--</v>
      </c>
      <c r="AA35" s="380" t="str">
        <f t="shared" si="10"/>
        <v>--</v>
      </c>
      <c r="AB35" s="444">
        <f t="shared" si="11"/>
      </c>
      <c r="AC35" s="445">
        <f t="shared" si="15"/>
      </c>
      <c r="AD35" s="99"/>
    </row>
    <row r="36" spans="1:30" s="8" customFormat="1" ht="16.5" customHeight="1">
      <c r="A36" s="89"/>
      <c r="B36" s="292"/>
      <c r="C36" s="150"/>
      <c r="D36" s="150"/>
      <c r="E36" s="169"/>
      <c r="F36" s="362"/>
      <c r="G36" s="382"/>
      <c r="H36" s="364"/>
      <c r="I36" s="365"/>
      <c r="J36" s="366">
        <f t="shared" si="12"/>
        <v>0</v>
      </c>
      <c r="K36" s="367"/>
      <c r="L36" s="367"/>
      <c r="M36" s="368">
        <f t="shared" si="13"/>
      </c>
      <c r="N36" s="369">
        <f t="shared" si="14"/>
      </c>
      <c r="O36" s="370"/>
      <c r="P36" s="274">
        <f t="shared" si="0"/>
      </c>
      <c r="Q36" s="371">
        <f t="shared" si="16"/>
      </c>
      <c r="R36" s="180">
        <f t="shared" si="1"/>
      </c>
      <c r="S36" s="372">
        <f t="shared" si="2"/>
        <v>20</v>
      </c>
      <c r="T36" s="427" t="str">
        <f t="shared" si="3"/>
        <v>--</v>
      </c>
      <c r="U36" s="428" t="str">
        <f t="shared" si="4"/>
        <v>--</v>
      </c>
      <c r="V36" s="375" t="str">
        <f t="shared" si="5"/>
        <v>--</v>
      </c>
      <c r="W36" s="376" t="str">
        <f t="shared" si="6"/>
        <v>--</v>
      </c>
      <c r="X36" s="377" t="str">
        <f t="shared" si="7"/>
        <v>--</v>
      </c>
      <c r="Y36" s="378" t="str">
        <f t="shared" si="8"/>
        <v>--</v>
      </c>
      <c r="Z36" s="379" t="str">
        <f t="shared" si="9"/>
        <v>--</v>
      </c>
      <c r="AA36" s="380" t="str">
        <f t="shared" si="10"/>
        <v>--</v>
      </c>
      <c r="AB36" s="444">
        <f t="shared" si="11"/>
      </c>
      <c r="AC36" s="445">
        <f t="shared" si="15"/>
      </c>
      <c r="AD36" s="99"/>
    </row>
    <row r="37" spans="1:30" s="8" customFormat="1" ht="16.5" customHeight="1">
      <c r="A37" s="89"/>
      <c r="B37" s="292"/>
      <c r="C37" s="150"/>
      <c r="D37" s="150"/>
      <c r="E37" s="150"/>
      <c r="F37" s="362"/>
      <c r="G37" s="382"/>
      <c r="H37" s="364"/>
      <c r="I37" s="365"/>
      <c r="J37" s="366">
        <f t="shared" si="12"/>
        <v>0</v>
      </c>
      <c r="K37" s="367"/>
      <c r="L37" s="367"/>
      <c r="M37" s="368">
        <f t="shared" si="13"/>
      </c>
      <c r="N37" s="369">
        <f t="shared" si="14"/>
      </c>
      <c r="O37" s="370"/>
      <c r="P37" s="274">
        <f t="shared" si="0"/>
      </c>
      <c r="Q37" s="371">
        <f t="shared" si="16"/>
      </c>
      <c r="R37" s="180">
        <f t="shared" si="1"/>
      </c>
      <c r="S37" s="372">
        <f t="shared" si="2"/>
        <v>20</v>
      </c>
      <c r="T37" s="427" t="str">
        <f t="shared" si="3"/>
        <v>--</v>
      </c>
      <c r="U37" s="428" t="str">
        <f t="shared" si="4"/>
        <v>--</v>
      </c>
      <c r="V37" s="375" t="str">
        <f t="shared" si="5"/>
        <v>--</v>
      </c>
      <c r="W37" s="376" t="str">
        <f t="shared" si="6"/>
        <v>--</v>
      </c>
      <c r="X37" s="377" t="str">
        <f t="shared" si="7"/>
        <v>--</v>
      </c>
      <c r="Y37" s="378" t="str">
        <f t="shared" si="8"/>
        <v>--</v>
      </c>
      <c r="Z37" s="379" t="str">
        <f t="shared" si="9"/>
        <v>--</v>
      </c>
      <c r="AA37" s="380" t="str">
        <f t="shared" si="10"/>
        <v>--</v>
      </c>
      <c r="AB37" s="444">
        <f t="shared" si="11"/>
      </c>
      <c r="AC37" s="445">
        <f t="shared" si="15"/>
      </c>
      <c r="AD37" s="99"/>
    </row>
    <row r="38" spans="1:30" s="8" customFormat="1" ht="16.5" customHeight="1">
      <c r="A38" s="89"/>
      <c r="B38" s="292"/>
      <c r="C38" s="150"/>
      <c r="D38" s="150"/>
      <c r="E38" s="169"/>
      <c r="F38" s="362"/>
      <c r="G38" s="382"/>
      <c r="H38" s="364"/>
      <c r="I38" s="365"/>
      <c r="J38" s="366">
        <f t="shared" si="12"/>
        <v>0</v>
      </c>
      <c r="K38" s="367"/>
      <c r="L38" s="367"/>
      <c r="M38" s="368">
        <f t="shared" si="13"/>
      </c>
      <c r="N38" s="369">
        <f t="shared" si="14"/>
      </c>
      <c r="O38" s="370"/>
      <c r="P38" s="274">
        <f t="shared" si="0"/>
      </c>
      <c r="Q38" s="371">
        <f t="shared" si="16"/>
      </c>
      <c r="R38" s="180">
        <f t="shared" si="1"/>
      </c>
      <c r="S38" s="372">
        <f t="shared" si="2"/>
        <v>20</v>
      </c>
      <c r="T38" s="427" t="str">
        <f t="shared" si="3"/>
        <v>--</v>
      </c>
      <c r="U38" s="428" t="str">
        <f t="shared" si="4"/>
        <v>--</v>
      </c>
      <c r="V38" s="375" t="str">
        <f t="shared" si="5"/>
        <v>--</v>
      </c>
      <c r="W38" s="376" t="str">
        <f t="shared" si="6"/>
        <v>--</v>
      </c>
      <c r="X38" s="377" t="str">
        <f t="shared" si="7"/>
        <v>--</v>
      </c>
      <c r="Y38" s="378" t="str">
        <f t="shared" si="8"/>
        <v>--</v>
      </c>
      <c r="Z38" s="379" t="str">
        <f t="shared" si="9"/>
        <v>--</v>
      </c>
      <c r="AA38" s="380" t="str">
        <f t="shared" si="10"/>
        <v>--</v>
      </c>
      <c r="AB38" s="444">
        <f t="shared" si="11"/>
      </c>
      <c r="AC38" s="445">
        <f t="shared" si="15"/>
      </c>
      <c r="AD38" s="99"/>
    </row>
    <row r="39" spans="1:30" s="8" customFormat="1" ht="16.5" customHeight="1">
      <c r="A39" s="89"/>
      <c r="B39" s="292"/>
      <c r="C39" s="150"/>
      <c r="D39" s="150"/>
      <c r="E39" s="150"/>
      <c r="F39" s="362"/>
      <c r="G39" s="382"/>
      <c r="H39" s="364"/>
      <c r="I39" s="365"/>
      <c r="J39" s="366">
        <f t="shared" si="12"/>
        <v>0</v>
      </c>
      <c r="K39" s="367"/>
      <c r="L39" s="367"/>
      <c r="M39" s="368">
        <f t="shared" si="13"/>
      </c>
      <c r="N39" s="369">
        <f t="shared" si="14"/>
      </c>
      <c r="O39" s="370"/>
      <c r="P39" s="274">
        <f t="shared" si="0"/>
      </c>
      <c r="Q39" s="371">
        <f t="shared" si="16"/>
      </c>
      <c r="R39" s="180">
        <f t="shared" si="1"/>
      </c>
      <c r="S39" s="372">
        <f t="shared" si="2"/>
        <v>20</v>
      </c>
      <c r="T39" s="427" t="str">
        <f t="shared" si="3"/>
        <v>--</v>
      </c>
      <c r="U39" s="428" t="str">
        <f t="shared" si="4"/>
        <v>--</v>
      </c>
      <c r="V39" s="375" t="str">
        <f t="shared" si="5"/>
        <v>--</v>
      </c>
      <c r="W39" s="376" t="str">
        <f t="shared" si="6"/>
        <v>--</v>
      </c>
      <c r="X39" s="377" t="str">
        <f t="shared" si="7"/>
        <v>--</v>
      </c>
      <c r="Y39" s="378" t="str">
        <f t="shared" si="8"/>
        <v>--</v>
      </c>
      <c r="Z39" s="379" t="str">
        <f t="shared" si="9"/>
        <v>--</v>
      </c>
      <c r="AA39" s="380" t="str">
        <f t="shared" si="10"/>
        <v>--</v>
      </c>
      <c r="AB39" s="444">
        <f t="shared" si="11"/>
      </c>
      <c r="AC39" s="445">
        <f t="shared" si="15"/>
      </c>
      <c r="AD39" s="99"/>
    </row>
    <row r="40" spans="1:30" s="8" customFormat="1" ht="16.5" customHeight="1" thickBot="1">
      <c r="A40" s="89"/>
      <c r="B40" s="292"/>
      <c r="C40" s="383"/>
      <c r="D40" s="383"/>
      <c r="E40" s="383"/>
      <c r="F40" s="383"/>
      <c r="G40" s="383"/>
      <c r="H40" s="383"/>
      <c r="I40" s="385"/>
      <c r="J40" s="386"/>
      <c r="K40" s="387"/>
      <c r="L40" s="388"/>
      <c r="M40" s="389"/>
      <c r="N40" s="390"/>
      <c r="O40" s="391"/>
      <c r="P40" s="216"/>
      <c r="Q40" s="392"/>
      <c r="R40" s="391"/>
      <c r="S40" s="446"/>
      <c r="T40" s="430"/>
      <c r="U40" s="431"/>
      <c r="V40" s="432"/>
      <c r="W40" s="433"/>
      <c r="X40" s="434"/>
      <c r="Y40" s="435"/>
      <c r="Z40" s="436"/>
      <c r="AA40" s="437"/>
      <c r="AB40" s="438"/>
      <c r="AC40" s="403"/>
      <c r="AD40" s="99"/>
    </row>
    <row r="41" spans="1:30" s="8" customFormat="1" ht="16.5" customHeight="1" thickBot="1" thickTop="1">
      <c r="A41" s="89"/>
      <c r="B41" s="292"/>
      <c r="C41" s="625" t="s">
        <v>327</v>
      </c>
      <c r="D41" s="1328" t="s">
        <v>341</v>
      </c>
      <c r="E41" s="229"/>
      <c r="F41" s="231"/>
      <c r="G41" s="83"/>
      <c r="H41" s="83"/>
      <c r="I41" s="83"/>
      <c r="J41" s="83"/>
      <c r="K41" s="83"/>
      <c r="L41" s="319"/>
      <c r="M41" s="83"/>
      <c r="N41" s="83"/>
      <c r="O41" s="83"/>
      <c r="P41" s="83"/>
      <c r="Q41" s="83"/>
      <c r="R41" s="83"/>
      <c r="S41" s="83"/>
      <c r="T41" s="404">
        <f aca="true" t="shared" si="17" ref="T41:AA41">SUM(T18:T40)</f>
        <v>1681.164</v>
      </c>
      <c r="U41" s="405">
        <f t="shared" si="17"/>
        <v>0</v>
      </c>
      <c r="V41" s="406">
        <f t="shared" si="17"/>
        <v>0</v>
      </c>
      <c r="W41" s="407">
        <f t="shared" si="17"/>
        <v>0</v>
      </c>
      <c r="X41" s="408">
        <f t="shared" si="17"/>
        <v>0</v>
      </c>
      <c r="Y41" s="409">
        <f t="shared" si="17"/>
        <v>0</v>
      </c>
      <c r="Z41" s="410">
        <f t="shared" si="17"/>
        <v>0</v>
      </c>
      <c r="AA41" s="411">
        <f t="shared" si="17"/>
        <v>0</v>
      </c>
      <c r="AB41" s="89"/>
      <c r="AC41" s="412">
        <f>ROUND(SUM(AC18:AC40),2)</f>
        <v>1681.16</v>
      </c>
      <c r="AD41" s="99"/>
    </row>
    <row r="42" spans="1:30" s="8" customFormat="1" ht="16.5" customHeight="1" thickBot="1" thickTop="1">
      <c r="A42" s="89"/>
      <c r="B42" s="413"/>
      <c r="C42" s="414"/>
      <c r="D42" s="414"/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414"/>
      <c r="S42" s="414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5"/>
    </row>
    <row r="43" spans="1:31" ht="16.5" customHeight="1" thickTop="1">
      <c r="A43" s="416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17"/>
      <c r="V43" s="417"/>
      <c r="W43" s="417"/>
      <c r="X43" s="417"/>
      <c r="Y43" s="417"/>
      <c r="Z43" s="417"/>
      <c r="AA43" s="417"/>
      <c r="AB43" s="417"/>
      <c r="AC43" s="417"/>
      <c r="AD43" s="417"/>
      <c r="AE43" s="417"/>
    </row>
    <row r="44" spans="1:31" ht="16.5" customHeight="1">
      <c r="A44" s="416"/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7"/>
      <c r="R44" s="417"/>
      <c r="S44" s="417"/>
      <c r="T44" s="417"/>
      <c r="U44" s="417"/>
      <c r="V44" s="417"/>
      <c r="W44" s="417"/>
      <c r="X44" s="417"/>
      <c r="Y44" s="417"/>
      <c r="Z44" s="417"/>
      <c r="AA44" s="417"/>
      <c r="AB44" s="417"/>
      <c r="AC44" s="417"/>
      <c r="AD44" s="417"/>
      <c r="AE44" s="417"/>
    </row>
    <row r="45" spans="1:31" ht="16.5" customHeight="1">
      <c r="A45" s="416"/>
      <c r="F45" s="417"/>
      <c r="G45" s="417"/>
      <c r="H45" s="417"/>
      <c r="I45" s="417"/>
      <c r="J45" s="417"/>
      <c r="K45" s="417"/>
      <c r="L45" s="417"/>
      <c r="M45" s="417"/>
      <c r="N45" s="417"/>
      <c r="O45" s="417"/>
      <c r="P45" s="417"/>
      <c r="Q45" s="417"/>
      <c r="R45" s="417"/>
      <c r="S45" s="417"/>
      <c r="T45" s="417"/>
      <c r="U45" s="417"/>
      <c r="V45" s="417"/>
      <c r="W45" s="417"/>
      <c r="X45" s="417"/>
      <c r="Y45" s="417"/>
      <c r="Z45" s="417"/>
      <c r="AA45" s="417"/>
      <c r="AB45" s="417"/>
      <c r="AC45" s="417"/>
      <c r="AD45" s="417"/>
      <c r="AE45" s="417"/>
    </row>
    <row r="46" spans="1:31" ht="16.5" customHeight="1">
      <c r="A46" s="416"/>
      <c r="F46" s="417"/>
      <c r="G46" s="417"/>
      <c r="H46" s="417"/>
      <c r="I46" s="417"/>
      <c r="J46" s="417"/>
      <c r="K46" s="417"/>
      <c r="L46" s="417"/>
      <c r="M46" s="417"/>
      <c r="N46" s="417"/>
      <c r="O46" s="417"/>
      <c r="P46" s="417"/>
      <c r="Q46" s="417"/>
      <c r="R46" s="417"/>
      <c r="S46" s="417"/>
      <c r="T46" s="417"/>
      <c r="U46" s="417"/>
      <c r="V46" s="417"/>
      <c r="W46" s="417"/>
      <c r="X46" s="417"/>
      <c r="Y46" s="417"/>
      <c r="Z46" s="417"/>
      <c r="AA46" s="417"/>
      <c r="AB46" s="417"/>
      <c r="AC46" s="417"/>
      <c r="AD46" s="417"/>
      <c r="AE46" s="417"/>
    </row>
    <row r="47" spans="6:31" ht="16.5" customHeight="1">
      <c r="F47" s="417"/>
      <c r="G47" s="417"/>
      <c r="H47" s="417"/>
      <c r="I47" s="417"/>
      <c r="J47" s="417"/>
      <c r="K47" s="417"/>
      <c r="L47" s="417"/>
      <c r="M47" s="417"/>
      <c r="N47" s="417"/>
      <c r="O47" s="417"/>
      <c r="P47" s="417"/>
      <c r="Q47" s="417"/>
      <c r="R47" s="417"/>
      <c r="S47" s="417"/>
      <c r="T47" s="417"/>
      <c r="U47" s="417"/>
      <c r="V47" s="417"/>
      <c r="W47" s="417"/>
      <c r="X47" s="417"/>
      <c r="Y47" s="417"/>
      <c r="Z47" s="417"/>
      <c r="AA47" s="417"/>
      <c r="AB47" s="417"/>
      <c r="AC47" s="417"/>
      <c r="AD47" s="417"/>
      <c r="AE47" s="417"/>
    </row>
    <row r="48" spans="6:31" ht="16.5" customHeight="1">
      <c r="F48" s="417"/>
      <c r="G48" s="417"/>
      <c r="H48" s="417"/>
      <c r="I48" s="417"/>
      <c r="J48" s="417"/>
      <c r="K48" s="417"/>
      <c r="L48" s="417"/>
      <c r="M48" s="417"/>
      <c r="N48" s="417"/>
      <c r="O48" s="417"/>
      <c r="P48" s="417"/>
      <c r="Q48" s="417"/>
      <c r="R48" s="417"/>
      <c r="S48" s="417"/>
      <c r="T48" s="417"/>
      <c r="U48" s="417"/>
      <c r="V48" s="417"/>
      <c r="W48" s="417"/>
      <c r="X48" s="417"/>
      <c r="Y48" s="417"/>
      <c r="Z48" s="417"/>
      <c r="AA48" s="417"/>
      <c r="AB48" s="417"/>
      <c r="AC48" s="417"/>
      <c r="AD48" s="417"/>
      <c r="AE48" s="417"/>
    </row>
    <row r="49" spans="6:31" ht="16.5" customHeight="1">
      <c r="F49" s="417"/>
      <c r="G49" s="417"/>
      <c r="H49" s="417"/>
      <c r="I49" s="417"/>
      <c r="J49" s="417"/>
      <c r="K49" s="417"/>
      <c r="L49" s="417"/>
      <c r="M49" s="417"/>
      <c r="N49" s="417"/>
      <c r="O49" s="417"/>
      <c r="P49" s="417"/>
      <c r="Q49" s="417"/>
      <c r="R49" s="417"/>
      <c r="S49" s="417"/>
      <c r="T49" s="417"/>
      <c r="U49" s="417"/>
      <c r="V49" s="417"/>
      <c r="W49" s="417"/>
      <c r="X49" s="417"/>
      <c r="Y49" s="417"/>
      <c r="Z49" s="417"/>
      <c r="AA49" s="417"/>
      <c r="AB49" s="417"/>
      <c r="AC49" s="417"/>
      <c r="AD49" s="417"/>
      <c r="AE49" s="417"/>
    </row>
    <row r="50" spans="6:31" ht="16.5" customHeight="1">
      <c r="F50" s="417"/>
      <c r="G50" s="417"/>
      <c r="H50" s="417"/>
      <c r="I50" s="417"/>
      <c r="J50" s="417"/>
      <c r="K50" s="417"/>
      <c r="L50" s="417"/>
      <c r="M50" s="417"/>
      <c r="N50" s="417"/>
      <c r="O50" s="417"/>
      <c r="P50" s="417"/>
      <c r="Q50" s="417"/>
      <c r="R50" s="417"/>
      <c r="S50" s="417"/>
      <c r="T50" s="417"/>
      <c r="U50" s="417"/>
      <c r="V50" s="417"/>
      <c r="W50" s="417"/>
      <c r="X50" s="417"/>
      <c r="Y50" s="417"/>
      <c r="Z50" s="417"/>
      <c r="AA50" s="417"/>
      <c r="AB50" s="417"/>
      <c r="AC50" s="417"/>
      <c r="AD50" s="417"/>
      <c r="AE50" s="417"/>
    </row>
    <row r="51" spans="6:31" ht="16.5" customHeight="1">
      <c r="F51" s="417"/>
      <c r="G51" s="417"/>
      <c r="H51" s="417"/>
      <c r="I51" s="417"/>
      <c r="J51" s="417"/>
      <c r="K51" s="417"/>
      <c r="L51" s="417"/>
      <c r="M51" s="417"/>
      <c r="N51" s="417"/>
      <c r="O51" s="417"/>
      <c r="P51" s="417"/>
      <c r="Q51" s="417"/>
      <c r="R51" s="417"/>
      <c r="S51" s="417"/>
      <c r="T51" s="417"/>
      <c r="U51" s="417"/>
      <c r="V51" s="417"/>
      <c r="W51" s="417"/>
      <c r="X51" s="417"/>
      <c r="Y51" s="417"/>
      <c r="Z51" s="417"/>
      <c r="AA51" s="417"/>
      <c r="AB51" s="417"/>
      <c r="AC51" s="417"/>
      <c r="AD51" s="417"/>
      <c r="AE51" s="417"/>
    </row>
    <row r="52" spans="6:31" ht="16.5" customHeight="1">
      <c r="F52" s="417"/>
      <c r="G52" s="417"/>
      <c r="H52" s="417"/>
      <c r="I52" s="417"/>
      <c r="J52" s="417"/>
      <c r="K52" s="417"/>
      <c r="L52" s="417"/>
      <c r="M52" s="417"/>
      <c r="N52" s="417"/>
      <c r="O52" s="417"/>
      <c r="P52" s="417"/>
      <c r="Q52" s="417"/>
      <c r="R52" s="417"/>
      <c r="S52" s="417"/>
      <c r="T52" s="417"/>
      <c r="U52" s="417"/>
      <c r="V52" s="417"/>
      <c r="W52" s="417"/>
      <c r="X52" s="417"/>
      <c r="Y52" s="417"/>
      <c r="Z52" s="417"/>
      <c r="AA52" s="417"/>
      <c r="AB52" s="417"/>
      <c r="AC52" s="417"/>
      <c r="AD52" s="417"/>
      <c r="AE52" s="417"/>
    </row>
    <row r="53" spans="6:31" ht="16.5" customHeight="1"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7"/>
      <c r="Q53" s="417"/>
      <c r="R53" s="417"/>
      <c r="S53" s="417"/>
      <c r="T53" s="417"/>
      <c r="U53" s="417"/>
      <c r="V53" s="417"/>
      <c r="W53" s="417"/>
      <c r="X53" s="417"/>
      <c r="Y53" s="417"/>
      <c r="Z53" s="417"/>
      <c r="AA53" s="417"/>
      <c r="AB53" s="417"/>
      <c r="AC53" s="417"/>
      <c r="AD53" s="417"/>
      <c r="AE53" s="417"/>
    </row>
    <row r="54" spans="6:31" ht="16.5" customHeight="1">
      <c r="F54" s="417"/>
      <c r="G54" s="417"/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417"/>
      <c r="S54" s="417"/>
      <c r="T54" s="417"/>
      <c r="U54" s="417"/>
      <c r="V54" s="417"/>
      <c r="W54" s="417"/>
      <c r="X54" s="417"/>
      <c r="Y54" s="417"/>
      <c r="Z54" s="417"/>
      <c r="AA54" s="417"/>
      <c r="AB54" s="417"/>
      <c r="AC54" s="417"/>
      <c r="AD54" s="417"/>
      <c r="AE54" s="417"/>
    </row>
    <row r="55" spans="6:31" ht="16.5" customHeight="1">
      <c r="F55" s="417"/>
      <c r="G55" s="417"/>
      <c r="H55" s="417"/>
      <c r="I55" s="417"/>
      <c r="J55" s="417"/>
      <c r="K55" s="417"/>
      <c r="L55" s="417"/>
      <c r="M55" s="417"/>
      <c r="N55" s="417"/>
      <c r="O55" s="417"/>
      <c r="P55" s="417"/>
      <c r="Q55" s="417"/>
      <c r="R55" s="417"/>
      <c r="S55" s="417"/>
      <c r="T55" s="417"/>
      <c r="U55" s="417"/>
      <c r="V55" s="417"/>
      <c r="W55" s="417"/>
      <c r="X55" s="417"/>
      <c r="Y55" s="417"/>
      <c r="Z55" s="417"/>
      <c r="AA55" s="417"/>
      <c r="AB55" s="417"/>
      <c r="AC55" s="417"/>
      <c r="AD55" s="417"/>
      <c r="AE55" s="417"/>
    </row>
    <row r="56" spans="6:31" ht="16.5" customHeight="1">
      <c r="F56" s="417"/>
      <c r="G56" s="417"/>
      <c r="H56" s="417"/>
      <c r="I56" s="417"/>
      <c r="J56" s="417"/>
      <c r="K56" s="417"/>
      <c r="L56" s="417"/>
      <c r="M56" s="417"/>
      <c r="N56" s="417"/>
      <c r="O56" s="417"/>
      <c r="P56" s="417"/>
      <c r="Q56" s="417"/>
      <c r="R56" s="417"/>
      <c r="S56" s="417"/>
      <c r="T56" s="417"/>
      <c r="U56" s="417"/>
      <c r="V56" s="417"/>
      <c r="W56" s="417"/>
      <c r="X56" s="417"/>
      <c r="Y56" s="417"/>
      <c r="Z56" s="417"/>
      <c r="AA56" s="417"/>
      <c r="AB56" s="417"/>
      <c r="AC56" s="417"/>
      <c r="AD56" s="417"/>
      <c r="AE56" s="417"/>
    </row>
    <row r="57" spans="6:31" ht="16.5" customHeight="1">
      <c r="F57" s="417"/>
      <c r="G57" s="417"/>
      <c r="H57" s="417"/>
      <c r="I57" s="417"/>
      <c r="J57" s="417"/>
      <c r="K57" s="417"/>
      <c r="L57" s="417"/>
      <c r="M57" s="417"/>
      <c r="N57" s="417"/>
      <c r="O57" s="417"/>
      <c r="P57" s="417"/>
      <c r="Q57" s="417"/>
      <c r="R57" s="417"/>
      <c r="S57" s="417"/>
      <c r="T57" s="417"/>
      <c r="U57" s="417"/>
      <c r="V57" s="417"/>
      <c r="W57" s="417"/>
      <c r="X57" s="417"/>
      <c r="Y57" s="417"/>
      <c r="Z57" s="417"/>
      <c r="AA57" s="417"/>
      <c r="AB57" s="417"/>
      <c r="AC57" s="417"/>
      <c r="AD57" s="417"/>
      <c r="AE57" s="417"/>
    </row>
    <row r="58" spans="6:31" ht="16.5" customHeight="1">
      <c r="F58" s="417"/>
      <c r="G58" s="417"/>
      <c r="H58" s="417"/>
      <c r="I58" s="417"/>
      <c r="J58" s="417"/>
      <c r="K58" s="417"/>
      <c r="L58" s="417"/>
      <c r="M58" s="417"/>
      <c r="N58" s="417"/>
      <c r="O58" s="417"/>
      <c r="P58" s="417"/>
      <c r="Q58" s="417"/>
      <c r="R58" s="417"/>
      <c r="S58" s="417"/>
      <c r="T58" s="417"/>
      <c r="U58" s="417"/>
      <c r="V58" s="417"/>
      <c r="W58" s="417"/>
      <c r="X58" s="417"/>
      <c r="Y58" s="417"/>
      <c r="Z58" s="417"/>
      <c r="AA58" s="417"/>
      <c r="AB58" s="417"/>
      <c r="AC58" s="417"/>
      <c r="AD58" s="417"/>
      <c r="AE58" s="417"/>
    </row>
    <row r="59" spans="6:31" ht="16.5" customHeight="1"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7"/>
      <c r="W59" s="417"/>
      <c r="X59" s="417"/>
      <c r="Y59" s="417"/>
      <c r="Z59" s="417"/>
      <c r="AA59" s="417"/>
      <c r="AB59" s="417"/>
      <c r="AC59" s="417"/>
      <c r="AD59" s="417"/>
      <c r="AE59" s="417"/>
    </row>
    <row r="60" spans="6:31" ht="16.5" customHeight="1">
      <c r="F60" s="417"/>
      <c r="G60" s="417"/>
      <c r="H60" s="417"/>
      <c r="I60" s="417"/>
      <c r="J60" s="417"/>
      <c r="K60" s="417"/>
      <c r="L60" s="417"/>
      <c r="M60" s="417"/>
      <c r="N60" s="417"/>
      <c r="O60" s="417"/>
      <c r="P60" s="417"/>
      <c r="Q60" s="417"/>
      <c r="R60" s="417"/>
      <c r="S60" s="417"/>
      <c r="T60" s="417"/>
      <c r="U60" s="417"/>
      <c r="V60" s="417"/>
      <c r="W60" s="417"/>
      <c r="X60" s="417"/>
      <c r="Y60" s="417"/>
      <c r="Z60" s="417"/>
      <c r="AA60" s="417"/>
      <c r="AB60" s="417"/>
      <c r="AC60" s="417"/>
      <c r="AD60" s="417"/>
      <c r="AE60" s="417"/>
    </row>
    <row r="61" spans="6:31" ht="16.5" customHeight="1">
      <c r="F61" s="417"/>
      <c r="G61" s="417"/>
      <c r="H61" s="417"/>
      <c r="I61" s="417"/>
      <c r="J61" s="417"/>
      <c r="K61" s="417"/>
      <c r="L61" s="417"/>
      <c r="M61" s="417"/>
      <c r="N61" s="417"/>
      <c r="O61" s="417"/>
      <c r="P61" s="417"/>
      <c r="Q61" s="417"/>
      <c r="R61" s="417"/>
      <c r="S61" s="417"/>
      <c r="T61" s="417"/>
      <c r="U61" s="417"/>
      <c r="V61" s="417"/>
      <c r="W61" s="417"/>
      <c r="X61" s="417"/>
      <c r="Y61" s="417"/>
      <c r="Z61" s="417"/>
      <c r="AA61" s="417"/>
      <c r="AB61" s="417"/>
      <c r="AC61" s="417"/>
      <c r="AD61" s="417"/>
      <c r="AE61" s="417"/>
    </row>
    <row r="62" spans="6:31" ht="16.5" customHeight="1">
      <c r="F62" s="417"/>
      <c r="G62" s="417"/>
      <c r="H62" s="417"/>
      <c r="I62" s="417"/>
      <c r="J62" s="417"/>
      <c r="K62" s="417"/>
      <c r="L62" s="417"/>
      <c r="M62" s="417"/>
      <c r="N62" s="417"/>
      <c r="O62" s="417"/>
      <c r="P62" s="417"/>
      <c r="Q62" s="417"/>
      <c r="R62" s="417"/>
      <c r="S62" s="417"/>
      <c r="T62" s="417"/>
      <c r="U62" s="417"/>
      <c r="V62" s="417"/>
      <c r="W62" s="417"/>
      <c r="X62" s="417"/>
      <c r="Y62" s="417"/>
      <c r="Z62" s="417"/>
      <c r="AA62" s="417"/>
      <c r="AB62" s="417"/>
      <c r="AC62" s="417"/>
      <c r="AD62" s="417"/>
      <c r="AE62" s="417"/>
    </row>
    <row r="63" spans="6:31" ht="16.5" customHeight="1">
      <c r="F63" s="417"/>
      <c r="G63" s="417"/>
      <c r="H63" s="417"/>
      <c r="I63" s="417"/>
      <c r="J63" s="417"/>
      <c r="K63" s="417"/>
      <c r="L63" s="417"/>
      <c r="M63" s="417"/>
      <c r="N63" s="417"/>
      <c r="O63" s="417"/>
      <c r="P63" s="417"/>
      <c r="Q63" s="417"/>
      <c r="R63" s="417"/>
      <c r="S63" s="417"/>
      <c r="T63" s="417"/>
      <c r="U63" s="417"/>
      <c r="V63" s="417"/>
      <c r="W63" s="417"/>
      <c r="X63" s="417"/>
      <c r="Y63" s="417"/>
      <c r="Z63" s="417"/>
      <c r="AA63" s="417"/>
      <c r="AB63" s="417"/>
      <c r="AC63" s="417"/>
      <c r="AD63" s="417"/>
      <c r="AE63" s="417"/>
    </row>
    <row r="64" spans="6:31" ht="16.5" customHeight="1">
      <c r="F64" s="417"/>
      <c r="G64" s="417"/>
      <c r="H64" s="417"/>
      <c r="I64" s="417"/>
      <c r="J64" s="417"/>
      <c r="K64" s="417"/>
      <c r="L64" s="417"/>
      <c r="M64" s="417"/>
      <c r="N64" s="417"/>
      <c r="O64" s="417"/>
      <c r="P64" s="417"/>
      <c r="Q64" s="417"/>
      <c r="R64" s="417"/>
      <c r="S64" s="417"/>
      <c r="T64" s="417"/>
      <c r="U64" s="417"/>
      <c r="V64" s="417"/>
      <c r="W64" s="417"/>
      <c r="X64" s="417"/>
      <c r="Y64" s="417"/>
      <c r="Z64" s="417"/>
      <c r="AA64" s="417"/>
      <c r="AB64" s="417"/>
      <c r="AC64" s="417"/>
      <c r="AD64" s="417"/>
      <c r="AE64" s="417"/>
    </row>
    <row r="65" spans="6:31" ht="16.5" customHeight="1">
      <c r="F65" s="417"/>
      <c r="G65" s="417"/>
      <c r="H65" s="417"/>
      <c r="I65" s="417"/>
      <c r="J65" s="417"/>
      <c r="K65" s="417"/>
      <c r="L65" s="417"/>
      <c r="M65" s="417"/>
      <c r="N65" s="417"/>
      <c r="O65" s="417"/>
      <c r="P65" s="417"/>
      <c r="Q65" s="417"/>
      <c r="R65" s="417"/>
      <c r="S65" s="417"/>
      <c r="T65" s="417"/>
      <c r="U65" s="417"/>
      <c r="V65" s="417"/>
      <c r="W65" s="417"/>
      <c r="X65" s="417"/>
      <c r="Y65" s="417"/>
      <c r="Z65" s="417"/>
      <c r="AA65" s="417"/>
      <c r="AB65" s="417"/>
      <c r="AC65" s="417"/>
      <c r="AD65" s="417"/>
      <c r="AE65" s="417"/>
    </row>
    <row r="66" spans="6:31" ht="16.5" customHeight="1">
      <c r="F66" s="417"/>
      <c r="G66" s="417"/>
      <c r="H66" s="417"/>
      <c r="I66" s="417"/>
      <c r="J66" s="417"/>
      <c r="K66" s="417"/>
      <c r="L66" s="417"/>
      <c r="M66" s="417"/>
      <c r="N66" s="417"/>
      <c r="O66" s="417"/>
      <c r="P66" s="417"/>
      <c r="Q66" s="417"/>
      <c r="R66" s="417"/>
      <c r="S66" s="417"/>
      <c r="T66" s="417"/>
      <c r="U66" s="417"/>
      <c r="V66" s="417"/>
      <c r="W66" s="417"/>
      <c r="X66" s="417"/>
      <c r="Y66" s="417"/>
      <c r="Z66" s="417"/>
      <c r="AA66" s="417"/>
      <c r="AB66" s="417"/>
      <c r="AC66" s="417"/>
      <c r="AD66" s="417"/>
      <c r="AE66" s="417"/>
    </row>
    <row r="67" spans="6:31" ht="16.5" customHeight="1">
      <c r="F67" s="417"/>
      <c r="G67" s="417"/>
      <c r="H67" s="417"/>
      <c r="I67" s="417"/>
      <c r="J67" s="417"/>
      <c r="K67" s="417"/>
      <c r="L67" s="417"/>
      <c r="M67" s="417"/>
      <c r="N67" s="417"/>
      <c r="O67" s="417"/>
      <c r="P67" s="417"/>
      <c r="Q67" s="417"/>
      <c r="R67" s="417"/>
      <c r="S67" s="417"/>
      <c r="T67" s="417"/>
      <c r="U67" s="417"/>
      <c r="V67" s="417"/>
      <c r="W67" s="417"/>
      <c r="X67" s="417"/>
      <c r="Y67" s="417"/>
      <c r="Z67" s="417"/>
      <c r="AA67" s="417"/>
      <c r="AB67" s="417"/>
      <c r="AC67" s="417"/>
      <c r="AD67" s="417"/>
      <c r="AE67" s="417"/>
    </row>
    <row r="68" spans="6:31" ht="16.5" customHeight="1">
      <c r="F68" s="417"/>
      <c r="G68" s="417"/>
      <c r="H68" s="417"/>
      <c r="I68" s="417"/>
      <c r="J68" s="417"/>
      <c r="K68" s="417"/>
      <c r="L68" s="417"/>
      <c r="M68" s="417"/>
      <c r="N68" s="417"/>
      <c r="O68" s="417"/>
      <c r="P68" s="417"/>
      <c r="Q68" s="417"/>
      <c r="R68" s="417"/>
      <c r="S68" s="417"/>
      <c r="T68" s="417"/>
      <c r="U68" s="417"/>
      <c r="V68" s="417"/>
      <c r="W68" s="417"/>
      <c r="X68" s="417"/>
      <c r="Y68" s="417"/>
      <c r="Z68" s="417"/>
      <c r="AA68" s="417"/>
      <c r="AB68" s="417"/>
      <c r="AC68" s="417"/>
      <c r="AD68" s="417"/>
      <c r="AE68" s="417"/>
    </row>
    <row r="69" spans="6:31" ht="16.5" customHeight="1">
      <c r="F69" s="417"/>
      <c r="G69" s="417"/>
      <c r="H69" s="417"/>
      <c r="I69" s="417"/>
      <c r="J69" s="417"/>
      <c r="K69" s="417"/>
      <c r="L69" s="417"/>
      <c r="M69" s="417"/>
      <c r="N69" s="417"/>
      <c r="O69" s="417"/>
      <c r="P69" s="417"/>
      <c r="Q69" s="417"/>
      <c r="R69" s="417"/>
      <c r="S69" s="417"/>
      <c r="T69" s="417"/>
      <c r="U69" s="417"/>
      <c r="V69" s="417"/>
      <c r="W69" s="417"/>
      <c r="X69" s="417"/>
      <c r="Y69" s="417"/>
      <c r="Z69" s="417"/>
      <c r="AA69" s="417"/>
      <c r="AB69" s="417"/>
      <c r="AC69" s="417"/>
      <c r="AD69" s="417"/>
      <c r="AE69" s="417"/>
    </row>
    <row r="70" spans="6:31" ht="16.5" customHeight="1">
      <c r="F70" s="417"/>
      <c r="G70" s="417"/>
      <c r="H70" s="417"/>
      <c r="I70" s="417"/>
      <c r="J70" s="417"/>
      <c r="K70" s="417"/>
      <c r="L70" s="417"/>
      <c r="M70" s="417"/>
      <c r="N70" s="417"/>
      <c r="O70" s="417"/>
      <c r="P70" s="417"/>
      <c r="Q70" s="417"/>
      <c r="R70" s="417"/>
      <c r="S70" s="417"/>
      <c r="T70" s="417"/>
      <c r="U70" s="417"/>
      <c r="V70" s="417"/>
      <c r="W70" s="417"/>
      <c r="X70" s="417"/>
      <c r="Y70" s="417"/>
      <c r="Z70" s="417"/>
      <c r="AA70" s="417"/>
      <c r="AB70" s="417"/>
      <c r="AC70" s="417"/>
      <c r="AD70" s="417"/>
      <c r="AE70" s="417"/>
    </row>
    <row r="71" spans="6:31" ht="16.5" customHeight="1">
      <c r="F71" s="417"/>
      <c r="G71" s="417"/>
      <c r="H71" s="417"/>
      <c r="I71" s="417"/>
      <c r="J71" s="417"/>
      <c r="K71" s="417"/>
      <c r="L71" s="417"/>
      <c r="M71" s="417"/>
      <c r="N71" s="417"/>
      <c r="O71" s="417"/>
      <c r="P71" s="417"/>
      <c r="Q71" s="417"/>
      <c r="R71" s="417"/>
      <c r="S71" s="417"/>
      <c r="T71" s="417"/>
      <c r="U71" s="417"/>
      <c r="V71" s="417"/>
      <c r="W71" s="417"/>
      <c r="X71" s="417"/>
      <c r="Y71" s="417"/>
      <c r="Z71" s="417"/>
      <c r="AA71" s="417"/>
      <c r="AB71" s="417"/>
      <c r="AC71" s="417"/>
      <c r="AD71" s="417"/>
      <c r="AE71" s="417"/>
    </row>
    <row r="72" spans="6:31" ht="16.5" customHeight="1">
      <c r="F72" s="417"/>
      <c r="G72" s="417"/>
      <c r="H72" s="417"/>
      <c r="I72" s="417"/>
      <c r="J72" s="417"/>
      <c r="K72" s="417"/>
      <c r="L72" s="417"/>
      <c r="M72" s="417"/>
      <c r="N72" s="417"/>
      <c r="O72" s="417"/>
      <c r="P72" s="417"/>
      <c r="Q72" s="417"/>
      <c r="R72" s="417"/>
      <c r="S72" s="417"/>
      <c r="T72" s="417"/>
      <c r="U72" s="417"/>
      <c r="V72" s="417"/>
      <c r="W72" s="417"/>
      <c r="X72" s="417"/>
      <c r="Y72" s="417"/>
      <c r="Z72" s="417"/>
      <c r="AA72" s="417"/>
      <c r="AB72" s="417"/>
      <c r="AC72" s="417"/>
      <c r="AD72" s="417"/>
      <c r="AE72" s="417"/>
    </row>
    <row r="73" spans="6:31" ht="16.5" customHeight="1">
      <c r="F73" s="417"/>
      <c r="G73" s="417"/>
      <c r="H73" s="417"/>
      <c r="I73" s="417"/>
      <c r="J73" s="417"/>
      <c r="K73" s="417"/>
      <c r="L73" s="417"/>
      <c r="M73" s="417"/>
      <c r="N73" s="417"/>
      <c r="O73" s="417"/>
      <c r="P73" s="417"/>
      <c r="Q73" s="417"/>
      <c r="R73" s="417"/>
      <c r="S73" s="417"/>
      <c r="T73" s="417"/>
      <c r="U73" s="417"/>
      <c r="V73" s="417"/>
      <c r="W73" s="417"/>
      <c r="X73" s="417"/>
      <c r="Y73" s="417"/>
      <c r="Z73" s="417"/>
      <c r="AA73" s="417"/>
      <c r="AB73" s="417"/>
      <c r="AC73" s="417"/>
      <c r="AD73" s="417"/>
      <c r="AE73" s="417"/>
    </row>
    <row r="74" spans="6:31" ht="16.5" customHeight="1">
      <c r="F74" s="417"/>
      <c r="G74" s="417"/>
      <c r="H74" s="417"/>
      <c r="I74" s="417"/>
      <c r="J74" s="417"/>
      <c r="K74" s="417"/>
      <c r="L74" s="417"/>
      <c r="M74" s="417"/>
      <c r="N74" s="417"/>
      <c r="O74" s="417"/>
      <c r="P74" s="417"/>
      <c r="Q74" s="417"/>
      <c r="R74" s="417"/>
      <c r="S74" s="417"/>
      <c r="T74" s="417"/>
      <c r="U74" s="417"/>
      <c r="V74" s="417"/>
      <c r="W74" s="417"/>
      <c r="X74" s="417"/>
      <c r="Y74" s="417"/>
      <c r="Z74" s="417"/>
      <c r="AA74" s="417"/>
      <c r="AB74" s="417"/>
      <c r="AC74" s="417"/>
      <c r="AD74" s="417"/>
      <c r="AE74" s="417"/>
    </row>
    <row r="75" spans="6:31" ht="16.5" customHeight="1">
      <c r="F75" s="417"/>
      <c r="G75" s="417"/>
      <c r="H75" s="417"/>
      <c r="I75" s="417"/>
      <c r="J75" s="417"/>
      <c r="K75" s="417"/>
      <c r="L75" s="417"/>
      <c r="M75" s="417"/>
      <c r="N75" s="417"/>
      <c r="O75" s="417"/>
      <c r="P75" s="417"/>
      <c r="Q75" s="417"/>
      <c r="R75" s="417"/>
      <c r="S75" s="417"/>
      <c r="T75" s="417"/>
      <c r="U75" s="417"/>
      <c r="V75" s="417"/>
      <c r="W75" s="417"/>
      <c r="X75" s="417"/>
      <c r="Y75" s="417"/>
      <c r="Z75" s="417"/>
      <c r="AA75" s="417"/>
      <c r="AB75" s="417"/>
      <c r="AC75" s="417"/>
      <c r="AD75" s="417"/>
      <c r="AE75" s="417"/>
    </row>
    <row r="76" spans="6:31" ht="16.5" customHeight="1">
      <c r="F76" s="417"/>
      <c r="G76" s="417"/>
      <c r="H76" s="417"/>
      <c r="I76" s="417"/>
      <c r="J76" s="417"/>
      <c r="K76" s="417"/>
      <c r="L76" s="417"/>
      <c r="M76" s="417"/>
      <c r="N76" s="417"/>
      <c r="O76" s="417"/>
      <c r="P76" s="417"/>
      <c r="Q76" s="417"/>
      <c r="R76" s="417"/>
      <c r="S76" s="417"/>
      <c r="T76" s="417"/>
      <c r="U76" s="417"/>
      <c r="V76" s="417"/>
      <c r="W76" s="417"/>
      <c r="X76" s="417"/>
      <c r="Y76" s="417"/>
      <c r="Z76" s="417"/>
      <c r="AA76" s="417"/>
      <c r="AB76" s="417"/>
      <c r="AC76" s="417"/>
      <c r="AD76" s="417"/>
      <c r="AE76" s="417"/>
    </row>
    <row r="77" spans="6:31" ht="16.5" customHeight="1">
      <c r="F77" s="417"/>
      <c r="G77" s="417"/>
      <c r="H77" s="417"/>
      <c r="I77" s="417"/>
      <c r="J77" s="417"/>
      <c r="K77" s="417"/>
      <c r="L77" s="417"/>
      <c r="M77" s="417"/>
      <c r="N77" s="417"/>
      <c r="O77" s="417"/>
      <c r="P77" s="417"/>
      <c r="Q77" s="417"/>
      <c r="R77" s="417"/>
      <c r="S77" s="417"/>
      <c r="T77" s="417"/>
      <c r="U77" s="417"/>
      <c r="V77" s="417"/>
      <c r="W77" s="417"/>
      <c r="X77" s="417"/>
      <c r="Y77" s="417"/>
      <c r="Z77" s="417"/>
      <c r="AA77" s="417"/>
      <c r="AB77" s="417"/>
      <c r="AC77" s="417"/>
      <c r="AD77" s="417"/>
      <c r="AE77" s="417"/>
    </row>
    <row r="78" spans="6:31" ht="16.5" customHeight="1">
      <c r="F78" s="417"/>
      <c r="G78" s="417"/>
      <c r="H78" s="417"/>
      <c r="I78" s="417"/>
      <c r="J78" s="417"/>
      <c r="K78" s="417"/>
      <c r="L78" s="417"/>
      <c r="M78" s="417"/>
      <c r="N78" s="417"/>
      <c r="O78" s="417"/>
      <c r="P78" s="417"/>
      <c r="Q78" s="417"/>
      <c r="R78" s="417"/>
      <c r="S78" s="417"/>
      <c r="T78" s="417"/>
      <c r="U78" s="417"/>
      <c r="V78" s="417"/>
      <c r="W78" s="417"/>
      <c r="X78" s="417"/>
      <c r="Y78" s="417"/>
      <c r="Z78" s="417"/>
      <c r="AA78" s="417"/>
      <c r="AB78" s="417"/>
      <c r="AC78" s="417"/>
      <c r="AD78" s="417"/>
      <c r="AE78" s="417"/>
    </row>
    <row r="79" spans="6:31" ht="16.5" customHeight="1">
      <c r="F79" s="417"/>
      <c r="G79" s="417"/>
      <c r="H79" s="417"/>
      <c r="I79" s="417"/>
      <c r="J79" s="417"/>
      <c r="K79" s="417"/>
      <c r="L79" s="417"/>
      <c r="M79" s="417"/>
      <c r="N79" s="417"/>
      <c r="O79" s="417"/>
      <c r="P79" s="417"/>
      <c r="Q79" s="417"/>
      <c r="R79" s="417"/>
      <c r="S79" s="417"/>
      <c r="T79" s="417"/>
      <c r="U79" s="417"/>
      <c r="V79" s="417"/>
      <c r="W79" s="417"/>
      <c r="X79" s="417"/>
      <c r="Y79" s="417"/>
      <c r="Z79" s="417"/>
      <c r="AA79" s="417"/>
      <c r="AB79" s="417"/>
      <c r="AC79" s="417"/>
      <c r="AD79" s="417"/>
      <c r="AE79" s="417"/>
    </row>
    <row r="80" spans="6:31" ht="16.5" customHeight="1">
      <c r="F80" s="417"/>
      <c r="G80" s="417"/>
      <c r="H80" s="417"/>
      <c r="I80" s="417"/>
      <c r="J80" s="417"/>
      <c r="K80" s="417"/>
      <c r="L80" s="417"/>
      <c r="M80" s="417"/>
      <c r="N80" s="417"/>
      <c r="O80" s="417"/>
      <c r="P80" s="417"/>
      <c r="Q80" s="417"/>
      <c r="R80" s="417"/>
      <c r="S80" s="417"/>
      <c r="T80" s="417"/>
      <c r="U80" s="417"/>
      <c r="V80" s="417"/>
      <c r="W80" s="417"/>
      <c r="X80" s="417"/>
      <c r="Y80" s="417"/>
      <c r="Z80" s="417"/>
      <c r="AA80" s="417"/>
      <c r="AB80" s="417"/>
      <c r="AC80" s="417"/>
      <c r="AD80" s="417"/>
      <c r="AE80" s="417"/>
    </row>
    <row r="81" spans="6:31" ht="16.5" customHeight="1">
      <c r="F81" s="417"/>
      <c r="G81" s="417"/>
      <c r="H81" s="417"/>
      <c r="I81" s="417"/>
      <c r="J81" s="417"/>
      <c r="K81" s="417"/>
      <c r="L81" s="417"/>
      <c r="M81" s="417"/>
      <c r="N81" s="417"/>
      <c r="O81" s="417"/>
      <c r="P81" s="417"/>
      <c r="Q81" s="417"/>
      <c r="R81" s="417"/>
      <c r="S81" s="417"/>
      <c r="T81" s="417"/>
      <c r="U81" s="417"/>
      <c r="V81" s="417"/>
      <c r="W81" s="417"/>
      <c r="X81" s="417"/>
      <c r="Y81" s="417"/>
      <c r="Z81" s="417"/>
      <c r="AA81" s="417"/>
      <c r="AB81" s="417"/>
      <c r="AC81" s="417"/>
      <c r="AD81" s="417"/>
      <c r="AE81" s="417"/>
    </row>
    <row r="82" spans="6:31" ht="16.5" customHeight="1">
      <c r="F82" s="417"/>
      <c r="G82" s="417"/>
      <c r="H82" s="417"/>
      <c r="I82" s="417"/>
      <c r="J82" s="417"/>
      <c r="K82" s="417"/>
      <c r="L82" s="417"/>
      <c r="M82" s="417"/>
      <c r="N82" s="417"/>
      <c r="O82" s="417"/>
      <c r="P82" s="417"/>
      <c r="Q82" s="417"/>
      <c r="R82" s="417"/>
      <c r="S82" s="417"/>
      <c r="T82" s="417"/>
      <c r="U82" s="417"/>
      <c r="V82" s="417"/>
      <c r="W82" s="417"/>
      <c r="X82" s="417"/>
      <c r="Y82" s="417"/>
      <c r="Z82" s="417"/>
      <c r="AA82" s="417"/>
      <c r="AB82" s="417"/>
      <c r="AC82" s="417"/>
      <c r="AD82" s="417"/>
      <c r="AE82" s="417"/>
    </row>
    <row r="83" spans="6:31" ht="16.5" customHeight="1">
      <c r="F83" s="417"/>
      <c r="G83" s="417"/>
      <c r="H83" s="417"/>
      <c r="I83" s="417"/>
      <c r="J83" s="417"/>
      <c r="K83" s="417"/>
      <c r="L83" s="417"/>
      <c r="M83" s="417"/>
      <c r="N83" s="417"/>
      <c r="O83" s="417"/>
      <c r="P83" s="417"/>
      <c r="Q83" s="417"/>
      <c r="R83" s="417"/>
      <c r="S83" s="417"/>
      <c r="T83" s="417"/>
      <c r="U83" s="417"/>
      <c r="V83" s="417"/>
      <c r="W83" s="417"/>
      <c r="X83" s="417"/>
      <c r="Y83" s="417"/>
      <c r="Z83" s="417"/>
      <c r="AA83" s="417"/>
      <c r="AB83" s="417"/>
      <c r="AC83" s="417"/>
      <c r="AD83" s="417"/>
      <c r="AE83" s="417"/>
    </row>
    <row r="84" spans="6:31" ht="16.5" customHeight="1">
      <c r="F84" s="417"/>
      <c r="G84" s="417"/>
      <c r="H84" s="417"/>
      <c r="I84" s="417"/>
      <c r="J84" s="417"/>
      <c r="K84" s="417"/>
      <c r="L84" s="417"/>
      <c r="M84" s="417"/>
      <c r="N84" s="417"/>
      <c r="O84" s="417"/>
      <c r="P84" s="417"/>
      <c r="Q84" s="417"/>
      <c r="R84" s="417"/>
      <c r="S84" s="417"/>
      <c r="T84" s="417"/>
      <c r="U84" s="417"/>
      <c r="V84" s="417"/>
      <c r="W84" s="417"/>
      <c r="X84" s="417"/>
      <c r="Y84" s="417"/>
      <c r="Z84" s="417"/>
      <c r="AA84" s="417"/>
      <c r="AB84" s="417"/>
      <c r="AC84" s="417"/>
      <c r="AD84" s="417"/>
      <c r="AE84" s="417"/>
    </row>
    <row r="85" spans="6:31" ht="16.5" customHeight="1">
      <c r="F85" s="417"/>
      <c r="G85" s="417"/>
      <c r="H85" s="417"/>
      <c r="I85" s="417"/>
      <c r="J85" s="417"/>
      <c r="K85" s="417"/>
      <c r="L85" s="417"/>
      <c r="M85" s="417"/>
      <c r="N85" s="417"/>
      <c r="O85" s="417"/>
      <c r="P85" s="417"/>
      <c r="Q85" s="417"/>
      <c r="R85" s="417"/>
      <c r="S85" s="417"/>
      <c r="T85" s="417"/>
      <c r="U85" s="417"/>
      <c r="V85" s="417"/>
      <c r="W85" s="417"/>
      <c r="X85" s="417"/>
      <c r="Y85" s="417"/>
      <c r="Z85" s="417"/>
      <c r="AA85" s="417"/>
      <c r="AB85" s="417"/>
      <c r="AC85" s="417"/>
      <c r="AD85" s="417"/>
      <c r="AE85" s="417"/>
    </row>
    <row r="86" spans="6:31" ht="16.5" customHeight="1">
      <c r="F86" s="417"/>
      <c r="G86" s="417"/>
      <c r="H86" s="417"/>
      <c r="I86" s="417"/>
      <c r="J86" s="417"/>
      <c r="K86" s="417"/>
      <c r="L86" s="417"/>
      <c r="M86" s="417"/>
      <c r="N86" s="417"/>
      <c r="O86" s="417"/>
      <c r="P86" s="417"/>
      <c r="Q86" s="417"/>
      <c r="R86" s="417"/>
      <c r="S86" s="417"/>
      <c r="T86" s="417"/>
      <c r="U86" s="417"/>
      <c r="V86" s="417"/>
      <c r="W86" s="417"/>
      <c r="X86" s="417"/>
      <c r="Y86" s="417"/>
      <c r="Z86" s="417"/>
      <c r="AA86" s="417"/>
      <c r="AB86" s="417"/>
      <c r="AC86" s="417"/>
      <c r="AD86" s="417"/>
      <c r="AE86" s="417"/>
    </row>
    <row r="87" spans="6:31" ht="16.5" customHeight="1">
      <c r="F87" s="417"/>
      <c r="G87" s="417"/>
      <c r="H87" s="417"/>
      <c r="I87" s="417"/>
      <c r="J87" s="417"/>
      <c r="K87" s="417"/>
      <c r="L87" s="417"/>
      <c r="M87" s="417"/>
      <c r="N87" s="417"/>
      <c r="O87" s="417"/>
      <c r="P87" s="417"/>
      <c r="Q87" s="417"/>
      <c r="R87" s="417"/>
      <c r="S87" s="417"/>
      <c r="T87" s="417"/>
      <c r="U87" s="417"/>
      <c r="V87" s="417"/>
      <c r="W87" s="417"/>
      <c r="X87" s="417"/>
      <c r="Y87" s="417"/>
      <c r="Z87" s="417"/>
      <c r="AA87" s="417"/>
      <c r="AB87" s="417"/>
      <c r="AC87" s="417"/>
      <c r="AD87" s="417"/>
      <c r="AE87" s="417"/>
    </row>
    <row r="88" spans="6:31" ht="16.5" customHeight="1">
      <c r="F88" s="417"/>
      <c r="G88" s="417"/>
      <c r="H88" s="417"/>
      <c r="I88" s="417"/>
      <c r="J88" s="417"/>
      <c r="K88" s="417"/>
      <c r="L88" s="417"/>
      <c r="M88" s="417"/>
      <c r="N88" s="417"/>
      <c r="O88" s="417"/>
      <c r="P88" s="417"/>
      <c r="Q88" s="417"/>
      <c r="R88" s="417"/>
      <c r="S88" s="417"/>
      <c r="T88" s="417"/>
      <c r="U88" s="417"/>
      <c r="V88" s="417"/>
      <c r="W88" s="417"/>
      <c r="X88" s="417"/>
      <c r="Y88" s="417"/>
      <c r="Z88" s="417"/>
      <c r="AA88" s="417"/>
      <c r="AB88" s="417"/>
      <c r="AC88" s="417"/>
      <c r="AD88" s="417"/>
      <c r="AE88" s="417"/>
    </row>
    <row r="89" spans="6:31" ht="16.5" customHeight="1">
      <c r="F89" s="417"/>
      <c r="G89" s="417"/>
      <c r="H89" s="417"/>
      <c r="I89" s="417"/>
      <c r="J89" s="417"/>
      <c r="K89" s="417"/>
      <c r="L89" s="417"/>
      <c r="M89" s="417"/>
      <c r="N89" s="417"/>
      <c r="O89" s="417"/>
      <c r="P89" s="417"/>
      <c r="Q89" s="417"/>
      <c r="R89" s="417"/>
      <c r="S89" s="417"/>
      <c r="T89" s="417"/>
      <c r="U89" s="417"/>
      <c r="V89" s="417"/>
      <c r="W89" s="417"/>
      <c r="X89" s="417"/>
      <c r="Y89" s="417"/>
      <c r="Z89" s="417"/>
      <c r="AA89" s="417"/>
      <c r="AB89" s="417"/>
      <c r="AC89" s="417"/>
      <c r="AD89" s="417"/>
      <c r="AE89" s="417"/>
    </row>
    <row r="90" spans="6:31" ht="16.5" customHeight="1">
      <c r="F90" s="417"/>
      <c r="G90" s="417"/>
      <c r="H90" s="417"/>
      <c r="I90" s="417"/>
      <c r="J90" s="417"/>
      <c r="K90" s="417"/>
      <c r="L90" s="417"/>
      <c r="M90" s="417"/>
      <c r="N90" s="417"/>
      <c r="O90" s="417"/>
      <c r="P90" s="417"/>
      <c r="Q90" s="417"/>
      <c r="R90" s="417"/>
      <c r="S90" s="417"/>
      <c r="T90" s="417"/>
      <c r="U90" s="417"/>
      <c r="V90" s="417"/>
      <c r="W90" s="417"/>
      <c r="X90" s="417"/>
      <c r="Y90" s="417"/>
      <c r="Z90" s="417"/>
      <c r="AA90" s="417"/>
      <c r="AB90" s="417"/>
      <c r="AC90" s="417"/>
      <c r="AD90" s="417"/>
      <c r="AE90" s="417"/>
    </row>
    <row r="91" spans="6:31" ht="16.5" customHeight="1">
      <c r="F91" s="417"/>
      <c r="G91" s="417"/>
      <c r="H91" s="417"/>
      <c r="I91" s="417"/>
      <c r="J91" s="417"/>
      <c r="K91" s="417"/>
      <c r="L91" s="417"/>
      <c r="M91" s="417"/>
      <c r="N91" s="417"/>
      <c r="O91" s="417"/>
      <c r="P91" s="417"/>
      <c r="Q91" s="417"/>
      <c r="R91" s="417"/>
      <c r="S91" s="417"/>
      <c r="T91" s="417"/>
      <c r="U91" s="417"/>
      <c r="V91" s="417"/>
      <c r="W91" s="417"/>
      <c r="X91" s="417"/>
      <c r="Y91" s="417"/>
      <c r="Z91" s="417"/>
      <c r="AA91" s="417"/>
      <c r="AB91" s="417"/>
      <c r="AC91" s="417"/>
      <c r="AD91" s="417"/>
      <c r="AE91" s="417"/>
    </row>
    <row r="92" spans="6:31" ht="16.5" customHeight="1">
      <c r="F92" s="417"/>
      <c r="G92" s="417"/>
      <c r="H92" s="417"/>
      <c r="I92" s="417"/>
      <c r="J92" s="417"/>
      <c r="K92" s="417"/>
      <c r="L92" s="417"/>
      <c r="M92" s="417"/>
      <c r="N92" s="417"/>
      <c r="O92" s="417"/>
      <c r="P92" s="417"/>
      <c r="Q92" s="417"/>
      <c r="R92" s="417"/>
      <c r="S92" s="417"/>
      <c r="T92" s="417"/>
      <c r="U92" s="417"/>
      <c r="V92" s="417"/>
      <c r="W92" s="417"/>
      <c r="X92" s="417"/>
      <c r="Y92" s="417"/>
      <c r="Z92" s="417"/>
      <c r="AA92" s="417"/>
      <c r="AB92" s="417"/>
      <c r="AC92" s="417"/>
      <c r="AD92" s="417"/>
      <c r="AE92" s="417"/>
    </row>
    <row r="93" spans="6:31" ht="16.5" customHeight="1">
      <c r="F93" s="417"/>
      <c r="G93" s="417"/>
      <c r="H93" s="417"/>
      <c r="I93" s="417"/>
      <c r="J93" s="417"/>
      <c r="K93" s="417"/>
      <c r="L93" s="417"/>
      <c r="M93" s="417"/>
      <c r="N93" s="417"/>
      <c r="O93" s="417"/>
      <c r="P93" s="417"/>
      <c r="Q93" s="417"/>
      <c r="R93" s="417"/>
      <c r="S93" s="417"/>
      <c r="T93" s="417"/>
      <c r="U93" s="417"/>
      <c r="V93" s="417"/>
      <c r="W93" s="417"/>
      <c r="X93" s="417"/>
      <c r="Y93" s="417"/>
      <c r="Z93" s="417"/>
      <c r="AA93" s="417"/>
      <c r="AB93" s="417"/>
      <c r="AC93" s="417"/>
      <c r="AD93" s="417"/>
      <c r="AE93" s="417"/>
    </row>
    <row r="94" spans="6:31" ht="16.5" customHeight="1">
      <c r="F94" s="417"/>
      <c r="G94" s="417"/>
      <c r="H94" s="417"/>
      <c r="I94" s="417"/>
      <c r="J94" s="417"/>
      <c r="K94" s="417"/>
      <c r="L94" s="417"/>
      <c r="M94" s="417"/>
      <c r="N94" s="417"/>
      <c r="O94" s="417"/>
      <c r="P94" s="417"/>
      <c r="Q94" s="417"/>
      <c r="R94" s="417"/>
      <c r="S94" s="417"/>
      <c r="T94" s="417"/>
      <c r="U94" s="417"/>
      <c r="V94" s="417"/>
      <c r="W94" s="417"/>
      <c r="X94" s="417"/>
      <c r="Y94" s="417"/>
      <c r="Z94" s="417"/>
      <c r="AA94" s="417"/>
      <c r="AB94" s="417"/>
      <c r="AC94" s="417"/>
      <c r="AD94" s="417"/>
      <c r="AE94" s="417"/>
    </row>
    <row r="95" spans="6:31" ht="16.5" customHeight="1">
      <c r="F95" s="417"/>
      <c r="G95" s="417"/>
      <c r="H95" s="417"/>
      <c r="I95" s="417"/>
      <c r="J95" s="417"/>
      <c r="K95" s="417"/>
      <c r="L95" s="417"/>
      <c r="M95" s="417"/>
      <c r="N95" s="417"/>
      <c r="O95" s="417"/>
      <c r="P95" s="417"/>
      <c r="Q95" s="417"/>
      <c r="R95" s="417"/>
      <c r="S95" s="417"/>
      <c r="T95" s="417"/>
      <c r="U95" s="417"/>
      <c r="V95" s="417"/>
      <c r="W95" s="417"/>
      <c r="X95" s="417"/>
      <c r="Y95" s="417"/>
      <c r="Z95" s="417"/>
      <c r="AA95" s="417"/>
      <c r="AB95" s="417"/>
      <c r="AC95" s="417"/>
      <c r="AD95" s="417"/>
      <c r="AE95" s="417"/>
    </row>
    <row r="96" spans="6:31" ht="16.5" customHeight="1">
      <c r="F96" s="417"/>
      <c r="G96" s="417"/>
      <c r="H96" s="417"/>
      <c r="I96" s="417"/>
      <c r="J96" s="417"/>
      <c r="K96" s="417"/>
      <c r="L96" s="417"/>
      <c r="M96" s="417"/>
      <c r="N96" s="417"/>
      <c r="O96" s="417"/>
      <c r="P96" s="417"/>
      <c r="Q96" s="417"/>
      <c r="R96" s="417"/>
      <c r="S96" s="417"/>
      <c r="T96" s="417"/>
      <c r="U96" s="417"/>
      <c r="V96" s="417"/>
      <c r="W96" s="417"/>
      <c r="X96" s="417"/>
      <c r="Y96" s="417"/>
      <c r="Z96" s="417"/>
      <c r="AA96" s="417"/>
      <c r="AB96" s="417"/>
      <c r="AC96" s="417"/>
      <c r="AD96" s="417"/>
      <c r="AE96" s="417"/>
    </row>
    <row r="97" spans="6:31" ht="16.5" customHeight="1">
      <c r="F97" s="417"/>
      <c r="G97" s="417"/>
      <c r="H97" s="417"/>
      <c r="I97" s="417"/>
      <c r="J97" s="417"/>
      <c r="K97" s="417"/>
      <c r="L97" s="417"/>
      <c r="M97" s="417"/>
      <c r="N97" s="417"/>
      <c r="O97" s="417"/>
      <c r="P97" s="417"/>
      <c r="Q97" s="417"/>
      <c r="R97" s="417"/>
      <c r="S97" s="417"/>
      <c r="T97" s="417"/>
      <c r="U97" s="417"/>
      <c r="V97" s="417"/>
      <c r="W97" s="417"/>
      <c r="X97" s="417"/>
      <c r="Y97" s="417"/>
      <c r="Z97" s="417"/>
      <c r="AA97" s="417"/>
      <c r="AB97" s="417"/>
      <c r="AC97" s="417"/>
      <c r="AD97" s="417"/>
      <c r="AE97" s="417"/>
    </row>
    <row r="98" spans="6:31" ht="16.5" customHeight="1">
      <c r="F98" s="417"/>
      <c r="G98" s="417"/>
      <c r="H98" s="417"/>
      <c r="I98" s="417"/>
      <c r="J98" s="417"/>
      <c r="K98" s="417"/>
      <c r="L98" s="417"/>
      <c r="M98" s="417"/>
      <c r="N98" s="417"/>
      <c r="O98" s="417"/>
      <c r="P98" s="417"/>
      <c r="Q98" s="417"/>
      <c r="R98" s="417"/>
      <c r="S98" s="417"/>
      <c r="T98" s="417"/>
      <c r="U98" s="417"/>
      <c r="V98" s="417"/>
      <c r="W98" s="417"/>
      <c r="X98" s="417"/>
      <c r="Y98" s="417"/>
      <c r="Z98" s="417"/>
      <c r="AA98" s="417"/>
      <c r="AB98" s="417"/>
      <c r="AC98" s="417"/>
      <c r="AD98" s="417"/>
      <c r="AE98" s="417"/>
    </row>
    <row r="99" spans="6:31" ht="16.5" customHeight="1">
      <c r="F99" s="417"/>
      <c r="G99" s="417"/>
      <c r="H99" s="417"/>
      <c r="I99" s="417"/>
      <c r="J99" s="417"/>
      <c r="K99" s="417"/>
      <c r="L99" s="417"/>
      <c r="M99" s="417"/>
      <c r="N99" s="417"/>
      <c r="O99" s="417"/>
      <c r="P99" s="417"/>
      <c r="Q99" s="417"/>
      <c r="R99" s="417"/>
      <c r="S99" s="417"/>
      <c r="T99" s="417"/>
      <c r="U99" s="417"/>
      <c r="V99" s="417"/>
      <c r="W99" s="417"/>
      <c r="X99" s="417"/>
      <c r="Y99" s="417"/>
      <c r="Z99" s="417"/>
      <c r="AA99" s="417"/>
      <c r="AB99" s="417"/>
      <c r="AC99" s="417"/>
      <c r="AD99" s="417"/>
      <c r="AE99" s="417"/>
    </row>
    <row r="100" spans="6:31" ht="16.5" customHeight="1">
      <c r="F100" s="417"/>
      <c r="G100" s="417"/>
      <c r="H100" s="417"/>
      <c r="I100" s="417"/>
      <c r="J100" s="417"/>
      <c r="K100" s="417"/>
      <c r="L100" s="417"/>
      <c r="M100" s="417"/>
      <c r="N100" s="417"/>
      <c r="O100" s="417"/>
      <c r="P100" s="417"/>
      <c r="Q100" s="417"/>
      <c r="R100" s="417"/>
      <c r="S100" s="417"/>
      <c r="T100" s="417"/>
      <c r="U100" s="417"/>
      <c r="V100" s="417"/>
      <c r="W100" s="417"/>
      <c r="X100" s="417"/>
      <c r="Y100" s="417"/>
      <c r="Z100" s="417"/>
      <c r="AA100" s="417"/>
      <c r="AB100" s="417"/>
      <c r="AC100" s="417"/>
      <c r="AD100" s="417"/>
      <c r="AE100" s="417"/>
    </row>
    <row r="101" spans="6:31" ht="16.5" customHeight="1">
      <c r="F101" s="417"/>
      <c r="G101" s="417"/>
      <c r="H101" s="417"/>
      <c r="I101" s="417"/>
      <c r="J101" s="417"/>
      <c r="K101" s="417"/>
      <c r="L101" s="417"/>
      <c r="M101" s="417"/>
      <c r="N101" s="417"/>
      <c r="O101" s="417"/>
      <c r="P101" s="417"/>
      <c r="Q101" s="417"/>
      <c r="R101" s="417"/>
      <c r="S101" s="417"/>
      <c r="T101" s="417"/>
      <c r="U101" s="417"/>
      <c r="V101" s="417"/>
      <c r="W101" s="417"/>
      <c r="X101" s="417"/>
      <c r="Y101" s="417"/>
      <c r="Z101" s="417"/>
      <c r="AA101" s="417"/>
      <c r="AB101" s="417"/>
      <c r="AC101" s="417"/>
      <c r="AD101" s="417"/>
      <c r="AE101" s="417"/>
    </row>
    <row r="102" spans="6:31" ht="16.5" customHeight="1">
      <c r="F102" s="417"/>
      <c r="G102" s="417"/>
      <c r="H102" s="417"/>
      <c r="I102" s="417"/>
      <c r="J102" s="417"/>
      <c r="K102" s="417"/>
      <c r="L102" s="417"/>
      <c r="M102" s="417"/>
      <c r="N102" s="417"/>
      <c r="O102" s="417"/>
      <c r="P102" s="417"/>
      <c r="Q102" s="417"/>
      <c r="R102" s="417"/>
      <c r="S102" s="417"/>
      <c r="T102" s="417"/>
      <c r="U102" s="417"/>
      <c r="V102" s="417"/>
      <c r="W102" s="417"/>
      <c r="X102" s="417"/>
      <c r="Y102" s="417"/>
      <c r="Z102" s="417"/>
      <c r="AA102" s="417"/>
      <c r="AB102" s="417"/>
      <c r="AC102" s="417"/>
      <c r="AD102" s="417"/>
      <c r="AE102" s="417"/>
    </row>
    <row r="103" spans="6:31" ht="16.5" customHeight="1">
      <c r="F103" s="417"/>
      <c r="G103" s="417"/>
      <c r="H103" s="417"/>
      <c r="I103" s="417"/>
      <c r="J103" s="417"/>
      <c r="K103" s="417"/>
      <c r="L103" s="417"/>
      <c r="M103" s="417"/>
      <c r="N103" s="417"/>
      <c r="O103" s="417"/>
      <c r="P103" s="417"/>
      <c r="Q103" s="417"/>
      <c r="R103" s="417"/>
      <c r="S103" s="417"/>
      <c r="T103" s="417"/>
      <c r="U103" s="417"/>
      <c r="V103" s="417"/>
      <c r="W103" s="417"/>
      <c r="X103" s="417"/>
      <c r="Y103" s="417"/>
      <c r="Z103" s="417"/>
      <c r="AA103" s="417"/>
      <c r="AB103" s="417"/>
      <c r="AC103" s="417"/>
      <c r="AD103" s="417"/>
      <c r="AE103" s="417"/>
    </row>
    <row r="104" spans="6:31" ht="16.5" customHeight="1">
      <c r="F104" s="417"/>
      <c r="G104" s="417"/>
      <c r="H104" s="417"/>
      <c r="I104" s="417"/>
      <c r="J104" s="417"/>
      <c r="K104" s="417"/>
      <c r="L104" s="417"/>
      <c r="M104" s="417"/>
      <c r="N104" s="417"/>
      <c r="O104" s="417"/>
      <c r="P104" s="417"/>
      <c r="Q104" s="417"/>
      <c r="R104" s="417"/>
      <c r="S104" s="417"/>
      <c r="T104" s="417"/>
      <c r="U104" s="417"/>
      <c r="V104" s="417"/>
      <c r="W104" s="417"/>
      <c r="X104" s="417"/>
      <c r="Y104" s="417"/>
      <c r="Z104" s="417"/>
      <c r="AA104" s="417"/>
      <c r="AB104" s="417"/>
      <c r="AC104" s="417"/>
      <c r="AD104" s="417"/>
      <c r="AE104" s="417"/>
    </row>
    <row r="105" spans="6:31" ht="16.5" customHeight="1">
      <c r="F105" s="417"/>
      <c r="G105" s="417"/>
      <c r="H105" s="417"/>
      <c r="I105" s="417"/>
      <c r="J105" s="417"/>
      <c r="K105" s="417"/>
      <c r="L105" s="417"/>
      <c r="M105" s="417"/>
      <c r="N105" s="417"/>
      <c r="O105" s="417"/>
      <c r="P105" s="417"/>
      <c r="Q105" s="417"/>
      <c r="R105" s="417"/>
      <c r="S105" s="417"/>
      <c r="T105" s="417"/>
      <c r="U105" s="417"/>
      <c r="V105" s="417"/>
      <c r="W105" s="417"/>
      <c r="X105" s="417"/>
      <c r="Y105" s="417"/>
      <c r="Z105" s="417"/>
      <c r="AA105" s="417"/>
      <c r="AB105" s="417"/>
      <c r="AC105" s="417"/>
      <c r="AD105" s="417"/>
      <c r="AE105" s="417"/>
    </row>
    <row r="106" spans="6:31" ht="16.5" customHeight="1">
      <c r="F106" s="417"/>
      <c r="G106" s="417"/>
      <c r="H106" s="417"/>
      <c r="I106" s="417"/>
      <c r="J106" s="417"/>
      <c r="K106" s="417"/>
      <c r="L106" s="417"/>
      <c r="M106" s="417"/>
      <c r="N106" s="417"/>
      <c r="O106" s="417"/>
      <c r="P106" s="417"/>
      <c r="Q106" s="417"/>
      <c r="R106" s="417"/>
      <c r="S106" s="417"/>
      <c r="T106" s="417"/>
      <c r="U106" s="417"/>
      <c r="V106" s="417"/>
      <c r="W106" s="417"/>
      <c r="X106" s="417"/>
      <c r="Y106" s="417"/>
      <c r="Z106" s="417"/>
      <c r="AA106" s="417"/>
      <c r="AB106" s="417"/>
      <c r="AC106" s="417"/>
      <c r="AD106" s="417"/>
      <c r="AE106" s="417"/>
    </row>
    <row r="107" spans="6:31" ht="16.5" customHeight="1">
      <c r="F107" s="417"/>
      <c r="G107" s="417"/>
      <c r="H107" s="417"/>
      <c r="I107" s="417"/>
      <c r="J107" s="417"/>
      <c r="K107" s="417"/>
      <c r="L107" s="417"/>
      <c r="M107" s="417"/>
      <c r="N107" s="417"/>
      <c r="O107" s="417"/>
      <c r="P107" s="417"/>
      <c r="Q107" s="417"/>
      <c r="R107" s="417"/>
      <c r="S107" s="417"/>
      <c r="T107" s="417"/>
      <c r="U107" s="417"/>
      <c r="V107" s="417"/>
      <c r="W107" s="417"/>
      <c r="X107" s="417"/>
      <c r="Y107" s="417"/>
      <c r="Z107" s="417"/>
      <c r="AA107" s="417"/>
      <c r="AB107" s="417"/>
      <c r="AC107" s="417"/>
      <c r="AD107" s="417"/>
      <c r="AE107" s="417"/>
    </row>
    <row r="108" spans="6:31" ht="16.5" customHeight="1">
      <c r="F108" s="417"/>
      <c r="G108" s="417"/>
      <c r="H108" s="417"/>
      <c r="I108" s="417"/>
      <c r="J108" s="417"/>
      <c r="K108" s="417"/>
      <c r="L108" s="417"/>
      <c r="M108" s="417"/>
      <c r="N108" s="417"/>
      <c r="O108" s="417"/>
      <c r="P108" s="417"/>
      <c r="Q108" s="417"/>
      <c r="R108" s="417"/>
      <c r="S108" s="417"/>
      <c r="T108" s="417"/>
      <c r="U108" s="417"/>
      <c r="V108" s="417"/>
      <c r="W108" s="417"/>
      <c r="X108" s="417"/>
      <c r="Y108" s="417"/>
      <c r="Z108" s="417"/>
      <c r="AA108" s="417"/>
      <c r="AB108" s="417"/>
      <c r="AC108" s="417"/>
      <c r="AD108" s="417"/>
      <c r="AE108" s="417"/>
    </row>
    <row r="109" spans="6:31" ht="16.5" customHeight="1">
      <c r="F109" s="417"/>
      <c r="G109" s="417"/>
      <c r="H109" s="417"/>
      <c r="I109" s="417"/>
      <c r="J109" s="417"/>
      <c r="K109" s="417"/>
      <c r="L109" s="417"/>
      <c r="M109" s="417"/>
      <c r="N109" s="417"/>
      <c r="O109" s="417"/>
      <c r="P109" s="417"/>
      <c r="Q109" s="417"/>
      <c r="R109" s="417"/>
      <c r="S109" s="417"/>
      <c r="T109" s="417"/>
      <c r="U109" s="417"/>
      <c r="V109" s="417"/>
      <c r="W109" s="417"/>
      <c r="X109" s="417"/>
      <c r="Y109" s="417"/>
      <c r="Z109" s="417"/>
      <c r="AA109" s="417"/>
      <c r="AB109" s="417"/>
      <c r="AC109" s="417"/>
      <c r="AD109" s="417"/>
      <c r="AE109" s="417"/>
    </row>
    <row r="110" spans="6:31" ht="16.5" customHeight="1">
      <c r="F110" s="417"/>
      <c r="G110" s="417"/>
      <c r="H110" s="417"/>
      <c r="I110" s="417"/>
      <c r="J110" s="417"/>
      <c r="K110" s="417"/>
      <c r="L110" s="417"/>
      <c r="M110" s="417"/>
      <c r="N110" s="417"/>
      <c r="O110" s="417"/>
      <c r="P110" s="417"/>
      <c r="Q110" s="417"/>
      <c r="R110" s="417"/>
      <c r="S110" s="417"/>
      <c r="T110" s="417"/>
      <c r="U110" s="417"/>
      <c r="V110" s="417"/>
      <c r="W110" s="417"/>
      <c r="X110" s="417"/>
      <c r="Y110" s="417"/>
      <c r="Z110" s="417"/>
      <c r="AA110" s="417"/>
      <c r="AB110" s="417"/>
      <c r="AC110" s="417"/>
      <c r="AD110" s="417"/>
      <c r="AE110" s="417"/>
    </row>
    <row r="111" spans="6:31" ht="16.5" customHeight="1">
      <c r="F111" s="417"/>
      <c r="G111" s="417"/>
      <c r="H111" s="417"/>
      <c r="I111" s="417"/>
      <c r="J111" s="417"/>
      <c r="K111" s="417"/>
      <c r="L111" s="417"/>
      <c r="M111" s="417"/>
      <c r="N111" s="417"/>
      <c r="O111" s="417"/>
      <c r="P111" s="417"/>
      <c r="Q111" s="417"/>
      <c r="R111" s="417"/>
      <c r="S111" s="417"/>
      <c r="T111" s="417"/>
      <c r="U111" s="417"/>
      <c r="V111" s="417"/>
      <c r="W111" s="417"/>
      <c r="X111" s="417"/>
      <c r="Y111" s="417"/>
      <c r="Z111" s="417"/>
      <c r="AA111" s="417"/>
      <c r="AB111" s="417"/>
      <c r="AC111" s="417"/>
      <c r="AD111" s="417"/>
      <c r="AE111" s="417"/>
    </row>
    <row r="112" spans="6:31" ht="16.5" customHeight="1">
      <c r="F112" s="417"/>
      <c r="G112" s="417"/>
      <c r="H112" s="417"/>
      <c r="I112" s="417"/>
      <c r="J112" s="417"/>
      <c r="K112" s="417"/>
      <c r="L112" s="417"/>
      <c r="M112" s="417"/>
      <c r="N112" s="417"/>
      <c r="O112" s="417"/>
      <c r="P112" s="417"/>
      <c r="Q112" s="417"/>
      <c r="R112" s="417"/>
      <c r="S112" s="417"/>
      <c r="T112" s="417"/>
      <c r="U112" s="417"/>
      <c r="V112" s="417"/>
      <c r="W112" s="417"/>
      <c r="X112" s="417"/>
      <c r="Y112" s="417"/>
      <c r="Z112" s="417"/>
      <c r="AA112" s="417"/>
      <c r="AB112" s="417"/>
      <c r="AC112" s="417"/>
      <c r="AD112" s="417"/>
      <c r="AE112" s="417"/>
    </row>
    <row r="113" spans="6:31" ht="16.5" customHeight="1">
      <c r="F113" s="417"/>
      <c r="G113" s="417"/>
      <c r="H113" s="417"/>
      <c r="I113" s="417"/>
      <c r="J113" s="417"/>
      <c r="K113" s="417"/>
      <c r="L113" s="417"/>
      <c r="M113" s="417"/>
      <c r="N113" s="417"/>
      <c r="O113" s="417"/>
      <c r="P113" s="417"/>
      <c r="Q113" s="417"/>
      <c r="R113" s="417"/>
      <c r="S113" s="417"/>
      <c r="T113" s="417"/>
      <c r="U113" s="417"/>
      <c r="V113" s="417"/>
      <c r="W113" s="417"/>
      <c r="X113" s="417"/>
      <c r="Y113" s="417"/>
      <c r="Z113" s="417"/>
      <c r="AA113" s="417"/>
      <c r="AB113" s="417"/>
      <c r="AC113" s="417"/>
      <c r="AD113" s="417"/>
      <c r="AE113" s="417"/>
    </row>
    <row r="114" spans="6:31" ht="16.5" customHeight="1">
      <c r="F114" s="417"/>
      <c r="G114" s="417"/>
      <c r="H114" s="417"/>
      <c r="I114" s="417"/>
      <c r="J114" s="417"/>
      <c r="K114" s="417"/>
      <c r="L114" s="417"/>
      <c r="M114" s="417"/>
      <c r="N114" s="417"/>
      <c r="O114" s="417"/>
      <c r="P114" s="417"/>
      <c r="Q114" s="417"/>
      <c r="R114" s="417"/>
      <c r="S114" s="417"/>
      <c r="T114" s="417"/>
      <c r="U114" s="417"/>
      <c r="V114" s="417"/>
      <c r="W114" s="417"/>
      <c r="X114" s="417"/>
      <c r="Y114" s="417"/>
      <c r="Z114" s="417"/>
      <c r="AA114" s="417"/>
      <c r="AB114" s="417"/>
      <c r="AC114" s="417"/>
      <c r="AD114" s="417"/>
      <c r="AE114" s="417"/>
    </row>
    <row r="115" spans="6:31" ht="16.5" customHeight="1">
      <c r="F115" s="417"/>
      <c r="G115" s="417"/>
      <c r="H115" s="417"/>
      <c r="I115" s="417"/>
      <c r="J115" s="417"/>
      <c r="K115" s="417"/>
      <c r="L115" s="417"/>
      <c r="M115" s="417"/>
      <c r="N115" s="417"/>
      <c r="O115" s="417"/>
      <c r="P115" s="417"/>
      <c r="Q115" s="417"/>
      <c r="R115" s="417"/>
      <c r="S115" s="417"/>
      <c r="T115" s="417"/>
      <c r="U115" s="417"/>
      <c r="V115" s="417"/>
      <c r="W115" s="417"/>
      <c r="X115" s="417"/>
      <c r="Y115" s="417"/>
      <c r="Z115" s="417"/>
      <c r="AA115" s="417"/>
      <c r="AB115" s="417"/>
      <c r="AC115" s="417"/>
      <c r="AD115" s="417"/>
      <c r="AE115" s="417"/>
    </row>
    <row r="116" spans="6:31" ht="16.5" customHeight="1">
      <c r="F116" s="417"/>
      <c r="G116" s="417"/>
      <c r="H116" s="417"/>
      <c r="I116" s="417"/>
      <c r="J116" s="417"/>
      <c r="K116" s="417"/>
      <c r="L116" s="417"/>
      <c r="M116" s="417"/>
      <c r="N116" s="417"/>
      <c r="O116" s="417"/>
      <c r="P116" s="417"/>
      <c r="Q116" s="417"/>
      <c r="R116" s="417"/>
      <c r="S116" s="417"/>
      <c r="T116" s="417"/>
      <c r="U116" s="417"/>
      <c r="V116" s="417"/>
      <c r="W116" s="417"/>
      <c r="X116" s="417"/>
      <c r="Y116" s="417"/>
      <c r="Z116" s="417"/>
      <c r="AA116" s="417"/>
      <c r="AB116" s="417"/>
      <c r="AC116" s="417"/>
      <c r="AD116" s="417"/>
      <c r="AE116" s="417"/>
    </row>
    <row r="117" spans="6:31" ht="16.5" customHeight="1">
      <c r="F117" s="417"/>
      <c r="G117" s="417"/>
      <c r="H117" s="417"/>
      <c r="I117" s="417"/>
      <c r="J117" s="417"/>
      <c r="K117" s="417"/>
      <c r="L117" s="417"/>
      <c r="M117" s="417"/>
      <c r="N117" s="417"/>
      <c r="O117" s="417"/>
      <c r="P117" s="417"/>
      <c r="Q117" s="417"/>
      <c r="R117" s="417"/>
      <c r="S117" s="417"/>
      <c r="T117" s="417"/>
      <c r="U117" s="417"/>
      <c r="V117" s="417"/>
      <c r="W117" s="417"/>
      <c r="X117" s="417"/>
      <c r="Y117" s="417"/>
      <c r="Z117" s="417"/>
      <c r="AA117" s="417"/>
      <c r="AB117" s="417"/>
      <c r="AC117" s="417"/>
      <c r="AD117" s="417"/>
      <c r="AE117" s="417"/>
    </row>
    <row r="118" spans="6:31" ht="16.5" customHeight="1">
      <c r="F118" s="417"/>
      <c r="G118" s="417"/>
      <c r="H118" s="417"/>
      <c r="I118" s="417"/>
      <c r="J118" s="417"/>
      <c r="K118" s="417"/>
      <c r="L118" s="417"/>
      <c r="M118" s="417"/>
      <c r="N118" s="417"/>
      <c r="O118" s="417"/>
      <c r="P118" s="417"/>
      <c r="Q118" s="417"/>
      <c r="R118" s="417"/>
      <c r="S118" s="417"/>
      <c r="T118" s="417"/>
      <c r="U118" s="417"/>
      <c r="V118" s="417"/>
      <c r="W118" s="417"/>
      <c r="X118" s="417"/>
      <c r="Y118" s="417"/>
      <c r="Z118" s="417"/>
      <c r="AA118" s="417"/>
      <c r="AB118" s="417"/>
      <c r="AC118" s="417"/>
      <c r="AD118" s="417"/>
      <c r="AE118" s="417"/>
    </row>
    <row r="119" spans="6:31" ht="16.5" customHeight="1">
      <c r="F119" s="417"/>
      <c r="G119" s="417"/>
      <c r="H119" s="417"/>
      <c r="I119" s="417"/>
      <c r="J119" s="417"/>
      <c r="K119" s="417"/>
      <c r="L119" s="417"/>
      <c r="M119" s="417"/>
      <c r="N119" s="417"/>
      <c r="O119" s="417"/>
      <c r="P119" s="417"/>
      <c r="Q119" s="417"/>
      <c r="R119" s="417"/>
      <c r="S119" s="417"/>
      <c r="T119" s="417"/>
      <c r="U119" s="417"/>
      <c r="V119" s="417"/>
      <c r="W119" s="417"/>
      <c r="X119" s="417"/>
      <c r="Y119" s="417"/>
      <c r="Z119" s="417"/>
      <c r="AA119" s="417"/>
      <c r="AB119" s="417"/>
      <c r="AC119" s="417"/>
      <c r="AD119" s="417"/>
      <c r="AE119" s="417"/>
    </row>
    <row r="120" spans="6:31" ht="16.5" customHeight="1">
      <c r="F120" s="417"/>
      <c r="G120" s="417"/>
      <c r="H120" s="417"/>
      <c r="I120" s="417"/>
      <c r="J120" s="417"/>
      <c r="K120" s="417"/>
      <c r="L120" s="417"/>
      <c r="M120" s="417"/>
      <c r="N120" s="417"/>
      <c r="O120" s="417"/>
      <c r="P120" s="417"/>
      <c r="Q120" s="417"/>
      <c r="R120" s="417"/>
      <c r="S120" s="417"/>
      <c r="T120" s="417"/>
      <c r="U120" s="417"/>
      <c r="V120" s="417"/>
      <c r="W120" s="417"/>
      <c r="X120" s="417"/>
      <c r="Y120" s="417"/>
      <c r="Z120" s="417"/>
      <c r="AA120" s="417"/>
      <c r="AB120" s="417"/>
      <c r="AC120" s="417"/>
      <c r="AD120" s="417"/>
      <c r="AE120" s="417"/>
    </row>
    <row r="121" spans="6:31" ht="16.5" customHeight="1">
      <c r="F121" s="417"/>
      <c r="G121" s="417"/>
      <c r="H121" s="417"/>
      <c r="I121" s="417"/>
      <c r="J121" s="417"/>
      <c r="K121" s="417"/>
      <c r="L121" s="417"/>
      <c r="M121" s="417"/>
      <c r="N121" s="417"/>
      <c r="O121" s="417"/>
      <c r="P121" s="417"/>
      <c r="Q121" s="417"/>
      <c r="R121" s="417"/>
      <c r="S121" s="417"/>
      <c r="T121" s="417"/>
      <c r="U121" s="417"/>
      <c r="V121" s="417"/>
      <c r="W121" s="417"/>
      <c r="X121" s="417"/>
      <c r="Y121" s="417"/>
      <c r="Z121" s="417"/>
      <c r="AA121" s="417"/>
      <c r="AB121" s="417"/>
      <c r="AC121" s="417"/>
      <c r="AD121" s="417"/>
      <c r="AE121" s="417"/>
    </row>
    <row r="122" spans="6:31" ht="16.5" customHeight="1">
      <c r="F122" s="417"/>
      <c r="G122" s="417"/>
      <c r="H122" s="417"/>
      <c r="I122" s="417"/>
      <c r="J122" s="417"/>
      <c r="K122" s="417"/>
      <c r="L122" s="417"/>
      <c r="M122" s="417"/>
      <c r="N122" s="417"/>
      <c r="O122" s="417"/>
      <c r="P122" s="417"/>
      <c r="Q122" s="417"/>
      <c r="R122" s="417"/>
      <c r="S122" s="417"/>
      <c r="T122" s="417"/>
      <c r="U122" s="417"/>
      <c r="V122" s="417"/>
      <c r="W122" s="417"/>
      <c r="X122" s="417"/>
      <c r="Y122" s="417"/>
      <c r="Z122" s="417"/>
      <c r="AA122" s="417"/>
      <c r="AB122" s="417"/>
      <c r="AC122" s="417"/>
      <c r="AD122" s="417"/>
      <c r="AE122" s="417"/>
    </row>
    <row r="123" spans="6:31" ht="16.5" customHeight="1">
      <c r="F123" s="417"/>
      <c r="G123" s="417"/>
      <c r="H123" s="417"/>
      <c r="I123" s="417"/>
      <c r="J123" s="417"/>
      <c r="K123" s="417"/>
      <c r="L123" s="417"/>
      <c r="M123" s="417"/>
      <c r="N123" s="417"/>
      <c r="O123" s="417"/>
      <c r="P123" s="417"/>
      <c r="Q123" s="417"/>
      <c r="R123" s="417"/>
      <c r="S123" s="417"/>
      <c r="T123" s="417"/>
      <c r="U123" s="417"/>
      <c r="V123" s="417"/>
      <c r="W123" s="417"/>
      <c r="X123" s="417"/>
      <c r="Y123" s="417"/>
      <c r="Z123" s="417"/>
      <c r="AA123" s="417"/>
      <c r="AB123" s="417"/>
      <c r="AC123" s="417"/>
      <c r="AD123" s="417"/>
      <c r="AE123" s="417"/>
    </row>
    <row r="124" spans="6:31" ht="16.5" customHeight="1">
      <c r="F124" s="417"/>
      <c r="G124" s="417"/>
      <c r="H124" s="417"/>
      <c r="I124" s="417"/>
      <c r="J124" s="417"/>
      <c r="K124" s="417"/>
      <c r="L124" s="417"/>
      <c r="M124" s="417"/>
      <c r="N124" s="417"/>
      <c r="O124" s="417"/>
      <c r="P124" s="417"/>
      <c r="Q124" s="417"/>
      <c r="R124" s="417"/>
      <c r="S124" s="417"/>
      <c r="T124" s="417"/>
      <c r="U124" s="417"/>
      <c r="V124" s="417"/>
      <c r="W124" s="417"/>
      <c r="X124" s="417"/>
      <c r="Y124" s="417"/>
      <c r="Z124" s="417"/>
      <c r="AA124" s="417"/>
      <c r="AB124" s="417"/>
      <c r="AC124" s="417"/>
      <c r="AD124" s="417"/>
      <c r="AE124" s="417"/>
    </row>
    <row r="125" spans="6:31" ht="16.5" customHeight="1">
      <c r="F125" s="417"/>
      <c r="G125" s="417"/>
      <c r="H125" s="417"/>
      <c r="I125" s="417"/>
      <c r="J125" s="417"/>
      <c r="K125" s="417"/>
      <c r="L125" s="417"/>
      <c r="M125" s="417"/>
      <c r="N125" s="417"/>
      <c r="O125" s="417"/>
      <c r="P125" s="417"/>
      <c r="Q125" s="417"/>
      <c r="R125" s="417"/>
      <c r="S125" s="417"/>
      <c r="T125" s="417"/>
      <c r="U125" s="417"/>
      <c r="V125" s="417"/>
      <c r="W125" s="417"/>
      <c r="X125" s="417"/>
      <c r="Y125" s="417"/>
      <c r="Z125" s="417"/>
      <c r="AA125" s="417"/>
      <c r="AB125" s="417"/>
      <c r="AC125" s="417"/>
      <c r="AD125" s="417"/>
      <c r="AE125" s="417"/>
    </row>
    <row r="126" spans="6:31" ht="16.5" customHeight="1">
      <c r="F126" s="417"/>
      <c r="G126" s="417"/>
      <c r="H126" s="417"/>
      <c r="I126" s="417"/>
      <c r="J126" s="417"/>
      <c r="K126" s="417"/>
      <c r="L126" s="417"/>
      <c r="M126" s="417"/>
      <c r="N126" s="417"/>
      <c r="O126" s="417"/>
      <c r="P126" s="417"/>
      <c r="Q126" s="417"/>
      <c r="R126" s="417"/>
      <c r="S126" s="417"/>
      <c r="T126" s="417"/>
      <c r="U126" s="417"/>
      <c r="V126" s="417"/>
      <c r="W126" s="417"/>
      <c r="X126" s="417"/>
      <c r="Y126" s="417"/>
      <c r="Z126" s="417"/>
      <c r="AA126" s="417"/>
      <c r="AB126" s="417"/>
      <c r="AC126" s="417"/>
      <c r="AD126" s="417"/>
      <c r="AE126" s="417"/>
    </row>
    <row r="127" spans="6:31" ht="16.5" customHeight="1">
      <c r="F127" s="417"/>
      <c r="G127" s="417"/>
      <c r="H127" s="417"/>
      <c r="I127" s="417"/>
      <c r="J127" s="417"/>
      <c r="K127" s="417"/>
      <c r="L127" s="417"/>
      <c r="M127" s="417"/>
      <c r="N127" s="417"/>
      <c r="O127" s="417"/>
      <c r="P127" s="417"/>
      <c r="Q127" s="417"/>
      <c r="R127" s="417"/>
      <c r="S127" s="417"/>
      <c r="T127" s="417"/>
      <c r="U127" s="417"/>
      <c r="V127" s="417"/>
      <c r="W127" s="417"/>
      <c r="X127" s="417"/>
      <c r="Y127" s="417"/>
      <c r="Z127" s="417"/>
      <c r="AA127" s="417"/>
      <c r="AB127" s="417"/>
      <c r="AC127" s="417"/>
      <c r="AD127" s="417"/>
      <c r="AE127" s="417"/>
    </row>
    <row r="128" spans="6:31" ht="16.5" customHeight="1">
      <c r="F128" s="417"/>
      <c r="G128" s="417"/>
      <c r="H128" s="417"/>
      <c r="I128" s="417"/>
      <c r="J128" s="417"/>
      <c r="K128" s="417"/>
      <c r="L128" s="417"/>
      <c r="M128" s="417"/>
      <c r="N128" s="417"/>
      <c r="O128" s="417"/>
      <c r="P128" s="417"/>
      <c r="Q128" s="417"/>
      <c r="R128" s="417"/>
      <c r="S128" s="417"/>
      <c r="T128" s="417"/>
      <c r="U128" s="417"/>
      <c r="V128" s="417"/>
      <c r="W128" s="417"/>
      <c r="X128" s="417"/>
      <c r="Y128" s="417"/>
      <c r="Z128" s="417"/>
      <c r="AA128" s="417"/>
      <c r="AB128" s="417"/>
      <c r="AC128" s="417"/>
      <c r="AD128" s="417"/>
      <c r="AE128" s="417"/>
    </row>
    <row r="129" spans="6:31" ht="16.5" customHeight="1">
      <c r="F129" s="417"/>
      <c r="G129" s="417"/>
      <c r="H129" s="417"/>
      <c r="I129" s="417"/>
      <c r="J129" s="417"/>
      <c r="K129" s="417"/>
      <c r="L129" s="417"/>
      <c r="M129" s="417"/>
      <c r="N129" s="417"/>
      <c r="O129" s="417"/>
      <c r="P129" s="417"/>
      <c r="Q129" s="417"/>
      <c r="R129" s="417"/>
      <c r="S129" s="417"/>
      <c r="T129" s="417"/>
      <c r="U129" s="417"/>
      <c r="V129" s="417"/>
      <c r="W129" s="417"/>
      <c r="X129" s="417"/>
      <c r="Y129" s="417"/>
      <c r="Z129" s="417"/>
      <c r="AA129" s="417"/>
      <c r="AB129" s="417"/>
      <c r="AC129" s="417"/>
      <c r="AD129" s="417"/>
      <c r="AE129" s="417"/>
    </row>
    <row r="130" spans="6:31" ht="16.5" customHeight="1">
      <c r="F130" s="417"/>
      <c r="G130" s="417"/>
      <c r="H130" s="417"/>
      <c r="I130" s="417"/>
      <c r="J130" s="417"/>
      <c r="K130" s="417"/>
      <c r="L130" s="417"/>
      <c r="M130" s="417"/>
      <c r="N130" s="417"/>
      <c r="O130" s="417"/>
      <c r="P130" s="417"/>
      <c r="Q130" s="417"/>
      <c r="R130" s="417"/>
      <c r="S130" s="417"/>
      <c r="T130" s="417"/>
      <c r="U130" s="417"/>
      <c r="V130" s="417"/>
      <c r="W130" s="417"/>
      <c r="X130" s="417"/>
      <c r="Y130" s="417"/>
      <c r="Z130" s="417"/>
      <c r="AA130" s="417"/>
      <c r="AB130" s="417"/>
      <c r="AC130" s="417"/>
      <c r="AD130" s="417"/>
      <c r="AE130" s="417"/>
    </row>
    <row r="131" spans="6:31" ht="16.5" customHeight="1">
      <c r="F131" s="417"/>
      <c r="G131" s="417"/>
      <c r="H131" s="417"/>
      <c r="I131" s="417"/>
      <c r="J131" s="417"/>
      <c r="K131" s="417"/>
      <c r="L131" s="417"/>
      <c r="M131" s="417"/>
      <c r="N131" s="417"/>
      <c r="O131" s="417"/>
      <c r="P131" s="417"/>
      <c r="Q131" s="417"/>
      <c r="R131" s="417"/>
      <c r="S131" s="417"/>
      <c r="T131" s="417"/>
      <c r="U131" s="417"/>
      <c r="V131" s="417"/>
      <c r="W131" s="417"/>
      <c r="X131" s="417"/>
      <c r="Y131" s="417"/>
      <c r="Z131" s="417"/>
      <c r="AA131" s="417"/>
      <c r="AB131" s="417"/>
      <c r="AC131" s="417"/>
      <c r="AD131" s="417"/>
      <c r="AE131" s="417"/>
    </row>
    <row r="132" spans="6:31" ht="16.5" customHeight="1">
      <c r="F132" s="417"/>
      <c r="G132" s="417"/>
      <c r="H132" s="417"/>
      <c r="I132" s="417"/>
      <c r="J132" s="417"/>
      <c r="K132" s="417"/>
      <c r="L132" s="417"/>
      <c r="M132" s="417"/>
      <c r="N132" s="417"/>
      <c r="O132" s="417"/>
      <c r="P132" s="417"/>
      <c r="Q132" s="417"/>
      <c r="R132" s="417"/>
      <c r="S132" s="417"/>
      <c r="T132" s="417"/>
      <c r="U132" s="417"/>
      <c r="V132" s="417"/>
      <c r="W132" s="417"/>
      <c r="X132" s="417"/>
      <c r="Y132" s="417"/>
      <c r="Z132" s="417"/>
      <c r="AA132" s="417"/>
      <c r="AB132" s="417"/>
      <c r="AC132" s="417"/>
      <c r="AD132" s="417"/>
      <c r="AE132" s="417"/>
    </row>
    <row r="133" spans="6:31" ht="16.5" customHeight="1">
      <c r="F133" s="417"/>
      <c r="G133" s="417"/>
      <c r="H133" s="417"/>
      <c r="I133" s="417"/>
      <c r="J133" s="417"/>
      <c r="K133" s="417"/>
      <c r="L133" s="417"/>
      <c r="M133" s="417"/>
      <c r="N133" s="417"/>
      <c r="O133" s="417"/>
      <c r="P133" s="417"/>
      <c r="Q133" s="417"/>
      <c r="R133" s="417"/>
      <c r="S133" s="417"/>
      <c r="T133" s="417"/>
      <c r="U133" s="417"/>
      <c r="V133" s="417"/>
      <c r="W133" s="417"/>
      <c r="X133" s="417"/>
      <c r="Y133" s="417"/>
      <c r="Z133" s="417"/>
      <c r="AA133" s="417"/>
      <c r="AB133" s="417"/>
      <c r="AC133" s="417"/>
      <c r="AD133" s="417"/>
      <c r="AE133" s="417"/>
    </row>
    <row r="134" spans="6:31" ht="16.5" customHeight="1">
      <c r="F134" s="417"/>
      <c r="G134" s="417"/>
      <c r="H134" s="417"/>
      <c r="I134" s="417"/>
      <c r="J134" s="417"/>
      <c r="K134" s="417"/>
      <c r="L134" s="417"/>
      <c r="M134" s="417"/>
      <c r="N134" s="417"/>
      <c r="O134" s="417"/>
      <c r="P134" s="417"/>
      <c r="Q134" s="417"/>
      <c r="R134" s="417"/>
      <c r="S134" s="417"/>
      <c r="T134" s="417"/>
      <c r="U134" s="417"/>
      <c r="V134" s="417"/>
      <c r="W134" s="417"/>
      <c r="X134" s="417"/>
      <c r="Y134" s="417"/>
      <c r="Z134" s="417"/>
      <c r="AA134" s="417"/>
      <c r="AB134" s="417"/>
      <c r="AC134" s="417"/>
      <c r="AD134" s="417"/>
      <c r="AE134" s="417"/>
    </row>
    <row r="135" spans="6:31" ht="16.5" customHeight="1">
      <c r="F135" s="417"/>
      <c r="G135" s="417"/>
      <c r="H135" s="417"/>
      <c r="I135" s="417"/>
      <c r="J135" s="417"/>
      <c r="K135" s="417"/>
      <c r="L135" s="417"/>
      <c r="M135" s="417"/>
      <c r="N135" s="417"/>
      <c r="O135" s="417"/>
      <c r="P135" s="417"/>
      <c r="Q135" s="417"/>
      <c r="R135" s="417"/>
      <c r="S135" s="417"/>
      <c r="T135" s="417"/>
      <c r="U135" s="417"/>
      <c r="V135" s="417"/>
      <c r="W135" s="417"/>
      <c r="X135" s="417"/>
      <c r="Y135" s="417"/>
      <c r="Z135" s="417"/>
      <c r="AA135" s="417"/>
      <c r="AB135" s="417"/>
      <c r="AC135" s="417"/>
      <c r="AD135" s="417"/>
      <c r="AE135" s="417"/>
    </row>
    <row r="136" spans="6:31" ht="16.5" customHeight="1">
      <c r="F136" s="417"/>
      <c r="G136" s="417"/>
      <c r="H136" s="417"/>
      <c r="I136" s="417"/>
      <c r="J136" s="417"/>
      <c r="K136" s="417"/>
      <c r="L136" s="417"/>
      <c r="M136" s="417"/>
      <c r="N136" s="417"/>
      <c r="O136" s="417"/>
      <c r="P136" s="417"/>
      <c r="Q136" s="417"/>
      <c r="R136" s="417"/>
      <c r="S136" s="417"/>
      <c r="T136" s="417"/>
      <c r="U136" s="417"/>
      <c r="V136" s="417"/>
      <c r="W136" s="417"/>
      <c r="X136" s="417"/>
      <c r="Y136" s="417"/>
      <c r="Z136" s="417"/>
      <c r="AA136" s="417"/>
      <c r="AB136" s="417"/>
      <c r="AC136" s="417"/>
      <c r="AD136" s="417"/>
      <c r="AE136" s="417"/>
    </row>
    <row r="137" spans="6:31" ht="16.5" customHeight="1">
      <c r="F137" s="417"/>
      <c r="G137" s="417"/>
      <c r="H137" s="417"/>
      <c r="I137" s="417"/>
      <c r="J137" s="417"/>
      <c r="K137" s="417"/>
      <c r="L137" s="417"/>
      <c r="M137" s="417"/>
      <c r="N137" s="417"/>
      <c r="O137" s="417"/>
      <c r="P137" s="417"/>
      <c r="Q137" s="417"/>
      <c r="R137" s="417"/>
      <c r="S137" s="417"/>
      <c r="T137" s="417"/>
      <c r="U137" s="417"/>
      <c r="V137" s="417"/>
      <c r="W137" s="417"/>
      <c r="X137" s="417"/>
      <c r="Y137" s="417"/>
      <c r="Z137" s="417"/>
      <c r="AA137" s="417"/>
      <c r="AB137" s="417"/>
      <c r="AC137" s="417"/>
      <c r="AD137" s="417"/>
      <c r="AE137" s="417"/>
    </row>
    <row r="138" spans="6:31" ht="16.5" customHeight="1">
      <c r="F138" s="417"/>
      <c r="G138" s="417"/>
      <c r="H138" s="417"/>
      <c r="I138" s="417"/>
      <c r="J138" s="417"/>
      <c r="K138" s="417"/>
      <c r="L138" s="417"/>
      <c r="M138" s="417"/>
      <c r="N138" s="417"/>
      <c r="O138" s="417"/>
      <c r="P138" s="417"/>
      <c r="Q138" s="417"/>
      <c r="R138" s="417"/>
      <c r="S138" s="417"/>
      <c r="T138" s="417"/>
      <c r="U138" s="417"/>
      <c r="V138" s="417"/>
      <c r="W138" s="417"/>
      <c r="X138" s="417"/>
      <c r="Y138" s="417"/>
      <c r="Z138" s="417"/>
      <c r="AA138" s="417"/>
      <c r="AB138" s="417"/>
      <c r="AC138" s="417"/>
      <c r="AD138" s="417"/>
      <c r="AE138" s="417"/>
    </row>
    <row r="139" spans="6:31" ht="16.5" customHeight="1">
      <c r="F139" s="417"/>
      <c r="G139" s="417"/>
      <c r="H139" s="417"/>
      <c r="I139" s="417"/>
      <c r="J139" s="417"/>
      <c r="K139" s="417"/>
      <c r="L139" s="417"/>
      <c r="M139" s="417"/>
      <c r="N139" s="417"/>
      <c r="O139" s="417"/>
      <c r="P139" s="417"/>
      <c r="Q139" s="417"/>
      <c r="R139" s="417"/>
      <c r="S139" s="417"/>
      <c r="T139" s="417"/>
      <c r="U139" s="417"/>
      <c r="V139" s="417"/>
      <c r="W139" s="417"/>
      <c r="X139" s="417"/>
      <c r="Y139" s="417"/>
      <c r="Z139" s="417"/>
      <c r="AA139" s="417"/>
      <c r="AB139" s="417"/>
      <c r="AC139" s="417"/>
      <c r="AD139" s="417"/>
      <c r="AE139" s="417"/>
    </row>
    <row r="140" spans="6:31" ht="16.5" customHeight="1">
      <c r="F140" s="417"/>
      <c r="G140" s="417"/>
      <c r="H140" s="417"/>
      <c r="I140" s="417"/>
      <c r="J140" s="417"/>
      <c r="K140" s="417"/>
      <c r="L140" s="417"/>
      <c r="M140" s="417"/>
      <c r="N140" s="417"/>
      <c r="O140" s="417"/>
      <c r="P140" s="417"/>
      <c r="Q140" s="417"/>
      <c r="R140" s="417"/>
      <c r="S140" s="417"/>
      <c r="T140" s="417"/>
      <c r="U140" s="417"/>
      <c r="V140" s="417"/>
      <c r="W140" s="417"/>
      <c r="X140" s="417"/>
      <c r="Y140" s="417"/>
      <c r="Z140" s="417"/>
      <c r="AA140" s="417"/>
      <c r="AB140" s="417"/>
      <c r="AC140" s="417"/>
      <c r="AD140" s="417"/>
      <c r="AE140" s="417"/>
    </row>
    <row r="141" spans="6:31" ht="16.5" customHeight="1">
      <c r="F141" s="417"/>
      <c r="G141" s="417"/>
      <c r="H141" s="417"/>
      <c r="I141" s="417"/>
      <c r="J141" s="417"/>
      <c r="K141" s="417"/>
      <c r="L141" s="417"/>
      <c r="M141" s="417"/>
      <c r="N141" s="417"/>
      <c r="O141" s="417"/>
      <c r="P141" s="417"/>
      <c r="Q141" s="417"/>
      <c r="R141" s="417"/>
      <c r="S141" s="417"/>
      <c r="T141" s="417"/>
      <c r="U141" s="417"/>
      <c r="V141" s="417"/>
      <c r="W141" s="417"/>
      <c r="X141" s="417"/>
      <c r="Y141" s="417"/>
      <c r="Z141" s="417"/>
      <c r="AA141" s="417"/>
      <c r="AB141" s="417"/>
      <c r="AC141" s="417"/>
      <c r="AD141" s="417"/>
      <c r="AE141" s="417"/>
    </row>
    <row r="142" spans="6:31" ht="16.5" customHeight="1">
      <c r="F142" s="417"/>
      <c r="G142" s="417"/>
      <c r="H142" s="417"/>
      <c r="I142" s="417"/>
      <c r="J142" s="417"/>
      <c r="K142" s="417"/>
      <c r="L142" s="417"/>
      <c r="M142" s="417"/>
      <c r="N142" s="417"/>
      <c r="O142" s="417"/>
      <c r="P142" s="417"/>
      <c r="Q142" s="417"/>
      <c r="R142" s="417"/>
      <c r="S142" s="417"/>
      <c r="T142" s="417"/>
      <c r="U142" s="417"/>
      <c r="V142" s="417"/>
      <c r="W142" s="417"/>
      <c r="X142" s="417"/>
      <c r="Y142" s="417"/>
      <c r="Z142" s="417"/>
      <c r="AA142" s="417"/>
      <c r="AB142" s="417"/>
      <c r="AC142" s="417"/>
      <c r="AD142" s="417"/>
      <c r="AE142" s="417"/>
    </row>
    <row r="143" spans="6:31" ht="16.5" customHeight="1">
      <c r="F143" s="417"/>
      <c r="G143" s="417"/>
      <c r="H143" s="417"/>
      <c r="I143" s="417"/>
      <c r="J143" s="417"/>
      <c r="K143" s="417"/>
      <c r="L143" s="417"/>
      <c r="M143" s="417"/>
      <c r="N143" s="417"/>
      <c r="O143" s="417"/>
      <c r="P143" s="417"/>
      <c r="Q143" s="417"/>
      <c r="R143" s="417"/>
      <c r="S143" s="417"/>
      <c r="T143" s="417"/>
      <c r="U143" s="417"/>
      <c r="V143" s="417"/>
      <c r="W143" s="417"/>
      <c r="X143" s="417"/>
      <c r="Y143" s="417"/>
      <c r="Z143" s="417"/>
      <c r="AA143" s="417"/>
      <c r="AB143" s="417"/>
      <c r="AC143" s="417"/>
      <c r="AD143" s="417"/>
      <c r="AE143" s="417"/>
    </row>
    <row r="144" spans="6:31" ht="16.5" customHeight="1">
      <c r="F144" s="417"/>
      <c r="G144" s="417"/>
      <c r="H144" s="417"/>
      <c r="I144" s="417"/>
      <c r="J144" s="417"/>
      <c r="K144" s="417"/>
      <c r="L144" s="417"/>
      <c r="M144" s="417"/>
      <c r="N144" s="417"/>
      <c r="O144" s="417"/>
      <c r="P144" s="417"/>
      <c r="Q144" s="417"/>
      <c r="R144" s="417"/>
      <c r="S144" s="417"/>
      <c r="T144" s="417"/>
      <c r="U144" s="417"/>
      <c r="V144" s="417"/>
      <c r="W144" s="417"/>
      <c r="X144" s="417"/>
      <c r="Y144" s="417"/>
      <c r="Z144" s="417"/>
      <c r="AA144" s="417"/>
      <c r="AB144" s="417"/>
      <c r="AC144" s="417"/>
      <c r="AD144" s="417"/>
      <c r="AE144" s="417"/>
    </row>
    <row r="145" spans="6:31" ht="16.5" customHeight="1">
      <c r="F145" s="417"/>
      <c r="G145" s="417"/>
      <c r="H145" s="417"/>
      <c r="I145" s="417"/>
      <c r="J145" s="417"/>
      <c r="K145" s="417"/>
      <c r="L145" s="417"/>
      <c r="M145" s="417"/>
      <c r="N145" s="417"/>
      <c r="O145" s="417"/>
      <c r="P145" s="417"/>
      <c r="Q145" s="417"/>
      <c r="R145" s="417"/>
      <c r="S145" s="417"/>
      <c r="T145" s="417"/>
      <c r="U145" s="417"/>
      <c r="V145" s="417"/>
      <c r="W145" s="417"/>
      <c r="X145" s="417"/>
      <c r="Y145" s="417"/>
      <c r="Z145" s="417"/>
      <c r="AA145" s="417"/>
      <c r="AB145" s="417"/>
      <c r="AC145" s="417"/>
      <c r="AD145" s="417"/>
      <c r="AE145" s="417"/>
    </row>
    <row r="146" spans="6:31" ht="16.5" customHeight="1">
      <c r="F146" s="417"/>
      <c r="G146" s="417"/>
      <c r="H146" s="417"/>
      <c r="I146" s="417"/>
      <c r="J146" s="417"/>
      <c r="K146" s="417"/>
      <c r="L146" s="417"/>
      <c r="M146" s="417"/>
      <c r="N146" s="417"/>
      <c r="O146" s="417"/>
      <c r="P146" s="417"/>
      <c r="Q146" s="417"/>
      <c r="R146" s="417"/>
      <c r="S146" s="417"/>
      <c r="T146" s="417"/>
      <c r="U146" s="417"/>
      <c r="V146" s="417"/>
      <c r="W146" s="417"/>
      <c r="X146" s="417"/>
      <c r="Y146" s="417"/>
      <c r="Z146" s="417"/>
      <c r="AA146" s="417"/>
      <c r="AB146" s="417"/>
      <c r="AC146" s="417"/>
      <c r="AD146" s="417"/>
      <c r="AE146" s="417"/>
    </row>
    <row r="147" spans="6:31" ht="16.5" customHeight="1">
      <c r="F147" s="417"/>
      <c r="G147" s="417"/>
      <c r="H147" s="417"/>
      <c r="I147" s="417"/>
      <c r="J147" s="417"/>
      <c r="K147" s="417"/>
      <c r="L147" s="417"/>
      <c r="M147" s="417"/>
      <c r="N147" s="417"/>
      <c r="O147" s="417"/>
      <c r="P147" s="417"/>
      <c r="Q147" s="417"/>
      <c r="R147" s="417"/>
      <c r="S147" s="417"/>
      <c r="T147" s="417"/>
      <c r="U147" s="417"/>
      <c r="V147" s="417"/>
      <c r="W147" s="417"/>
      <c r="X147" s="417"/>
      <c r="Y147" s="417"/>
      <c r="Z147" s="417"/>
      <c r="AA147" s="417"/>
      <c r="AB147" s="417"/>
      <c r="AC147" s="417"/>
      <c r="AD147" s="417"/>
      <c r="AE147" s="417"/>
    </row>
    <row r="148" spans="6:31" ht="16.5" customHeight="1">
      <c r="F148" s="417"/>
      <c r="G148" s="417"/>
      <c r="H148" s="417"/>
      <c r="I148" s="417"/>
      <c r="J148" s="417"/>
      <c r="K148" s="417"/>
      <c r="L148" s="417"/>
      <c r="M148" s="417"/>
      <c r="N148" s="417"/>
      <c r="O148" s="417"/>
      <c r="P148" s="417"/>
      <c r="Q148" s="417"/>
      <c r="R148" s="417"/>
      <c r="S148" s="417"/>
      <c r="T148" s="417"/>
      <c r="U148" s="417"/>
      <c r="V148" s="417"/>
      <c r="W148" s="417"/>
      <c r="X148" s="417"/>
      <c r="Y148" s="417"/>
      <c r="Z148" s="417"/>
      <c r="AA148" s="417"/>
      <c r="AB148" s="417"/>
      <c r="AC148" s="417"/>
      <c r="AD148" s="417"/>
      <c r="AE148" s="417"/>
    </row>
    <row r="149" spans="6:31" ht="16.5" customHeight="1">
      <c r="F149" s="417"/>
      <c r="G149" s="417"/>
      <c r="H149" s="417"/>
      <c r="I149" s="417"/>
      <c r="J149" s="417"/>
      <c r="K149" s="417"/>
      <c r="L149" s="417"/>
      <c r="M149" s="417"/>
      <c r="N149" s="417"/>
      <c r="O149" s="417"/>
      <c r="P149" s="417"/>
      <c r="Q149" s="417"/>
      <c r="R149" s="417"/>
      <c r="S149" s="417"/>
      <c r="T149" s="417"/>
      <c r="U149" s="417"/>
      <c r="V149" s="417"/>
      <c r="W149" s="417"/>
      <c r="X149" s="417"/>
      <c r="Y149" s="417"/>
      <c r="Z149" s="417"/>
      <c r="AA149" s="417"/>
      <c r="AB149" s="417"/>
      <c r="AC149" s="417"/>
      <c r="AD149" s="417"/>
      <c r="AE149" s="417"/>
    </row>
    <row r="150" spans="6:31" ht="16.5" customHeight="1">
      <c r="F150" s="417"/>
      <c r="G150" s="417"/>
      <c r="H150" s="417"/>
      <c r="I150" s="417"/>
      <c r="J150" s="417"/>
      <c r="K150" s="417"/>
      <c r="L150" s="417"/>
      <c r="M150" s="417"/>
      <c r="N150" s="417"/>
      <c r="O150" s="417"/>
      <c r="P150" s="417"/>
      <c r="Q150" s="417"/>
      <c r="R150" s="417"/>
      <c r="S150" s="417"/>
      <c r="T150" s="417"/>
      <c r="U150" s="417"/>
      <c r="V150" s="417"/>
      <c r="W150" s="417"/>
      <c r="X150" s="417"/>
      <c r="Y150" s="417"/>
      <c r="Z150" s="417"/>
      <c r="AA150" s="417"/>
      <c r="AB150" s="417"/>
      <c r="AC150" s="417"/>
      <c r="AD150" s="417"/>
      <c r="AE150" s="417"/>
    </row>
    <row r="151" ht="16.5" customHeight="1">
      <c r="AE151" s="417"/>
    </row>
    <row r="152" ht="16.5" customHeight="1">
      <c r="AE152" s="417"/>
    </row>
    <row r="153" ht="16.5" customHeight="1">
      <c r="AE153" s="417"/>
    </row>
    <row r="154" ht="16.5" customHeight="1">
      <c r="AE154" s="417"/>
    </row>
    <row r="155" ht="16.5" customHeight="1"/>
    <row r="156" ht="16.5" customHeight="1"/>
    <row r="157" ht="16.5" customHeight="1"/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Roman,Normal"&amp;8&amp;F-&amp;A</oddFooter>
  </headerFooter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8">
    <pageSetUpPr fitToPage="1"/>
  </sheetPr>
  <dimension ref="A1:AE154"/>
  <sheetViews>
    <sheetView zoomScale="70" zoomScaleNormal="70" zoomScalePageLayoutView="0" workbookViewId="0" topLeftCell="A1">
      <selection activeCell="N51" sqref="N51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57421875" style="9" customWidth="1"/>
    <col min="6" max="7" width="25.7109375" style="9" customWidth="1"/>
    <col min="8" max="8" width="9.7109375" style="9" customWidth="1"/>
    <col min="9" max="9" width="12.7109375" style="9" customWidth="1"/>
    <col min="10" max="10" width="13.7109375" style="9" hidden="1" customWidth="1"/>
    <col min="11" max="12" width="15.7109375" style="9" customWidth="1"/>
    <col min="13" max="16" width="9.7109375" style="9" customWidth="1"/>
    <col min="17" max="17" width="5.8515625" style="9" customWidth="1"/>
    <col min="18" max="18" width="7.00390625" style="9" customWidth="1"/>
    <col min="19" max="19" width="13.140625" style="9" hidden="1" customWidth="1"/>
    <col min="20" max="21" width="16.421875" style="9" hidden="1" customWidth="1"/>
    <col min="22" max="22" width="16.57421875" style="9" hidden="1" customWidth="1"/>
    <col min="23" max="27" width="16.28125" style="9" hidden="1" customWidth="1"/>
    <col min="28" max="28" width="9.7109375" style="9" customWidth="1"/>
    <col min="29" max="29" width="15.7109375" style="9" customWidth="1"/>
    <col min="30" max="30" width="4.140625" style="9" customWidth="1"/>
    <col min="31" max="16384" width="11.421875" style="9" customWidth="1"/>
  </cols>
  <sheetData>
    <row r="1" spans="2:30" s="3" customFormat="1" ht="26.25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280"/>
    </row>
    <row r="2" spans="1:30" s="3" customFormat="1" ht="26.25">
      <c r="A2" s="88"/>
      <c r="B2" s="281" t="str">
        <f>'TOT-0912'!B2</f>
        <v>ANEXO IV al Memorándum  D.T.E.E.  N° 295 / 2014</v>
      </c>
      <c r="C2" s="281"/>
      <c r="D2" s="281"/>
      <c r="E2" s="281"/>
      <c r="F2" s="281"/>
      <c r="G2" s="2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</row>
    <row r="3" spans="1:30" s="8" customFormat="1" ht="12.7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</row>
    <row r="4" spans="1:30" s="14" customFormat="1" ht="11.25">
      <c r="A4" s="282" t="s">
        <v>53</v>
      </c>
      <c r="B4" s="283"/>
      <c r="C4" s="283"/>
      <c r="D4" s="283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</row>
    <row r="5" spans="1:30" s="14" customFormat="1" ht="11.25">
      <c r="A5" s="282" t="s">
        <v>3</v>
      </c>
      <c r="B5" s="283"/>
      <c r="C5" s="283"/>
      <c r="D5" s="283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</row>
    <row r="6" spans="1:30" s="8" customFormat="1" ht="13.5" thickBo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</row>
    <row r="7" spans="1:30" s="8" customFormat="1" ht="13.5" thickTop="1">
      <c r="A7" s="89"/>
      <c r="B7" s="285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94"/>
    </row>
    <row r="8" spans="1:30" s="18" customFormat="1" ht="20.25">
      <c r="A8" s="287"/>
      <c r="B8" s="288"/>
      <c r="C8" s="289"/>
      <c r="D8" s="289"/>
      <c r="E8" s="287"/>
      <c r="F8" s="290" t="s">
        <v>23</v>
      </c>
      <c r="G8" s="287"/>
      <c r="H8" s="287"/>
      <c r="I8" s="291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98"/>
    </row>
    <row r="9" spans="1:30" s="8" customFormat="1" ht="12.75">
      <c r="A9" s="89"/>
      <c r="B9" s="292"/>
      <c r="C9" s="83"/>
      <c r="D9" s="83"/>
      <c r="E9" s="89"/>
      <c r="F9" s="83"/>
      <c r="G9" s="293"/>
      <c r="H9" s="89"/>
      <c r="I9" s="83"/>
      <c r="J9" s="89"/>
      <c r="K9" s="89"/>
      <c r="L9" s="89"/>
      <c r="M9" s="89"/>
      <c r="N9" s="89"/>
      <c r="O9" s="89"/>
      <c r="P9" s="89"/>
      <c r="Q9" s="89"/>
      <c r="R9" s="89"/>
      <c r="S9" s="89"/>
      <c r="T9" s="83"/>
      <c r="U9" s="83"/>
      <c r="V9" s="83"/>
      <c r="W9" s="83"/>
      <c r="X9" s="83"/>
      <c r="Y9" s="83"/>
      <c r="Z9" s="83"/>
      <c r="AA9" s="83"/>
      <c r="AB9" s="83"/>
      <c r="AC9" s="83"/>
      <c r="AD9" s="99"/>
    </row>
    <row r="10" spans="1:30" s="249" customFormat="1" ht="33" customHeight="1">
      <c r="A10" s="440"/>
      <c r="B10" s="441"/>
      <c r="C10" s="442"/>
      <c r="D10" s="442"/>
      <c r="E10" s="440"/>
      <c r="F10" s="418" t="s">
        <v>54</v>
      </c>
      <c r="G10" s="440"/>
      <c r="H10" s="443"/>
      <c r="I10" s="442"/>
      <c r="J10" s="440"/>
      <c r="K10" s="440"/>
      <c r="L10" s="440"/>
      <c r="M10" s="440"/>
      <c r="N10" s="440"/>
      <c r="O10" s="440"/>
      <c r="P10" s="440"/>
      <c r="Q10" s="440"/>
      <c r="R10" s="440"/>
      <c r="S10" s="440"/>
      <c r="T10" s="442"/>
      <c r="U10" s="442"/>
      <c r="V10" s="442"/>
      <c r="W10" s="442"/>
      <c r="X10" s="442"/>
      <c r="Y10" s="442"/>
      <c r="Z10" s="442"/>
      <c r="AA10" s="442"/>
      <c r="AB10" s="442"/>
      <c r="AC10" s="442"/>
      <c r="AD10" s="253"/>
    </row>
    <row r="11" spans="1:30" s="254" customFormat="1" ht="33" customHeight="1">
      <c r="A11" s="419"/>
      <c r="B11" s="420"/>
      <c r="C11" s="421"/>
      <c r="D11" s="421"/>
      <c r="E11" s="419"/>
      <c r="F11" s="272" t="s">
        <v>380</v>
      </c>
      <c r="G11" s="421"/>
      <c r="H11" s="421"/>
      <c r="I11" s="422"/>
      <c r="J11" s="421"/>
      <c r="K11" s="421"/>
      <c r="L11" s="421"/>
      <c r="M11" s="421"/>
      <c r="N11" s="421"/>
      <c r="O11" s="419"/>
      <c r="P11" s="419"/>
      <c r="Q11" s="419"/>
      <c r="R11" s="419"/>
      <c r="S11" s="419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258"/>
    </row>
    <row r="12" spans="1:30" s="34" customFormat="1" ht="19.5">
      <c r="A12" s="309"/>
      <c r="B12" s="35" t="str">
        <f>'TOT-0912'!B14</f>
        <v>Desde el 01 al 30 de septiembre de 2012</v>
      </c>
      <c r="C12" s="39"/>
      <c r="D12" s="39"/>
      <c r="E12" s="310"/>
      <c r="F12" s="311"/>
      <c r="G12" s="311"/>
      <c r="H12" s="311"/>
      <c r="I12" s="311"/>
      <c r="J12" s="311"/>
      <c r="K12" s="311"/>
      <c r="L12" s="311"/>
      <c r="M12" s="311"/>
      <c r="N12" s="311"/>
      <c r="O12" s="310"/>
      <c r="P12" s="310"/>
      <c r="Q12" s="310"/>
      <c r="R12" s="310"/>
      <c r="S12" s="310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2"/>
    </row>
    <row r="13" spans="1:30" s="8" customFormat="1" ht="13.5" thickBot="1">
      <c r="A13" s="89"/>
      <c r="B13" s="292"/>
      <c r="C13" s="83"/>
      <c r="D13" s="83"/>
      <c r="E13" s="89"/>
      <c r="F13" s="83"/>
      <c r="G13" s="83"/>
      <c r="H13" s="83"/>
      <c r="I13" s="308"/>
      <c r="J13" s="83"/>
      <c r="K13" s="83"/>
      <c r="L13" s="83"/>
      <c r="M13" s="83"/>
      <c r="N13" s="83"/>
      <c r="O13" s="89"/>
      <c r="P13" s="89"/>
      <c r="Q13" s="89"/>
      <c r="R13" s="89"/>
      <c r="S13" s="89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99"/>
    </row>
    <row r="14" spans="1:30" s="8" customFormat="1" ht="16.5" customHeight="1" thickBot="1" thickTop="1">
      <c r="A14" s="89"/>
      <c r="B14" s="292"/>
      <c r="C14" s="83"/>
      <c r="D14" s="83"/>
      <c r="E14" s="89"/>
      <c r="F14" s="313" t="s">
        <v>56</v>
      </c>
      <c r="G14" s="314"/>
      <c r="H14" s="315">
        <f>0.6*0.697</f>
        <v>0.41819999999999996</v>
      </c>
      <c r="J14" s="89"/>
      <c r="K14" s="89"/>
      <c r="L14" s="89"/>
      <c r="M14" s="89"/>
      <c r="N14" s="89"/>
      <c r="O14" s="89"/>
      <c r="P14" s="89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99"/>
    </row>
    <row r="15" spans="1:30" s="8" customFormat="1" ht="16.5" customHeight="1" thickBot="1" thickTop="1">
      <c r="A15" s="89"/>
      <c r="B15" s="292"/>
      <c r="C15" s="83"/>
      <c r="D15" s="83"/>
      <c r="E15" s="89"/>
      <c r="F15" s="316" t="s">
        <v>57</v>
      </c>
      <c r="G15" s="317"/>
      <c r="H15" s="318">
        <v>200</v>
      </c>
      <c r="I15" s="9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319"/>
      <c r="X15" s="319"/>
      <c r="Y15" s="319"/>
      <c r="Z15" s="319"/>
      <c r="AA15" s="319"/>
      <c r="AB15" s="319"/>
      <c r="AC15" s="89"/>
      <c r="AD15" s="99"/>
    </row>
    <row r="16" spans="1:30" s="8" customFormat="1" ht="16.5" customHeight="1" thickBot="1" thickTop="1">
      <c r="A16" s="89"/>
      <c r="B16" s="292"/>
      <c r="C16" s="320">
        <v>3</v>
      </c>
      <c r="D16" s="320">
        <v>4</v>
      </c>
      <c r="E16" s="320">
        <v>5</v>
      </c>
      <c r="F16" s="320">
        <v>6</v>
      </c>
      <c r="G16" s="320">
        <v>7</v>
      </c>
      <c r="H16" s="320">
        <v>8</v>
      </c>
      <c r="I16" s="320">
        <v>9</v>
      </c>
      <c r="J16" s="320">
        <v>10</v>
      </c>
      <c r="K16" s="320">
        <v>11</v>
      </c>
      <c r="L16" s="320">
        <v>12</v>
      </c>
      <c r="M16" s="320">
        <v>13</v>
      </c>
      <c r="N16" s="320">
        <v>14</v>
      </c>
      <c r="O16" s="320">
        <v>15</v>
      </c>
      <c r="P16" s="320">
        <v>16</v>
      </c>
      <c r="Q16" s="320">
        <v>17</v>
      </c>
      <c r="R16" s="320">
        <v>18</v>
      </c>
      <c r="S16" s="320">
        <v>19</v>
      </c>
      <c r="T16" s="320">
        <v>20</v>
      </c>
      <c r="U16" s="320">
        <v>21</v>
      </c>
      <c r="V16" s="320">
        <v>22</v>
      </c>
      <c r="W16" s="320">
        <v>23</v>
      </c>
      <c r="X16" s="320">
        <v>24</v>
      </c>
      <c r="Y16" s="320">
        <v>25</v>
      </c>
      <c r="Z16" s="320">
        <v>26</v>
      </c>
      <c r="AA16" s="320">
        <v>27</v>
      </c>
      <c r="AB16" s="320">
        <v>28</v>
      </c>
      <c r="AC16" s="320">
        <v>29</v>
      </c>
      <c r="AD16" s="99"/>
    </row>
    <row r="17" spans="1:30" s="8" customFormat="1" ht="33.75" customHeight="1" thickBot="1" thickTop="1">
      <c r="A17" s="89"/>
      <c r="B17" s="292"/>
      <c r="C17" s="321" t="s">
        <v>28</v>
      </c>
      <c r="D17" s="111" t="s">
        <v>29</v>
      </c>
      <c r="E17" s="111" t="s">
        <v>30</v>
      </c>
      <c r="F17" s="322" t="s">
        <v>58</v>
      </c>
      <c r="G17" s="323" t="s">
        <v>59</v>
      </c>
      <c r="H17" s="324" t="s">
        <v>60</v>
      </c>
      <c r="I17" s="325" t="s">
        <v>31</v>
      </c>
      <c r="J17" s="326" t="s">
        <v>35</v>
      </c>
      <c r="K17" s="323" t="s">
        <v>36</v>
      </c>
      <c r="L17" s="323" t="s">
        <v>37</v>
      </c>
      <c r="M17" s="322" t="s">
        <v>61</v>
      </c>
      <c r="N17" s="322" t="s">
        <v>39</v>
      </c>
      <c r="O17" s="119" t="s">
        <v>254</v>
      </c>
      <c r="P17" s="119" t="s">
        <v>40</v>
      </c>
      <c r="Q17" s="327" t="s">
        <v>42</v>
      </c>
      <c r="R17" s="323" t="s">
        <v>62</v>
      </c>
      <c r="S17" s="328" t="s">
        <v>34</v>
      </c>
      <c r="T17" s="329" t="s">
        <v>43</v>
      </c>
      <c r="U17" s="330" t="s">
        <v>44</v>
      </c>
      <c r="V17" s="122" t="s">
        <v>63</v>
      </c>
      <c r="W17" s="124"/>
      <c r="X17" s="331" t="s">
        <v>64</v>
      </c>
      <c r="Y17" s="332"/>
      <c r="Z17" s="333" t="s">
        <v>47</v>
      </c>
      <c r="AA17" s="334" t="s">
        <v>48</v>
      </c>
      <c r="AB17" s="130" t="s">
        <v>49</v>
      </c>
      <c r="AC17" s="325" t="s">
        <v>50</v>
      </c>
      <c r="AD17" s="99"/>
    </row>
    <row r="18" spans="1:30" s="8" customFormat="1" ht="16.5" customHeight="1" thickTop="1">
      <c r="A18" s="89"/>
      <c r="B18" s="292"/>
      <c r="C18" s="335"/>
      <c r="D18" s="335"/>
      <c r="E18" s="335"/>
      <c r="F18" s="335"/>
      <c r="G18" s="335"/>
      <c r="H18" s="335"/>
      <c r="I18" s="336"/>
      <c r="J18" s="337"/>
      <c r="K18" s="335"/>
      <c r="L18" s="335"/>
      <c r="M18" s="335"/>
      <c r="N18" s="335"/>
      <c r="O18" s="335"/>
      <c r="P18" s="132"/>
      <c r="Q18" s="447"/>
      <c r="R18" s="133"/>
      <c r="S18" s="448"/>
      <c r="T18" s="449"/>
      <c r="U18" s="450"/>
      <c r="V18" s="342"/>
      <c r="W18" s="343"/>
      <c r="X18" s="451"/>
      <c r="Y18" s="452"/>
      <c r="Z18" s="453"/>
      <c r="AA18" s="454"/>
      <c r="AB18" s="447"/>
      <c r="AC18" s="455"/>
      <c r="AD18" s="99"/>
    </row>
    <row r="19" spans="1:30" s="8" customFormat="1" ht="16.5" customHeight="1">
      <c r="A19" s="89"/>
      <c r="B19" s="292"/>
      <c r="C19" s="150"/>
      <c r="D19" s="150"/>
      <c r="E19" s="150"/>
      <c r="F19" s="150"/>
      <c r="G19" s="150"/>
      <c r="H19" s="150"/>
      <c r="I19" s="349"/>
      <c r="J19" s="350"/>
      <c r="K19" s="150"/>
      <c r="L19" s="150"/>
      <c r="M19" s="150"/>
      <c r="N19" s="150"/>
      <c r="O19" s="150"/>
      <c r="P19" s="456">
        <f aca="true" t="shared" si="0" ref="P19:P39">IF(F19="","","--")</f>
      </c>
      <c r="Q19" s="425">
        <f>IF(F19="","",IF(OR(O19="P",O19="RP"),"--","NO"))</f>
      </c>
      <c r="R19" s="426">
        <f aca="true" t="shared" si="1" ref="R19:R39">IF(F19="","","NO")</f>
      </c>
      <c r="S19" s="424">
        <f aca="true" t="shared" si="2" ref="S19:S39">$H$15*IF(OR(O19="P",O19="RP"),0.1,1)*IF(R19="SI",1,0.1)</f>
        <v>20</v>
      </c>
      <c r="T19" s="457" t="str">
        <f aca="true" t="shared" si="3" ref="T19:T39">IF(O19="P",J19*S19*ROUND(N19/60,2),"--")</f>
        <v>--</v>
      </c>
      <c r="U19" s="458" t="str">
        <f aca="true" t="shared" si="4" ref="U19:U39">IF(O19="RP",J19*S19*P19/100*ROUND(N19/60,2),"--")</f>
        <v>--</v>
      </c>
      <c r="V19" s="375" t="str">
        <f aca="true" t="shared" si="5" ref="V19:V39">IF(AND(O19="F",Q19="NO"),J19*S19,"--")</f>
        <v>--</v>
      </c>
      <c r="W19" s="376" t="str">
        <f aca="true" t="shared" si="6" ref="W19:W39">IF(O19="F",J19*S19*ROUND(N19/60,2),"--")</f>
        <v>--</v>
      </c>
      <c r="X19" s="377" t="str">
        <f aca="true" t="shared" si="7" ref="X19:X39">IF(AND(O19="R",Q19="NO"),J19*S19*P19/100,"--")</f>
        <v>--</v>
      </c>
      <c r="Y19" s="378" t="str">
        <f aca="true" t="shared" si="8" ref="Y19:Y39">IF(O19="R",J19*S19*P19/100*ROUND(N19/60,2),"--")</f>
        <v>--</v>
      </c>
      <c r="Z19" s="459" t="str">
        <f aca="true" t="shared" si="9" ref="Z19:Z39">IF(O19="RF",J19*S19*ROUND(N19/60,2),"--")</f>
        <v>--</v>
      </c>
      <c r="AA19" s="380" t="str">
        <f aca="true" t="shared" si="10" ref="AA19:AA39">IF(O19="RR",J19*S19*P19/100*ROUND(N19/60,2),"--")</f>
        <v>--</v>
      </c>
      <c r="AB19" s="429">
        <f aca="true" t="shared" si="11" ref="AB19:AB39">IF(F19="","","SI")</f>
      </c>
      <c r="AC19" s="361"/>
      <c r="AD19" s="99"/>
    </row>
    <row r="20" spans="1:30" s="8" customFormat="1" ht="16.5" customHeight="1">
      <c r="A20" s="89"/>
      <c r="B20" s="292"/>
      <c r="C20" s="150">
        <v>56</v>
      </c>
      <c r="D20" s="150">
        <v>251853</v>
      </c>
      <c r="E20" s="169">
        <v>4784</v>
      </c>
      <c r="F20" s="362" t="s">
        <v>351</v>
      </c>
      <c r="G20" s="363" t="s">
        <v>271</v>
      </c>
      <c r="H20" s="364">
        <v>150</v>
      </c>
      <c r="I20" s="618" t="s">
        <v>80</v>
      </c>
      <c r="J20" s="366">
        <f aca="true" t="shared" si="12" ref="J20:J39">H20*$H$14</f>
        <v>62.73</v>
      </c>
      <c r="K20" s="367">
        <v>41174.29652777778</v>
      </c>
      <c r="L20" s="367">
        <v>41174.754166666666</v>
      </c>
      <c r="M20" s="368">
        <f aca="true" t="shared" si="13" ref="M20:M39">IF(F20="","",(L20-K20)*24)</f>
        <v>10.983333333337214</v>
      </c>
      <c r="N20" s="369">
        <f aca="true" t="shared" si="14" ref="N20:N39">IF(F20="","",ROUND((L20-K20)*24*60,0))</f>
        <v>659</v>
      </c>
      <c r="O20" s="370" t="s">
        <v>259</v>
      </c>
      <c r="P20" s="274" t="str">
        <f t="shared" si="0"/>
        <v>--</v>
      </c>
      <c r="Q20" s="371" t="str">
        <f>IF(F20="","",IF(OR(O20="P",O20="RP"),"--","NO"))</f>
        <v>--</v>
      </c>
      <c r="R20" s="180" t="str">
        <f t="shared" si="1"/>
        <v>NO</v>
      </c>
      <c r="S20" s="372">
        <f t="shared" si="2"/>
        <v>2</v>
      </c>
      <c r="T20" s="427">
        <f t="shared" si="3"/>
        <v>1377.5508</v>
      </c>
      <c r="U20" s="428" t="str">
        <f t="shared" si="4"/>
        <v>--</v>
      </c>
      <c r="V20" s="375" t="str">
        <f t="shared" si="5"/>
        <v>--</v>
      </c>
      <c r="W20" s="376" t="str">
        <f t="shared" si="6"/>
        <v>--</v>
      </c>
      <c r="X20" s="377" t="str">
        <f t="shared" si="7"/>
        <v>--</v>
      </c>
      <c r="Y20" s="378" t="str">
        <f t="shared" si="8"/>
        <v>--</v>
      </c>
      <c r="Z20" s="379" t="str">
        <f t="shared" si="9"/>
        <v>--</v>
      </c>
      <c r="AA20" s="380" t="str">
        <f t="shared" si="10"/>
        <v>--</v>
      </c>
      <c r="AB20" s="444" t="str">
        <f t="shared" si="11"/>
        <v>SI</v>
      </c>
      <c r="AC20" s="445">
        <f aca="true" t="shared" si="15" ref="AC20:AC39">IF(F20="","",SUM(T20:AA20)*IF(AB20="SI",1,2)*IF(AND(P20&lt;&gt;"--",O20="RF"),P20/100,1))</f>
        <v>1377.5508</v>
      </c>
      <c r="AD20" s="99"/>
    </row>
    <row r="21" spans="1:30" s="8" customFormat="1" ht="16.5" customHeight="1">
      <c r="A21" s="89"/>
      <c r="B21" s="292"/>
      <c r="C21" s="150">
        <v>57</v>
      </c>
      <c r="D21" s="150">
        <v>251856</v>
      </c>
      <c r="E21" s="169">
        <v>4784</v>
      </c>
      <c r="F21" s="362" t="s">
        <v>351</v>
      </c>
      <c r="G21" s="363" t="s">
        <v>271</v>
      </c>
      <c r="H21" s="364">
        <v>150</v>
      </c>
      <c r="I21" s="618" t="s">
        <v>80</v>
      </c>
      <c r="J21" s="366">
        <f t="shared" si="12"/>
        <v>62.73</v>
      </c>
      <c r="K21" s="367">
        <v>41175.28611111111</v>
      </c>
      <c r="L21" s="367">
        <v>41175.768055555556</v>
      </c>
      <c r="M21" s="368">
        <f t="shared" si="13"/>
        <v>11.566666666651145</v>
      </c>
      <c r="N21" s="369">
        <f t="shared" si="14"/>
        <v>694</v>
      </c>
      <c r="O21" s="370" t="s">
        <v>259</v>
      </c>
      <c r="P21" s="274" t="str">
        <f t="shared" si="0"/>
        <v>--</v>
      </c>
      <c r="Q21" s="371" t="str">
        <f aca="true" t="shared" si="16" ref="Q21:Q39">IF(F21="","",IF(O21="P","--","NO"))</f>
        <v>--</v>
      </c>
      <c r="R21" s="180" t="str">
        <f t="shared" si="1"/>
        <v>NO</v>
      </c>
      <c r="S21" s="372">
        <f t="shared" si="2"/>
        <v>2</v>
      </c>
      <c r="T21" s="427">
        <f t="shared" si="3"/>
        <v>1451.5722</v>
      </c>
      <c r="U21" s="428" t="str">
        <f t="shared" si="4"/>
        <v>--</v>
      </c>
      <c r="V21" s="375" t="str">
        <f t="shared" si="5"/>
        <v>--</v>
      </c>
      <c r="W21" s="376" t="str">
        <f t="shared" si="6"/>
        <v>--</v>
      </c>
      <c r="X21" s="377" t="str">
        <f t="shared" si="7"/>
        <v>--</v>
      </c>
      <c r="Y21" s="378" t="str">
        <f t="shared" si="8"/>
        <v>--</v>
      </c>
      <c r="Z21" s="379" t="str">
        <f t="shared" si="9"/>
        <v>--</v>
      </c>
      <c r="AA21" s="380" t="str">
        <f t="shared" si="10"/>
        <v>--</v>
      </c>
      <c r="AB21" s="444" t="str">
        <f t="shared" si="11"/>
        <v>SI</v>
      </c>
      <c r="AC21" s="445">
        <f t="shared" si="15"/>
        <v>1451.5722</v>
      </c>
      <c r="AD21" s="99"/>
    </row>
    <row r="22" spans="1:30" s="8" customFormat="1" ht="16.5" customHeight="1">
      <c r="A22" s="89"/>
      <c r="B22" s="292"/>
      <c r="C22" s="150">
        <v>58</v>
      </c>
      <c r="D22" s="150">
        <v>252039</v>
      </c>
      <c r="E22" s="169">
        <v>4784</v>
      </c>
      <c r="F22" s="362" t="s">
        <v>351</v>
      </c>
      <c r="G22" s="363" t="s">
        <v>271</v>
      </c>
      <c r="H22" s="364">
        <v>150</v>
      </c>
      <c r="I22" s="618" t="s">
        <v>80</v>
      </c>
      <c r="J22" s="366">
        <f t="shared" si="12"/>
        <v>62.73</v>
      </c>
      <c r="K22" s="367">
        <v>41176.290972222225</v>
      </c>
      <c r="L22" s="367">
        <v>41176.73819444444</v>
      </c>
      <c r="M22" s="368">
        <f t="shared" si="13"/>
        <v>10.733333333220799</v>
      </c>
      <c r="N22" s="369">
        <f t="shared" si="14"/>
        <v>644</v>
      </c>
      <c r="O22" s="370" t="s">
        <v>259</v>
      </c>
      <c r="P22" s="274" t="str">
        <f t="shared" si="0"/>
        <v>--</v>
      </c>
      <c r="Q22" s="371" t="str">
        <f t="shared" si="16"/>
        <v>--</v>
      </c>
      <c r="R22" s="180" t="str">
        <f t="shared" si="1"/>
        <v>NO</v>
      </c>
      <c r="S22" s="372">
        <f t="shared" si="2"/>
        <v>2</v>
      </c>
      <c r="T22" s="427">
        <f t="shared" si="3"/>
        <v>1346.1858</v>
      </c>
      <c r="U22" s="428" t="str">
        <f t="shared" si="4"/>
        <v>--</v>
      </c>
      <c r="V22" s="375" t="str">
        <f t="shared" si="5"/>
        <v>--</v>
      </c>
      <c r="W22" s="376" t="str">
        <f t="shared" si="6"/>
        <v>--</v>
      </c>
      <c r="X22" s="377" t="str">
        <f t="shared" si="7"/>
        <v>--</v>
      </c>
      <c r="Y22" s="378" t="str">
        <f t="shared" si="8"/>
        <v>--</v>
      </c>
      <c r="Z22" s="379" t="str">
        <f t="shared" si="9"/>
        <v>--</v>
      </c>
      <c r="AA22" s="380" t="str">
        <f t="shared" si="10"/>
        <v>--</v>
      </c>
      <c r="AB22" s="444" t="str">
        <f t="shared" si="11"/>
        <v>SI</v>
      </c>
      <c r="AC22" s="445">
        <f t="shared" si="15"/>
        <v>1346.1858</v>
      </c>
      <c r="AD22" s="99"/>
    </row>
    <row r="23" spans="1:30" s="8" customFormat="1" ht="16.5" customHeight="1">
      <c r="A23" s="89"/>
      <c r="B23" s="292"/>
      <c r="C23" s="150"/>
      <c r="D23" s="150"/>
      <c r="E23" s="150"/>
      <c r="F23" s="362"/>
      <c r="G23" s="363"/>
      <c r="H23" s="364"/>
      <c r="I23" s="365"/>
      <c r="J23" s="366">
        <f t="shared" si="12"/>
        <v>0</v>
      </c>
      <c r="K23" s="367"/>
      <c r="L23" s="367"/>
      <c r="M23" s="368">
        <f t="shared" si="13"/>
      </c>
      <c r="N23" s="369">
        <f t="shared" si="14"/>
      </c>
      <c r="O23" s="370"/>
      <c r="P23" s="274">
        <f t="shared" si="0"/>
      </c>
      <c r="Q23" s="371">
        <f t="shared" si="16"/>
      </c>
      <c r="R23" s="180">
        <f t="shared" si="1"/>
      </c>
      <c r="S23" s="372">
        <f t="shared" si="2"/>
        <v>20</v>
      </c>
      <c r="T23" s="427" t="str">
        <f t="shared" si="3"/>
        <v>--</v>
      </c>
      <c r="U23" s="428" t="str">
        <f t="shared" si="4"/>
        <v>--</v>
      </c>
      <c r="V23" s="375" t="str">
        <f t="shared" si="5"/>
        <v>--</v>
      </c>
      <c r="W23" s="376" t="str">
        <f t="shared" si="6"/>
        <v>--</v>
      </c>
      <c r="X23" s="377" t="str">
        <f t="shared" si="7"/>
        <v>--</v>
      </c>
      <c r="Y23" s="378" t="str">
        <f t="shared" si="8"/>
        <v>--</v>
      </c>
      <c r="Z23" s="379" t="str">
        <f t="shared" si="9"/>
        <v>--</v>
      </c>
      <c r="AA23" s="380" t="str">
        <f t="shared" si="10"/>
        <v>--</v>
      </c>
      <c r="AB23" s="444">
        <f t="shared" si="11"/>
      </c>
      <c r="AC23" s="445">
        <f t="shared" si="15"/>
      </c>
      <c r="AD23" s="99"/>
    </row>
    <row r="24" spans="1:30" s="8" customFormat="1" ht="16.5" customHeight="1">
      <c r="A24" s="89"/>
      <c r="B24" s="292"/>
      <c r="C24" s="150"/>
      <c r="D24" s="150"/>
      <c r="E24" s="169"/>
      <c r="F24" s="362"/>
      <c r="G24" s="363"/>
      <c r="H24" s="364"/>
      <c r="I24" s="365"/>
      <c r="J24" s="366">
        <f t="shared" si="12"/>
        <v>0</v>
      </c>
      <c r="K24" s="367"/>
      <c r="L24" s="367"/>
      <c r="M24" s="368">
        <f t="shared" si="13"/>
      </c>
      <c r="N24" s="369">
        <f t="shared" si="14"/>
      </c>
      <c r="O24" s="370"/>
      <c r="P24" s="274">
        <f t="shared" si="0"/>
      </c>
      <c r="Q24" s="371">
        <f t="shared" si="16"/>
      </c>
      <c r="R24" s="180">
        <f t="shared" si="1"/>
      </c>
      <c r="S24" s="372">
        <f t="shared" si="2"/>
        <v>20</v>
      </c>
      <c r="T24" s="427" t="str">
        <f t="shared" si="3"/>
        <v>--</v>
      </c>
      <c r="U24" s="428" t="str">
        <f t="shared" si="4"/>
        <v>--</v>
      </c>
      <c r="V24" s="375" t="str">
        <f t="shared" si="5"/>
        <v>--</v>
      </c>
      <c r="W24" s="376" t="str">
        <f t="shared" si="6"/>
        <v>--</v>
      </c>
      <c r="X24" s="377" t="str">
        <f t="shared" si="7"/>
        <v>--</v>
      </c>
      <c r="Y24" s="378" t="str">
        <f t="shared" si="8"/>
        <v>--</v>
      </c>
      <c r="Z24" s="379" t="str">
        <f t="shared" si="9"/>
        <v>--</v>
      </c>
      <c r="AA24" s="380" t="str">
        <f t="shared" si="10"/>
        <v>--</v>
      </c>
      <c r="AB24" s="444">
        <f t="shared" si="11"/>
      </c>
      <c r="AC24" s="445">
        <f t="shared" si="15"/>
      </c>
      <c r="AD24" s="99"/>
    </row>
    <row r="25" spans="1:30" s="8" customFormat="1" ht="16.5" customHeight="1">
      <c r="A25" s="89"/>
      <c r="B25" s="292"/>
      <c r="C25" s="150"/>
      <c r="D25" s="150"/>
      <c r="E25" s="150"/>
      <c r="F25" s="362"/>
      <c r="G25" s="363"/>
      <c r="H25" s="364"/>
      <c r="I25" s="365"/>
      <c r="J25" s="366">
        <f t="shared" si="12"/>
        <v>0</v>
      </c>
      <c r="K25" s="367"/>
      <c r="L25" s="367"/>
      <c r="M25" s="368">
        <f t="shared" si="13"/>
      </c>
      <c r="N25" s="369">
        <f t="shared" si="14"/>
      </c>
      <c r="O25" s="370"/>
      <c r="P25" s="274">
        <f t="shared" si="0"/>
      </c>
      <c r="Q25" s="371">
        <f t="shared" si="16"/>
      </c>
      <c r="R25" s="180">
        <f t="shared" si="1"/>
      </c>
      <c r="S25" s="372">
        <f t="shared" si="2"/>
        <v>20</v>
      </c>
      <c r="T25" s="427" t="str">
        <f t="shared" si="3"/>
        <v>--</v>
      </c>
      <c r="U25" s="428" t="str">
        <f t="shared" si="4"/>
        <v>--</v>
      </c>
      <c r="V25" s="375" t="str">
        <f t="shared" si="5"/>
        <v>--</v>
      </c>
      <c r="W25" s="376" t="str">
        <f t="shared" si="6"/>
        <v>--</v>
      </c>
      <c r="X25" s="377" t="str">
        <f t="shared" si="7"/>
        <v>--</v>
      </c>
      <c r="Y25" s="378" t="str">
        <f t="shared" si="8"/>
        <v>--</v>
      </c>
      <c r="Z25" s="379" t="str">
        <f t="shared" si="9"/>
        <v>--</v>
      </c>
      <c r="AA25" s="380" t="str">
        <f t="shared" si="10"/>
        <v>--</v>
      </c>
      <c r="AB25" s="444">
        <f t="shared" si="11"/>
      </c>
      <c r="AC25" s="445">
        <f t="shared" si="15"/>
      </c>
      <c r="AD25" s="99"/>
    </row>
    <row r="26" spans="1:31" s="8" customFormat="1" ht="16.5" customHeight="1">
      <c r="A26" s="89"/>
      <c r="B26" s="292"/>
      <c r="C26" s="150"/>
      <c r="D26" s="150"/>
      <c r="E26" s="169"/>
      <c r="F26" s="362"/>
      <c r="G26" s="363"/>
      <c r="H26" s="364"/>
      <c r="I26" s="365"/>
      <c r="J26" s="366">
        <f t="shared" si="12"/>
        <v>0</v>
      </c>
      <c r="K26" s="367"/>
      <c r="L26" s="367"/>
      <c r="M26" s="368">
        <f t="shared" si="13"/>
      </c>
      <c r="N26" s="369">
        <f t="shared" si="14"/>
      </c>
      <c r="O26" s="370"/>
      <c r="P26" s="274">
        <f t="shared" si="0"/>
      </c>
      <c r="Q26" s="371">
        <f t="shared" si="16"/>
      </c>
      <c r="R26" s="180">
        <f t="shared" si="1"/>
      </c>
      <c r="S26" s="372">
        <f t="shared" si="2"/>
        <v>20</v>
      </c>
      <c r="T26" s="427" t="str">
        <f t="shared" si="3"/>
        <v>--</v>
      </c>
      <c r="U26" s="428" t="str">
        <f t="shared" si="4"/>
        <v>--</v>
      </c>
      <c r="V26" s="375" t="str">
        <f t="shared" si="5"/>
        <v>--</v>
      </c>
      <c r="W26" s="376" t="str">
        <f t="shared" si="6"/>
        <v>--</v>
      </c>
      <c r="X26" s="377" t="str">
        <f t="shared" si="7"/>
        <v>--</v>
      </c>
      <c r="Y26" s="378" t="str">
        <f t="shared" si="8"/>
        <v>--</v>
      </c>
      <c r="Z26" s="379" t="str">
        <f t="shared" si="9"/>
        <v>--</v>
      </c>
      <c r="AA26" s="380" t="str">
        <f t="shared" si="10"/>
        <v>--</v>
      </c>
      <c r="AB26" s="444">
        <f t="shared" si="11"/>
      </c>
      <c r="AC26" s="445">
        <f t="shared" si="15"/>
      </c>
      <c r="AD26" s="99"/>
      <c r="AE26" s="83"/>
    </row>
    <row r="27" spans="1:30" s="8" customFormat="1" ht="16.5" customHeight="1">
      <c r="A27" s="89"/>
      <c r="B27" s="292"/>
      <c r="C27" s="150"/>
      <c r="D27" s="150"/>
      <c r="E27" s="150"/>
      <c r="F27" s="362"/>
      <c r="G27" s="363"/>
      <c r="H27" s="364"/>
      <c r="I27" s="365"/>
      <c r="J27" s="366">
        <f t="shared" si="12"/>
        <v>0</v>
      </c>
      <c r="K27" s="367"/>
      <c r="L27" s="367"/>
      <c r="M27" s="368">
        <f t="shared" si="13"/>
      </c>
      <c r="N27" s="369">
        <f t="shared" si="14"/>
      </c>
      <c r="O27" s="370"/>
      <c r="P27" s="274">
        <f t="shared" si="0"/>
      </c>
      <c r="Q27" s="371">
        <f t="shared" si="16"/>
      </c>
      <c r="R27" s="180">
        <f t="shared" si="1"/>
      </c>
      <c r="S27" s="372">
        <f t="shared" si="2"/>
        <v>20</v>
      </c>
      <c r="T27" s="427" t="str">
        <f t="shared" si="3"/>
        <v>--</v>
      </c>
      <c r="U27" s="428" t="str">
        <f t="shared" si="4"/>
        <v>--</v>
      </c>
      <c r="V27" s="375" t="str">
        <f t="shared" si="5"/>
        <v>--</v>
      </c>
      <c r="W27" s="376" t="str">
        <f t="shared" si="6"/>
        <v>--</v>
      </c>
      <c r="X27" s="377" t="str">
        <f t="shared" si="7"/>
        <v>--</v>
      </c>
      <c r="Y27" s="378" t="str">
        <f t="shared" si="8"/>
        <v>--</v>
      </c>
      <c r="Z27" s="379" t="str">
        <f t="shared" si="9"/>
        <v>--</v>
      </c>
      <c r="AA27" s="380" t="str">
        <f t="shared" si="10"/>
        <v>--</v>
      </c>
      <c r="AB27" s="444">
        <f t="shared" si="11"/>
      </c>
      <c r="AC27" s="445">
        <f t="shared" si="15"/>
      </c>
      <c r="AD27" s="99"/>
    </row>
    <row r="28" spans="1:30" s="8" customFormat="1" ht="16.5" customHeight="1">
      <c r="A28" s="89"/>
      <c r="B28" s="292"/>
      <c r="C28" s="150"/>
      <c r="D28" s="150"/>
      <c r="E28" s="169"/>
      <c r="F28" s="362"/>
      <c r="G28" s="363"/>
      <c r="H28" s="364"/>
      <c r="I28" s="365"/>
      <c r="J28" s="366">
        <f t="shared" si="12"/>
        <v>0</v>
      </c>
      <c r="K28" s="367"/>
      <c r="L28" s="367"/>
      <c r="M28" s="368">
        <f t="shared" si="13"/>
      </c>
      <c r="N28" s="369">
        <f t="shared" si="14"/>
      </c>
      <c r="O28" s="370"/>
      <c r="P28" s="274">
        <f t="shared" si="0"/>
      </c>
      <c r="Q28" s="371">
        <f t="shared" si="16"/>
      </c>
      <c r="R28" s="180">
        <f t="shared" si="1"/>
      </c>
      <c r="S28" s="372">
        <f t="shared" si="2"/>
        <v>20</v>
      </c>
      <c r="T28" s="427" t="str">
        <f t="shared" si="3"/>
        <v>--</v>
      </c>
      <c r="U28" s="428" t="str">
        <f t="shared" si="4"/>
        <v>--</v>
      </c>
      <c r="V28" s="375" t="str">
        <f t="shared" si="5"/>
        <v>--</v>
      </c>
      <c r="W28" s="376" t="str">
        <f t="shared" si="6"/>
        <v>--</v>
      </c>
      <c r="X28" s="377" t="str">
        <f t="shared" si="7"/>
        <v>--</v>
      </c>
      <c r="Y28" s="378" t="str">
        <f t="shared" si="8"/>
        <v>--</v>
      </c>
      <c r="Z28" s="379" t="str">
        <f t="shared" si="9"/>
        <v>--</v>
      </c>
      <c r="AA28" s="380" t="str">
        <f t="shared" si="10"/>
        <v>--</v>
      </c>
      <c r="AB28" s="444">
        <f t="shared" si="11"/>
      </c>
      <c r="AC28" s="445">
        <f t="shared" si="15"/>
      </c>
      <c r="AD28" s="99"/>
    </row>
    <row r="29" spans="1:30" s="8" customFormat="1" ht="16.5" customHeight="1">
      <c r="A29" s="89"/>
      <c r="B29" s="292"/>
      <c r="C29" s="150"/>
      <c r="D29" s="150"/>
      <c r="E29" s="150"/>
      <c r="F29" s="362"/>
      <c r="G29" s="363"/>
      <c r="H29" s="364"/>
      <c r="I29" s="365"/>
      <c r="J29" s="366">
        <f t="shared" si="12"/>
        <v>0</v>
      </c>
      <c r="K29" s="367"/>
      <c r="L29" s="367"/>
      <c r="M29" s="368">
        <f t="shared" si="13"/>
      </c>
      <c r="N29" s="369">
        <f t="shared" si="14"/>
      </c>
      <c r="O29" s="370"/>
      <c r="P29" s="274">
        <f t="shared" si="0"/>
      </c>
      <c r="Q29" s="371">
        <f t="shared" si="16"/>
      </c>
      <c r="R29" s="180">
        <f t="shared" si="1"/>
      </c>
      <c r="S29" s="372">
        <f t="shared" si="2"/>
        <v>20</v>
      </c>
      <c r="T29" s="427" t="str">
        <f t="shared" si="3"/>
        <v>--</v>
      </c>
      <c r="U29" s="428" t="str">
        <f t="shared" si="4"/>
        <v>--</v>
      </c>
      <c r="V29" s="375" t="str">
        <f t="shared" si="5"/>
        <v>--</v>
      </c>
      <c r="W29" s="376" t="str">
        <f t="shared" si="6"/>
        <v>--</v>
      </c>
      <c r="X29" s="377" t="str">
        <f t="shared" si="7"/>
        <v>--</v>
      </c>
      <c r="Y29" s="378" t="str">
        <f t="shared" si="8"/>
        <v>--</v>
      </c>
      <c r="Z29" s="379" t="str">
        <f t="shared" si="9"/>
        <v>--</v>
      </c>
      <c r="AA29" s="380" t="str">
        <f t="shared" si="10"/>
        <v>--</v>
      </c>
      <c r="AB29" s="444">
        <f t="shared" si="11"/>
      </c>
      <c r="AC29" s="445">
        <f t="shared" si="15"/>
      </c>
      <c r="AD29" s="99"/>
    </row>
    <row r="30" spans="1:30" s="8" customFormat="1" ht="16.5" customHeight="1">
      <c r="A30" s="89"/>
      <c r="B30" s="292"/>
      <c r="C30" s="150"/>
      <c r="D30" s="150"/>
      <c r="E30" s="169"/>
      <c r="F30" s="362"/>
      <c r="G30" s="382"/>
      <c r="H30" s="364"/>
      <c r="I30" s="365"/>
      <c r="J30" s="366">
        <f t="shared" si="12"/>
        <v>0</v>
      </c>
      <c r="K30" s="367"/>
      <c r="L30" s="367"/>
      <c r="M30" s="368">
        <f t="shared" si="13"/>
      </c>
      <c r="N30" s="369">
        <f t="shared" si="14"/>
      </c>
      <c r="O30" s="370"/>
      <c r="P30" s="274">
        <f t="shared" si="0"/>
      </c>
      <c r="Q30" s="371">
        <f t="shared" si="16"/>
      </c>
      <c r="R30" s="180">
        <f t="shared" si="1"/>
      </c>
      <c r="S30" s="372">
        <f t="shared" si="2"/>
        <v>20</v>
      </c>
      <c r="T30" s="427" t="str">
        <f t="shared" si="3"/>
        <v>--</v>
      </c>
      <c r="U30" s="428" t="str">
        <f t="shared" si="4"/>
        <v>--</v>
      </c>
      <c r="V30" s="375" t="str">
        <f t="shared" si="5"/>
        <v>--</v>
      </c>
      <c r="W30" s="376" t="str">
        <f t="shared" si="6"/>
        <v>--</v>
      </c>
      <c r="X30" s="377" t="str">
        <f t="shared" si="7"/>
        <v>--</v>
      </c>
      <c r="Y30" s="378" t="str">
        <f t="shared" si="8"/>
        <v>--</v>
      </c>
      <c r="Z30" s="379" t="str">
        <f t="shared" si="9"/>
        <v>--</v>
      </c>
      <c r="AA30" s="380" t="str">
        <f t="shared" si="10"/>
        <v>--</v>
      </c>
      <c r="AB30" s="444">
        <f t="shared" si="11"/>
      </c>
      <c r="AC30" s="445">
        <f t="shared" si="15"/>
      </c>
      <c r="AD30" s="99"/>
    </row>
    <row r="31" spans="1:30" s="8" customFormat="1" ht="16.5" customHeight="1">
      <c r="A31" s="89"/>
      <c r="B31" s="292"/>
      <c r="C31" s="150"/>
      <c r="D31" s="150"/>
      <c r="E31" s="150"/>
      <c r="F31" s="362"/>
      <c r="G31" s="382"/>
      <c r="H31" s="364"/>
      <c r="I31" s="365"/>
      <c r="J31" s="366">
        <f t="shared" si="12"/>
        <v>0</v>
      </c>
      <c r="K31" s="367"/>
      <c r="L31" s="367"/>
      <c r="M31" s="368">
        <f t="shared" si="13"/>
      </c>
      <c r="N31" s="369">
        <f t="shared" si="14"/>
      </c>
      <c r="O31" s="370"/>
      <c r="P31" s="274">
        <f t="shared" si="0"/>
      </c>
      <c r="Q31" s="371">
        <f t="shared" si="16"/>
      </c>
      <c r="R31" s="180">
        <f t="shared" si="1"/>
      </c>
      <c r="S31" s="372">
        <f t="shared" si="2"/>
        <v>20</v>
      </c>
      <c r="T31" s="427" t="str">
        <f t="shared" si="3"/>
        <v>--</v>
      </c>
      <c r="U31" s="428" t="str">
        <f t="shared" si="4"/>
        <v>--</v>
      </c>
      <c r="V31" s="375" t="str">
        <f t="shared" si="5"/>
        <v>--</v>
      </c>
      <c r="W31" s="376" t="str">
        <f t="shared" si="6"/>
        <v>--</v>
      </c>
      <c r="X31" s="377" t="str">
        <f t="shared" si="7"/>
        <v>--</v>
      </c>
      <c r="Y31" s="378" t="str">
        <f t="shared" si="8"/>
        <v>--</v>
      </c>
      <c r="Z31" s="379" t="str">
        <f t="shared" si="9"/>
        <v>--</v>
      </c>
      <c r="AA31" s="380" t="str">
        <f t="shared" si="10"/>
        <v>--</v>
      </c>
      <c r="AB31" s="444">
        <f t="shared" si="11"/>
      </c>
      <c r="AC31" s="445">
        <f t="shared" si="15"/>
      </c>
      <c r="AD31" s="99"/>
    </row>
    <row r="32" spans="1:30" s="8" customFormat="1" ht="16.5" customHeight="1">
      <c r="A32" s="89"/>
      <c r="B32" s="292"/>
      <c r="C32" s="150"/>
      <c r="D32" s="150"/>
      <c r="E32" s="169"/>
      <c r="F32" s="362"/>
      <c r="G32" s="382"/>
      <c r="H32" s="364"/>
      <c r="I32" s="365"/>
      <c r="J32" s="366">
        <f t="shared" si="12"/>
        <v>0</v>
      </c>
      <c r="K32" s="367"/>
      <c r="L32" s="367"/>
      <c r="M32" s="368">
        <f t="shared" si="13"/>
      </c>
      <c r="N32" s="369">
        <f t="shared" si="14"/>
      </c>
      <c r="O32" s="370"/>
      <c r="P32" s="274">
        <f t="shared" si="0"/>
      </c>
      <c r="Q32" s="371">
        <f t="shared" si="16"/>
      </c>
      <c r="R32" s="180">
        <f t="shared" si="1"/>
      </c>
      <c r="S32" s="372">
        <f t="shared" si="2"/>
        <v>20</v>
      </c>
      <c r="T32" s="427" t="str">
        <f t="shared" si="3"/>
        <v>--</v>
      </c>
      <c r="U32" s="428" t="str">
        <f t="shared" si="4"/>
        <v>--</v>
      </c>
      <c r="V32" s="375" t="str">
        <f t="shared" si="5"/>
        <v>--</v>
      </c>
      <c r="W32" s="376" t="str">
        <f t="shared" si="6"/>
        <v>--</v>
      </c>
      <c r="X32" s="377" t="str">
        <f t="shared" si="7"/>
        <v>--</v>
      </c>
      <c r="Y32" s="378" t="str">
        <f t="shared" si="8"/>
        <v>--</v>
      </c>
      <c r="Z32" s="379" t="str">
        <f t="shared" si="9"/>
        <v>--</v>
      </c>
      <c r="AA32" s="380" t="str">
        <f t="shared" si="10"/>
        <v>--</v>
      </c>
      <c r="AB32" s="444">
        <f t="shared" si="11"/>
      </c>
      <c r="AC32" s="445">
        <f t="shared" si="15"/>
      </c>
      <c r="AD32" s="99"/>
    </row>
    <row r="33" spans="1:30" s="8" customFormat="1" ht="16.5" customHeight="1">
      <c r="A33" s="89"/>
      <c r="B33" s="292"/>
      <c r="C33" s="150"/>
      <c r="D33" s="150"/>
      <c r="E33" s="150"/>
      <c r="F33" s="362"/>
      <c r="G33" s="382"/>
      <c r="H33" s="364"/>
      <c r="I33" s="365"/>
      <c r="J33" s="366">
        <f t="shared" si="12"/>
        <v>0</v>
      </c>
      <c r="K33" s="367"/>
      <c r="L33" s="367"/>
      <c r="M33" s="368">
        <f t="shared" si="13"/>
      </c>
      <c r="N33" s="369">
        <f t="shared" si="14"/>
      </c>
      <c r="O33" s="370"/>
      <c r="P33" s="274">
        <f t="shared" si="0"/>
      </c>
      <c r="Q33" s="371">
        <f t="shared" si="16"/>
      </c>
      <c r="R33" s="180">
        <f t="shared" si="1"/>
      </c>
      <c r="S33" s="372">
        <f t="shared" si="2"/>
        <v>20</v>
      </c>
      <c r="T33" s="427" t="str">
        <f t="shared" si="3"/>
        <v>--</v>
      </c>
      <c r="U33" s="428" t="str">
        <f t="shared" si="4"/>
        <v>--</v>
      </c>
      <c r="V33" s="375" t="str">
        <f t="shared" si="5"/>
        <v>--</v>
      </c>
      <c r="W33" s="376" t="str">
        <f t="shared" si="6"/>
        <v>--</v>
      </c>
      <c r="X33" s="377" t="str">
        <f t="shared" si="7"/>
        <v>--</v>
      </c>
      <c r="Y33" s="378" t="str">
        <f t="shared" si="8"/>
        <v>--</v>
      </c>
      <c r="Z33" s="379" t="str">
        <f t="shared" si="9"/>
        <v>--</v>
      </c>
      <c r="AA33" s="380" t="str">
        <f t="shared" si="10"/>
        <v>--</v>
      </c>
      <c r="AB33" s="444">
        <f t="shared" si="11"/>
      </c>
      <c r="AC33" s="445">
        <f t="shared" si="15"/>
      </c>
      <c r="AD33" s="99"/>
    </row>
    <row r="34" spans="1:30" s="8" customFormat="1" ht="16.5" customHeight="1">
      <c r="A34" s="89"/>
      <c r="B34" s="292"/>
      <c r="C34" s="150"/>
      <c r="D34" s="150"/>
      <c r="E34" s="169"/>
      <c r="F34" s="362"/>
      <c r="G34" s="382"/>
      <c r="H34" s="364"/>
      <c r="I34" s="365"/>
      <c r="J34" s="366">
        <f t="shared" si="12"/>
        <v>0</v>
      </c>
      <c r="K34" s="367"/>
      <c r="L34" s="367"/>
      <c r="M34" s="368">
        <f t="shared" si="13"/>
      </c>
      <c r="N34" s="369">
        <f t="shared" si="14"/>
      </c>
      <c r="O34" s="370"/>
      <c r="P34" s="274">
        <f t="shared" si="0"/>
      </c>
      <c r="Q34" s="371">
        <f t="shared" si="16"/>
      </c>
      <c r="R34" s="180">
        <f t="shared" si="1"/>
      </c>
      <c r="S34" s="372">
        <f t="shared" si="2"/>
        <v>20</v>
      </c>
      <c r="T34" s="427" t="str">
        <f t="shared" si="3"/>
        <v>--</v>
      </c>
      <c r="U34" s="428" t="str">
        <f t="shared" si="4"/>
        <v>--</v>
      </c>
      <c r="V34" s="375" t="str">
        <f t="shared" si="5"/>
        <v>--</v>
      </c>
      <c r="W34" s="376" t="str">
        <f t="shared" si="6"/>
        <v>--</v>
      </c>
      <c r="X34" s="377" t="str">
        <f t="shared" si="7"/>
        <v>--</v>
      </c>
      <c r="Y34" s="378" t="str">
        <f t="shared" si="8"/>
        <v>--</v>
      </c>
      <c r="Z34" s="379" t="str">
        <f t="shared" si="9"/>
        <v>--</v>
      </c>
      <c r="AA34" s="380" t="str">
        <f t="shared" si="10"/>
        <v>--</v>
      </c>
      <c r="AB34" s="444">
        <f t="shared" si="11"/>
      </c>
      <c r="AC34" s="445">
        <f t="shared" si="15"/>
      </c>
      <c r="AD34" s="99"/>
    </row>
    <row r="35" spans="1:30" s="8" customFormat="1" ht="16.5" customHeight="1">
      <c r="A35" s="89"/>
      <c r="B35" s="292"/>
      <c r="C35" s="150"/>
      <c r="D35" s="150"/>
      <c r="E35" s="150"/>
      <c r="F35" s="362"/>
      <c r="G35" s="382"/>
      <c r="H35" s="364"/>
      <c r="I35" s="365"/>
      <c r="J35" s="366">
        <f t="shared" si="12"/>
        <v>0</v>
      </c>
      <c r="K35" s="367"/>
      <c r="L35" s="367"/>
      <c r="M35" s="368">
        <f t="shared" si="13"/>
      </c>
      <c r="N35" s="369">
        <f t="shared" si="14"/>
      </c>
      <c r="O35" s="370"/>
      <c r="P35" s="274">
        <f t="shared" si="0"/>
      </c>
      <c r="Q35" s="371">
        <f t="shared" si="16"/>
      </c>
      <c r="R35" s="180">
        <f t="shared" si="1"/>
      </c>
      <c r="S35" s="372">
        <f t="shared" si="2"/>
        <v>20</v>
      </c>
      <c r="T35" s="427" t="str">
        <f t="shared" si="3"/>
        <v>--</v>
      </c>
      <c r="U35" s="428" t="str">
        <f t="shared" si="4"/>
        <v>--</v>
      </c>
      <c r="V35" s="375" t="str">
        <f t="shared" si="5"/>
        <v>--</v>
      </c>
      <c r="W35" s="376" t="str">
        <f t="shared" si="6"/>
        <v>--</v>
      </c>
      <c r="X35" s="377" t="str">
        <f t="shared" si="7"/>
        <v>--</v>
      </c>
      <c r="Y35" s="378" t="str">
        <f t="shared" si="8"/>
        <v>--</v>
      </c>
      <c r="Z35" s="379" t="str">
        <f t="shared" si="9"/>
        <v>--</v>
      </c>
      <c r="AA35" s="380" t="str">
        <f t="shared" si="10"/>
        <v>--</v>
      </c>
      <c r="AB35" s="444">
        <f t="shared" si="11"/>
      </c>
      <c r="AC35" s="445">
        <f t="shared" si="15"/>
      </c>
      <c r="AD35" s="99"/>
    </row>
    <row r="36" spans="1:30" s="8" customFormat="1" ht="16.5" customHeight="1">
      <c r="A36" s="89"/>
      <c r="B36" s="292"/>
      <c r="C36" s="150"/>
      <c r="D36" s="150"/>
      <c r="E36" s="169"/>
      <c r="F36" s="362"/>
      <c r="G36" s="382"/>
      <c r="H36" s="364"/>
      <c r="I36" s="365"/>
      <c r="J36" s="366">
        <f t="shared" si="12"/>
        <v>0</v>
      </c>
      <c r="K36" s="367"/>
      <c r="L36" s="367"/>
      <c r="M36" s="368">
        <f t="shared" si="13"/>
      </c>
      <c r="N36" s="369">
        <f t="shared" si="14"/>
      </c>
      <c r="O36" s="370"/>
      <c r="P36" s="274">
        <f t="shared" si="0"/>
      </c>
      <c r="Q36" s="371">
        <f t="shared" si="16"/>
      </c>
      <c r="R36" s="180">
        <f t="shared" si="1"/>
      </c>
      <c r="S36" s="372">
        <f t="shared" si="2"/>
        <v>20</v>
      </c>
      <c r="T36" s="427" t="str">
        <f t="shared" si="3"/>
        <v>--</v>
      </c>
      <c r="U36" s="428" t="str">
        <f t="shared" si="4"/>
        <v>--</v>
      </c>
      <c r="V36" s="375" t="str">
        <f t="shared" si="5"/>
        <v>--</v>
      </c>
      <c r="W36" s="376" t="str">
        <f t="shared" si="6"/>
        <v>--</v>
      </c>
      <c r="X36" s="377" t="str">
        <f t="shared" si="7"/>
        <v>--</v>
      </c>
      <c r="Y36" s="378" t="str">
        <f t="shared" si="8"/>
        <v>--</v>
      </c>
      <c r="Z36" s="379" t="str">
        <f t="shared" si="9"/>
        <v>--</v>
      </c>
      <c r="AA36" s="380" t="str">
        <f t="shared" si="10"/>
        <v>--</v>
      </c>
      <c r="AB36" s="444">
        <f t="shared" si="11"/>
      </c>
      <c r="AC36" s="445">
        <f t="shared" si="15"/>
      </c>
      <c r="AD36" s="99"/>
    </row>
    <row r="37" spans="1:30" s="8" customFormat="1" ht="16.5" customHeight="1">
      <c r="A37" s="89"/>
      <c r="B37" s="292"/>
      <c r="C37" s="150"/>
      <c r="D37" s="150"/>
      <c r="E37" s="150"/>
      <c r="F37" s="362"/>
      <c r="G37" s="382"/>
      <c r="H37" s="364"/>
      <c r="I37" s="365"/>
      <c r="J37" s="366">
        <f t="shared" si="12"/>
        <v>0</v>
      </c>
      <c r="K37" s="367"/>
      <c r="L37" s="367"/>
      <c r="M37" s="368">
        <f t="shared" si="13"/>
      </c>
      <c r="N37" s="369">
        <f t="shared" si="14"/>
      </c>
      <c r="O37" s="370"/>
      <c r="P37" s="274">
        <f t="shared" si="0"/>
      </c>
      <c r="Q37" s="371">
        <f t="shared" si="16"/>
      </c>
      <c r="R37" s="180">
        <f t="shared" si="1"/>
      </c>
      <c r="S37" s="372">
        <f t="shared" si="2"/>
        <v>20</v>
      </c>
      <c r="T37" s="427" t="str">
        <f t="shared" si="3"/>
        <v>--</v>
      </c>
      <c r="U37" s="428" t="str">
        <f t="shared" si="4"/>
        <v>--</v>
      </c>
      <c r="V37" s="375" t="str">
        <f t="shared" si="5"/>
        <v>--</v>
      </c>
      <c r="W37" s="376" t="str">
        <f t="shared" si="6"/>
        <v>--</v>
      </c>
      <c r="X37" s="377" t="str">
        <f t="shared" si="7"/>
        <v>--</v>
      </c>
      <c r="Y37" s="378" t="str">
        <f t="shared" si="8"/>
        <v>--</v>
      </c>
      <c r="Z37" s="379" t="str">
        <f t="shared" si="9"/>
        <v>--</v>
      </c>
      <c r="AA37" s="380" t="str">
        <f t="shared" si="10"/>
        <v>--</v>
      </c>
      <c r="AB37" s="444">
        <f t="shared" si="11"/>
      </c>
      <c r="AC37" s="445">
        <f t="shared" si="15"/>
      </c>
      <c r="AD37" s="99"/>
    </row>
    <row r="38" spans="1:30" s="8" customFormat="1" ht="16.5" customHeight="1">
      <c r="A38" s="89"/>
      <c r="B38" s="292"/>
      <c r="C38" s="150"/>
      <c r="D38" s="150"/>
      <c r="E38" s="169"/>
      <c r="F38" s="362"/>
      <c r="G38" s="382"/>
      <c r="H38" s="364"/>
      <c r="I38" s="365"/>
      <c r="J38" s="366">
        <f t="shared" si="12"/>
        <v>0</v>
      </c>
      <c r="K38" s="367"/>
      <c r="L38" s="367"/>
      <c r="M38" s="368">
        <f t="shared" si="13"/>
      </c>
      <c r="N38" s="369">
        <f t="shared" si="14"/>
      </c>
      <c r="O38" s="370"/>
      <c r="P38" s="274">
        <f t="shared" si="0"/>
      </c>
      <c r="Q38" s="371">
        <f t="shared" si="16"/>
      </c>
      <c r="R38" s="180">
        <f t="shared" si="1"/>
      </c>
      <c r="S38" s="372">
        <f t="shared" si="2"/>
        <v>20</v>
      </c>
      <c r="T38" s="427" t="str">
        <f t="shared" si="3"/>
        <v>--</v>
      </c>
      <c r="U38" s="428" t="str">
        <f t="shared" si="4"/>
        <v>--</v>
      </c>
      <c r="V38" s="375" t="str">
        <f t="shared" si="5"/>
        <v>--</v>
      </c>
      <c r="W38" s="376" t="str">
        <f t="shared" si="6"/>
        <v>--</v>
      </c>
      <c r="X38" s="377" t="str">
        <f t="shared" si="7"/>
        <v>--</v>
      </c>
      <c r="Y38" s="378" t="str">
        <f t="shared" si="8"/>
        <v>--</v>
      </c>
      <c r="Z38" s="379" t="str">
        <f t="shared" si="9"/>
        <v>--</v>
      </c>
      <c r="AA38" s="380" t="str">
        <f t="shared" si="10"/>
        <v>--</v>
      </c>
      <c r="AB38" s="444">
        <f t="shared" si="11"/>
      </c>
      <c r="AC38" s="445">
        <f t="shared" si="15"/>
      </c>
      <c r="AD38" s="99"/>
    </row>
    <row r="39" spans="1:30" s="8" customFormat="1" ht="16.5" customHeight="1">
      <c r="A39" s="89"/>
      <c r="B39" s="292"/>
      <c r="C39" s="150"/>
      <c r="D39" s="150"/>
      <c r="E39" s="150"/>
      <c r="F39" s="362"/>
      <c r="G39" s="382"/>
      <c r="H39" s="364"/>
      <c r="I39" s="365"/>
      <c r="J39" s="366">
        <f t="shared" si="12"/>
        <v>0</v>
      </c>
      <c r="K39" s="367"/>
      <c r="L39" s="367"/>
      <c r="M39" s="368">
        <f t="shared" si="13"/>
      </c>
      <c r="N39" s="369">
        <f t="shared" si="14"/>
      </c>
      <c r="O39" s="370"/>
      <c r="P39" s="274">
        <f t="shared" si="0"/>
      </c>
      <c r="Q39" s="371">
        <f t="shared" si="16"/>
      </c>
      <c r="R39" s="180">
        <f t="shared" si="1"/>
      </c>
      <c r="S39" s="372">
        <f t="shared" si="2"/>
        <v>20</v>
      </c>
      <c r="T39" s="427" t="str">
        <f t="shared" si="3"/>
        <v>--</v>
      </c>
      <c r="U39" s="428" t="str">
        <f t="shared" si="4"/>
        <v>--</v>
      </c>
      <c r="V39" s="375" t="str">
        <f t="shared" si="5"/>
        <v>--</v>
      </c>
      <c r="W39" s="376" t="str">
        <f t="shared" si="6"/>
        <v>--</v>
      </c>
      <c r="X39" s="377" t="str">
        <f t="shared" si="7"/>
        <v>--</v>
      </c>
      <c r="Y39" s="378" t="str">
        <f t="shared" si="8"/>
        <v>--</v>
      </c>
      <c r="Z39" s="379" t="str">
        <f t="shared" si="9"/>
        <v>--</v>
      </c>
      <c r="AA39" s="380" t="str">
        <f t="shared" si="10"/>
        <v>--</v>
      </c>
      <c r="AB39" s="444">
        <f t="shared" si="11"/>
      </c>
      <c r="AC39" s="445">
        <f t="shared" si="15"/>
      </c>
      <c r="AD39" s="99"/>
    </row>
    <row r="40" spans="1:30" s="8" customFormat="1" ht="16.5" customHeight="1" thickBot="1">
      <c r="A40" s="89"/>
      <c r="B40" s="292"/>
      <c r="C40" s="383"/>
      <c r="D40" s="383"/>
      <c r="E40" s="383"/>
      <c r="F40" s="383"/>
      <c r="G40" s="383"/>
      <c r="H40" s="383"/>
      <c r="I40" s="385"/>
      <c r="J40" s="386"/>
      <c r="K40" s="387"/>
      <c r="L40" s="388"/>
      <c r="M40" s="389"/>
      <c r="N40" s="390"/>
      <c r="O40" s="391"/>
      <c r="P40" s="216"/>
      <c r="Q40" s="392"/>
      <c r="R40" s="391"/>
      <c r="S40" s="446"/>
      <c r="T40" s="430"/>
      <c r="U40" s="431"/>
      <c r="V40" s="432"/>
      <c r="W40" s="433"/>
      <c r="X40" s="434"/>
      <c r="Y40" s="435"/>
      <c r="Z40" s="436"/>
      <c r="AA40" s="437"/>
      <c r="AB40" s="438"/>
      <c r="AC40" s="403"/>
      <c r="AD40" s="99"/>
    </row>
    <row r="41" spans="1:30" s="8" customFormat="1" ht="16.5" customHeight="1" thickBot="1" thickTop="1">
      <c r="A41" s="89"/>
      <c r="B41" s="292"/>
      <c r="C41" s="625" t="s">
        <v>327</v>
      </c>
      <c r="D41" s="784" t="s">
        <v>338</v>
      </c>
      <c r="E41" s="229"/>
      <c r="F41" s="231"/>
      <c r="G41" s="83"/>
      <c r="H41" s="83"/>
      <c r="I41" s="83"/>
      <c r="J41" s="83"/>
      <c r="K41" s="83"/>
      <c r="L41" s="319"/>
      <c r="M41" s="83"/>
      <c r="N41" s="83"/>
      <c r="O41" s="83"/>
      <c r="P41" s="83"/>
      <c r="Q41" s="83"/>
      <c r="R41" s="83"/>
      <c r="S41" s="83"/>
      <c r="T41" s="404">
        <f aca="true" t="shared" si="17" ref="T41:AA41">SUM(T18:T40)</f>
        <v>4175.3088</v>
      </c>
      <c r="U41" s="405">
        <f t="shared" si="17"/>
        <v>0</v>
      </c>
      <c r="V41" s="406">
        <f t="shared" si="17"/>
        <v>0</v>
      </c>
      <c r="W41" s="407">
        <f t="shared" si="17"/>
        <v>0</v>
      </c>
      <c r="X41" s="408">
        <f t="shared" si="17"/>
        <v>0</v>
      </c>
      <c r="Y41" s="409">
        <f t="shared" si="17"/>
        <v>0</v>
      </c>
      <c r="Z41" s="410">
        <f t="shared" si="17"/>
        <v>0</v>
      </c>
      <c r="AA41" s="411">
        <f t="shared" si="17"/>
        <v>0</v>
      </c>
      <c r="AB41" s="89"/>
      <c r="AC41" s="412">
        <f>ROUND(SUM(AC18:AC40),2)</f>
        <v>4175.31</v>
      </c>
      <c r="AD41" s="99"/>
    </row>
    <row r="42" spans="1:30" s="8" customFormat="1" ht="16.5" customHeight="1" thickBot="1" thickTop="1">
      <c r="A42" s="89"/>
      <c r="B42" s="413"/>
      <c r="C42" s="414"/>
      <c r="D42" s="414"/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414"/>
      <c r="S42" s="414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5"/>
    </row>
    <row r="43" spans="1:31" ht="16.5" customHeight="1" thickTop="1">
      <c r="A43" s="416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17"/>
      <c r="V43" s="417"/>
      <c r="W43" s="417"/>
      <c r="X43" s="417"/>
      <c r="Y43" s="417"/>
      <c r="Z43" s="417"/>
      <c r="AA43" s="417"/>
      <c r="AB43" s="417"/>
      <c r="AC43" s="417"/>
      <c r="AD43" s="417"/>
      <c r="AE43" s="417"/>
    </row>
    <row r="44" spans="1:31" ht="16.5" customHeight="1">
      <c r="A44" s="416"/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7"/>
      <c r="R44" s="417"/>
      <c r="S44" s="417"/>
      <c r="T44" s="417"/>
      <c r="U44" s="417"/>
      <c r="V44" s="417"/>
      <c r="W44" s="417"/>
      <c r="X44" s="417"/>
      <c r="Y44" s="417"/>
      <c r="Z44" s="417"/>
      <c r="AA44" s="417"/>
      <c r="AB44" s="417"/>
      <c r="AC44" s="417"/>
      <c r="AD44" s="417"/>
      <c r="AE44" s="417"/>
    </row>
    <row r="45" spans="1:31" ht="16.5" customHeight="1">
      <c r="A45" s="416"/>
      <c r="F45" s="417"/>
      <c r="G45" s="417"/>
      <c r="H45" s="417"/>
      <c r="I45" s="417"/>
      <c r="J45" s="417"/>
      <c r="K45" s="417"/>
      <c r="L45" s="417"/>
      <c r="M45" s="417"/>
      <c r="N45" s="417"/>
      <c r="O45" s="417"/>
      <c r="P45" s="417"/>
      <c r="Q45" s="417"/>
      <c r="R45" s="417"/>
      <c r="S45" s="417"/>
      <c r="T45" s="417"/>
      <c r="U45" s="417"/>
      <c r="V45" s="417"/>
      <c r="W45" s="417"/>
      <c r="X45" s="417"/>
      <c r="Y45" s="417"/>
      <c r="Z45" s="417"/>
      <c r="AA45" s="417"/>
      <c r="AB45" s="417"/>
      <c r="AC45" s="417"/>
      <c r="AD45" s="417"/>
      <c r="AE45" s="417"/>
    </row>
    <row r="46" spans="1:31" ht="16.5" customHeight="1">
      <c r="A46" s="416"/>
      <c r="F46" s="417"/>
      <c r="G46" s="417"/>
      <c r="H46" s="417"/>
      <c r="I46" s="417"/>
      <c r="J46" s="417"/>
      <c r="K46" s="417"/>
      <c r="L46" s="417"/>
      <c r="M46" s="417"/>
      <c r="N46" s="417"/>
      <c r="O46" s="417"/>
      <c r="P46" s="417"/>
      <c r="Q46" s="417"/>
      <c r="R46" s="417"/>
      <c r="S46" s="417"/>
      <c r="T46" s="417"/>
      <c r="U46" s="417"/>
      <c r="V46" s="417"/>
      <c r="W46" s="417"/>
      <c r="X46" s="417"/>
      <c r="Y46" s="417"/>
      <c r="Z46" s="417"/>
      <c r="AA46" s="417"/>
      <c r="AB46" s="417"/>
      <c r="AC46" s="417"/>
      <c r="AD46" s="417"/>
      <c r="AE46" s="417"/>
    </row>
    <row r="47" spans="6:31" ht="16.5" customHeight="1">
      <c r="F47" s="417"/>
      <c r="G47" s="417"/>
      <c r="H47" s="417"/>
      <c r="I47" s="417"/>
      <c r="J47" s="417"/>
      <c r="K47" s="417"/>
      <c r="L47" s="417"/>
      <c r="M47" s="417"/>
      <c r="N47" s="417"/>
      <c r="O47" s="417"/>
      <c r="P47" s="417"/>
      <c r="Q47" s="417"/>
      <c r="R47" s="417"/>
      <c r="S47" s="417"/>
      <c r="T47" s="417"/>
      <c r="U47" s="417"/>
      <c r="V47" s="417"/>
      <c r="W47" s="417"/>
      <c r="X47" s="417"/>
      <c r="Y47" s="417"/>
      <c r="Z47" s="417"/>
      <c r="AA47" s="417"/>
      <c r="AB47" s="417"/>
      <c r="AC47" s="417"/>
      <c r="AD47" s="417"/>
      <c r="AE47" s="417"/>
    </row>
    <row r="48" spans="6:31" ht="16.5" customHeight="1">
      <c r="F48" s="417"/>
      <c r="G48" s="417"/>
      <c r="H48" s="417"/>
      <c r="I48" s="417"/>
      <c r="J48" s="417"/>
      <c r="K48" s="417"/>
      <c r="L48" s="417"/>
      <c r="M48" s="417"/>
      <c r="N48" s="417"/>
      <c r="O48" s="417"/>
      <c r="P48" s="417"/>
      <c r="Q48" s="417"/>
      <c r="R48" s="417"/>
      <c r="S48" s="417"/>
      <c r="T48" s="417"/>
      <c r="U48" s="417"/>
      <c r="V48" s="417"/>
      <c r="W48" s="417"/>
      <c r="X48" s="417"/>
      <c r="Y48" s="417"/>
      <c r="Z48" s="417"/>
      <c r="AA48" s="417"/>
      <c r="AB48" s="417"/>
      <c r="AC48" s="417"/>
      <c r="AD48" s="417"/>
      <c r="AE48" s="417"/>
    </row>
    <row r="49" spans="6:31" ht="16.5" customHeight="1">
      <c r="F49" s="417"/>
      <c r="G49" s="417"/>
      <c r="H49" s="417"/>
      <c r="I49" s="417"/>
      <c r="J49" s="417"/>
      <c r="K49" s="417"/>
      <c r="L49" s="417"/>
      <c r="M49" s="417"/>
      <c r="N49" s="417"/>
      <c r="O49" s="417"/>
      <c r="P49" s="417"/>
      <c r="Q49" s="417"/>
      <c r="R49" s="417"/>
      <c r="S49" s="417"/>
      <c r="T49" s="417"/>
      <c r="U49" s="417"/>
      <c r="V49" s="417"/>
      <c r="W49" s="417"/>
      <c r="X49" s="417"/>
      <c r="Y49" s="417"/>
      <c r="Z49" s="417"/>
      <c r="AA49" s="417"/>
      <c r="AB49" s="417"/>
      <c r="AC49" s="417"/>
      <c r="AD49" s="417"/>
      <c r="AE49" s="417"/>
    </row>
    <row r="50" spans="6:31" ht="16.5" customHeight="1">
      <c r="F50" s="417"/>
      <c r="G50" s="417"/>
      <c r="H50" s="417"/>
      <c r="I50" s="417"/>
      <c r="J50" s="417"/>
      <c r="K50" s="417"/>
      <c r="L50" s="417"/>
      <c r="M50" s="417"/>
      <c r="N50" s="417"/>
      <c r="O50" s="417"/>
      <c r="P50" s="417"/>
      <c r="Q50" s="417"/>
      <c r="R50" s="417"/>
      <c r="S50" s="417"/>
      <c r="T50" s="417"/>
      <c r="U50" s="417"/>
      <c r="V50" s="417"/>
      <c r="W50" s="417"/>
      <c r="X50" s="417"/>
      <c r="Y50" s="417"/>
      <c r="Z50" s="417"/>
      <c r="AA50" s="417"/>
      <c r="AB50" s="417"/>
      <c r="AC50" s="417"/>
      <c r="AD50" s="417"/>
      <c r="AE50" s="417"/>
    </row>
    <row r="51" spans="6:31" ht="16.5" customHeight="1">
      <c r="F51" s="417"/>
      <c r="G51" s="417"/>
      <c r="H51" s="417"/>
      <c r="I51" s="417"/>
      <c r="J51" s="417"/>
      <c r="K51" s="417"/>
      <c r="L51" s="417"/>
      <c r="M51" s="417"/>
      <c r="N51" s="417"/>
      <c r="O51" s="417"/>
      <c r="P51" s="417"/>
      <c r="Q51" s="417"/>
      <c r="R51" s="417"/>
      <c r="S51" s="417"/>
      <c r="T51" s="417"/>
      <c r="U51" s="417"/>
      <c r="V51" s="417"/>
      <c r="W51" s="417"/>
      <c r="X51" s="417"/>
      <c r="Y51" s="417"/>
      <c r="Z51" s="417"/>
      <c r="AA51" s="417"/>
      <c r="AB51" s="417"/>
      <c r="AC51" s="417"/>
      <c r="AD51" s="417"/>
      <c r="AE51" s="417"/>
    </row>
    <row r="52" spans="6:31" ht="16.5" customHeight="1">
      <c r="F52" s="417"/>
      <c r="G52" s="417"/>
      <c r="H52" s="417"/>
      <c r="I52" s="417"/>
      <c r="J52" s="417"/>
      <c r="K52" s="417"/>
      <c r="L52" s="417"/>
      <c r="M52" s="417"/>
      <c r="N52" s="417"/>
      <c r="O52" s="417"/>
      <c r="P52" s="417"/>
      <c r="Q52" s="417"/>
      <c r="R52" s="417"/>
      <c r="S52" s="417"/>
      <c r="T52" s="417"/>
      <c r="U52" s="417"/>
      <c r="V52" s="417"/>
      <c r="W52" s="417"/>
      <c r="X52" s="417"/>
      <c r="Y52" s="417"/>
      <c r="Z52" s="417"/>
      <c r="AA52" s="417"/>
      <c r="AB52" s="417"/>
      <c r="AC52" s="417"/>
      <c r="AD52" s="417"/>
      <c r="AE52" s="417"/>
    </row>
    <row r="53" spans="6:31" ht="16.5" customHeight="1"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7"/>
      <c r="Q53" s="417"/>
      <c r="R53" s="417"/>
      <c r="S53" s="417"/>
      <c r="T53" s="417"/>
      <c r="U53" s="417"/>
      <c r="V53" s="417"/>
      <c r="W53" s="417"/>
      <c r="X53" s="417"/>
      <c r="Y53" s="417"/>
      <c r="Z53" s="417"/>
      <c r="AA53" s="417"/>
      <c r="AB53" s="417"/>
      <c r="AC53" s="417"/>
      <c r="AD53" s="417"/>
      <c r="AE53" s="417"/>
    </row>
    <row r="54" spans="6:31" ht="16.5" customHeight="1">
      <c r="F54" s="417"/>
      <c r="G54" s="417"/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417"/>
      <c r="S54" s="417"/>
      <c r="T54" s="417"/>
      <c r="U54" s="417"/>
      <c r="V54" s="417"/>
      <c r="W54" s="417"/>
      <c r="X54" s="417"/>
      <c r="Y54" s="417"/>
      <c r="Z54" s="417"/>
      <c r="AA54" s="417"/>
      <c r="AB54" s="417"/>
      <c r="AC54" s="417"/>
      <c r="AD54" s="417"/>
      <c r="AE54" s="417"/>
    </row>
    <row r="55" spans="6:31" ht="16.5" customHeight="1">
      <c r="F55" s="417"/>
      <c r="G55" s="417"/>
      <c r="H55" s="417"/>
      <c r="I55" s="417"/>
      <c r="J55" s="417"/>
      <c r="K55" s="417"/>
      <c r="L55" s="417"/>
      <c r="M55" s="417"/>
      <c r="N55" s="417"/>
      <c r="O55" s="417"/>
      <c r="P55" s="417"/>
      <c r="Q55" s="417"/>
      <c r="R55" s="417"/>
      <c r="S55" s="417"/>
      <c r="T55" s="417"/>
      <c r="U55" s="417"/>
      <c r="V55" s="417"/>
      <c r="W55" s="417"/>
      <c r="X55" s="417"/>
      <c r="Y55" s="417"/>
      <c r="Z55" s="417"/>
      <c r="AA55" s="417"/>
      <c r="AB55" s="417"/>
      <c r="AC55" s="417"/>
      <c r="AD55" s="417"/>
      <c r="AE55" s="417"/>
    </row>
    <row r="56" spans="6:31" ht="16.5" customHeight="1">
      <c r="F56" s="417"/>
      <c r="G56" s="417"/>
      <c r="H56" s="417"/>
      <c r="I56" s="417"/>
      <c r="J56" s="417"/>
      <c r="K56" s="417"/>
      <c r="L56" s="417"/>
      <c r="M56" s="417"/>
      <c r="N56" s="417"/>
      <c r="O56" s="417"/>
      <c r="P56" s="417"/>
      <c r="Q56" s="417"/>
      <c r="R56" s="417"/>
      <c r="S56" s="417"/>
      <c r="T56" s="417"/>
      <c r="U56" s="417"/>
      <c r="V56" s="417"/>
      <c r="W56" s="417"/>
      <c r="X56" s="417"/>
      <c r="Y56" s="417"/>
      <c r="Z56" s="417"/>
      <c r="AA56" s="417"/>
      <c r="AB56" s="417"/>
      <c r="AC56" s="417"/>
      <c r="AD56" s="417"/>
      <c r="AE56" s="417"/>
    </row>
    <row r="57" spans="6:31" ht="16.5" customHeight="1">
      <c r="F57" s="417"/>
      <c r="G57" s="417"/>
      <c r="H57" s="417"/>
      <c r="I57" s="417"/>
      <c r="J57" s="417"/>
      <c r="K57" s="417"/>
      <c r="L57" s="417"/>
      <c r="M57" s="417"/>
      <c r="N57" s="417"/>
      <c r="O57" s="417"/>
      <c r="P57" s="417"/>
      <c r="Q57" s="417"/>
      <c r="R57" s="417"/>
      <c r="S57" s="417"/>
      <c r="T57" s="417"/>
      <c r="U57" s="417"/>
      <c r="V57" s="417"/>
      <c r="W57" s="417"/>
      <c r="X57" s="417"/>
      <c r="Y57" s="417"/>
      <c r="Z57" s="417"/>
      <c r="AA57" s="417"/>
      <c r="AB57" s="417"/>
      <c r="AC57" s="417"/>
      <c r="AD57" s="417"/>
      <c r="AE57" s="417"/>
    </row>
    <row r="58" spans="6:31" ht="16.5" customHeight="1">
      <c r="F58" s="417"/>
      <c r="G58" s="417"/>
      <c r="H58" s="417"/>
      <c r="I58" s="417"/>
      <c r="J58" s="417"/>
      <c r="K58" s="417"/>
      <c r="L58" s="417"/>
      <c r="M58" s="417"/>
      <c r="N58" s="417"/>
      <c r="O58" s="417"/>
      <c r="P58" s="417"/>
      <c r="Q58" s="417"/>
      <c r="R58" s="417"/>
      <c r="S58" s="417"/>
      <c r="T58" s="417"/>
      <c r="U58" s="417"/>
      <c r="V58" s="417"/>
      <c r="W58" s="417"/>
      <c r="X58" s="417"/>
      <c r="Y58" s="417"/>
      <c r="Z58" s="417"/>
      <c r="AA58" s="417"/>
      <c r="AB58" s="417"/>
      <c r="AC58" s="417"/>
      <c r="AD58" s="417"/>
      <c r="AE58" s="417"/>
    </row>
    <row r="59" spans="6:31" ht="16.5" customHeight="1"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7"/>
      <c r="W59" s="417"/>
      <c r="X59" s="417"/>
      <c r="Y59" s="417"/>
      <c r="Z59" s="417"/>
      <c r="AA59" s="417"/>
      <c r="AB59" s="417"/>
      <c r="AC59" s="417"/>
      <c r="AD59" s="417"/>
      <c r="AE59" s="417"/>
    </row>
    <row r="60" spans="6:31" ht="16.5" customHeight="1">
      <c r="F60" s="417"/>
      <c r="G60" s="417"/>
      <c r="H60" s="417"/>
      <c r="I60" s="417"/>
      <c r="J60" s="417"/>
      <c r="K60" s="417"/>
      <c r="L60" s="417"/>
      <c r="M60" s="417"/>
      <c r="N60" s="417"/>
      <c r="O60" s="417"/>
      <c r="P60" s="417"/>
      <c r="Q60" s="417"/>
      <c r="R60" s="417"/>
      <c r="S60" s="417"/>
      <c r="T60" s="417"/>
      <c r="U60" s="417"/>
      <c r="V60" s="417"/>
      <c r="W60" s="417"/>
      <c r="X60" s="417"/>
      <c r="Y60" s="417"/>
      <c r="Z60" s="417"/>
      <c r="AA60" s="417"/>
      <c r="AB60" s="417"/>
      <c r="AC60" s="417"/>
      <c r="AD60" s="417"/>
      <c r="AE60" s="417"/>
    </row>
    <row r="61" spans="6:31" ht="16.5" customHeight="1">
      <c r="F61" s="417"/>
      <c r="G61" s="417"/>
      <c r="H61" s="417"/>
      <c r="I61" s="417"/>
      <c r="J61" s="417"/>
      <c r="K61" s="417"/>
      <c r="L61" s="417"/>
      <c r="M61" s="417"/>
      <c r="N61" s="417"/>
      <c r="O61" s="417"/>
      <c r="P61" s="417"/>
      <c r="Q61" s="417"/>
      <c r="R61" s="417"/>
      <c r="S61" s="417"/>
      <c r="T61" s="417"/>
      <c r="U61" s="417"/>
      <c r="V61" s="417"/>
      <c r="W61" s="417"/>
      <c r="X61" s="417"/>
      <c r="Y61" s="417"/>
      <c r="Z61" s="417"/>
      <c r="AA61" s="417"/>
      <c r="AB61" s="417"/>
      <c r="AC61" s="417"/>
      <c r="AD61" s="417"/>
      <c r="AE61" s="417"/>
    </row>
    <row r="62" spans="6:31" ht="16.5" customHeight="1">
      <c r="F62" s="417"/>
      <c r="G62" s="417"/>
      <c r="H62" s="417"/>
      <c r="I62" s="417"/>
      <c r="J62" s="417"/>
      <c r="K62" s="417"/>
      <c r="L62" s="417"/>
      <c r="M62" s="417"/>
      <c r="N62" s="417"/>
      <c r="O62" s="417"/>
      <c r="P62" s="417"/>
      <c r="Q62" s="417"/>
      <c r="R62" s="417"/>
      <c r="S62" s="417"/>
      <c r="T62" s="417"/>
      <c r="U62" s="417"/>
      <c r="V62" s="417"/>
      <c r="W62" s="417"/>
      <c r="X62" s="417"/>
      <c r="Y62" s="417"/>
      <c r="Z62" s="417"/>
      <c r="AA62" s="417"/>
      <c r="AB62" s="417"/>
      <c r="AC62" s="417"/>
      <c r="AD62" s="417"/>
      <c r="AE62" s="417"/>
    </row>
    <row r="63" spans="6:31" ht="16.5" customHeight="1">
      <c r="F63" s="417"/>
      <c r="G63" s="417"/>
      <c r="H63" s="417"/>
      <c r="I63" s="417"/>
      <c r="J63" s="417"/>
      <c r="K63" s="417"/>
      <c r="L63" s="417"/>
      <c r="M63" s="417"/>
      <c r="N63" s="417"/>
      <c r="O63" s="417"/>
      <c r="P63" s="417"/>
      <c r="Q63" s="417"/>
      <c r="R63" s="417"/>
      <c r="S63" s="417"/>
      <c r="T63" s="417"/>
      <c r="U63" s="417"/>
      <c r="V63" s="417"/>
      <c r="W63" s="417"/>
      <c r="X63" s="417"/>
      <c r="Y63" s="417"/>
      <c r="Z63" s="417"/>
      <c r="AA63" s="417"/>
      <c r="AB63" s="417"/>
      <c r="AC63" s="417"/>
      <c r="AD63" s="417"/>
      <c r="AE63" s="417"/>
    </row>
    <row r="64" spans="6:31" ht="16.5" customHeight="1">
      <c r="F64" s="417"/>
      <c r="G64" s="417"/>
      <c r="H64" s="417"/>
      <c r="I64" s="417"/>
      <c r="J64" s="417"/>
      <c r="K64" s="417"/>
      <c r="L64" s="417"/>
      <c r="M64" s="417"/>
      <c r="N64" s="417"/>
      <c r="O64" s="417"/>
      <c r="P64" s="417"/>
      <c r="Q64" s="417"/>
      <c r="R64" s="417"/>
      <c r="S64" s="417"/>
      <c r="T64" s="417"/>
      <c r="U64" s="417"/>
      <c r="V64" s="417"/>
      <c r="W64" s="417"/>
      <c r="X64" s="417"/>
      <c r="Y64" s="417"/>
      <c r="Z64" s="417"/>
      <c r="AA64" s="417"/>
      <c r="AB64" s="417"/>
      <c r="AC64" s="417"/>
      <c r="AD64" s="417"/>
      <c r="AE64" s="417"/>
    </row>
    <row r="65" spans="6:31" ht="16.5" customHeight="1">
      <c r="F65" s="417"/>
      <c r="G65" s="417"/>
      <c r="H65" s="417"/>
      <c r="I65" s="417"/>
      <c r="J65" s="417"/>
      <c r="K65" s="417"/>
      <c r="L65" s="417"/>
      <c r="M65" s="417"/>
      <c r="N65" s="417"/>
      <c r="O65" s="417"/>
      <c r="P65" s="417"/>
      <c r="Q65" s="417"/>
      <c r="R65" s="417"/>
      <c r="S65" s="417"/>
      <c r="T65" s="417"/>
      <c r="U65" s="417"/>
      <c r="V65" s="417"/>
      <c r="W65" s="417"/>
      <c r="X65" s="417"/>
      <c r="Y65" s="417"/>
      <c r="Z65" s="417"/>
      <c r="AA65" s="417"/>
      <c r="AB65" s="417"/>
      <c r="AC65" s="417"/>
      <c r="AD65" s="417"/>
      <c r="AE65" s="417"/>
    </row>
    <row r="66" spans="6:31" ht="16.5" customHeight="1">
      <c r="F66" s="417"/>
      <c r="G66" s="417"/>
      <c r="H66" s="417"/>
      <c r="I66" s="417"/>
      <c r="J66" s="417"/>
      <c r="K66" s="417"/>
      <c r="L66" s="417"/>
      <c r="M66" s="417"/>
      <c r="N66" s="417"/>
      <c r="O66" s="417"/>
      <c r="P66" s="417"/>
      <c r="Q66" s="417"/>
      <c r="R66" s="417"/>
      <c r="S66" s="417"/>
      <c r="T66" s="417"/>
      <c r="U66" s="417"/>
      <c r="V66" s="417"/>
      <c r="W66" s="417"/>
      <c r="X66" s="417"/>
      <c r="Y66" s="417"/>
      <c r="Z66" s="417"/>
      <c r="AA66" s="417"/>
      <c r="AB66" s="417"/>
      <c r="AC66" s="417"/>
      <c r="AD66" s="417"/>
      <c r="AE66" s="417"/>
    </row>
    <row r="67" spans="6:31" ht="16.5" customHeight="1">
      <c r="F67" s="417"/>
      <c r="G67" s="417"/>
      <c r="H67" s="417"/>
      <c r="I67" s="417"/>
      <c r="J67" s="417"/>
      <c r="K67" s="417"/>
      <c r="L67" s="417"/>
      <c r="M67" s="417"/>
      <c r="N67" s="417"/>
      <c r="O67" s="417"/>
      <c r="P67" s="417"/>
      <c r="Q67" s="417"/>
      <c r="R67" s="417"/>
      <c r="S67" s="417"/>
      <c r="T67" s="417"/>
      <c r="U67" s="417"/>
      <c r="V67" s="417"/>
      <c r="W67" s="417"/>
      <c r="X67" s="417"/>
      <c r="Y67" s="417"/>
      <c r="Z67" s="417"/>
      <c r="AA67" s="417"/>
      <c r="AB67" s="417"/>
      <c r="AC67" s="417"/>
      <c r="AD67" s="417"/>
      <c r="AE67" s="417"/>
    </row>
    <row r="68" spans="6:31" ht="16.5" customHeight="1">
      <c r="F68" s="417"/>
      <c r="G68" s="417"/>
      <c r="H68" s="417"/>
      <c r="I68" s="417"/>
      <c r="J68" s="417"/>
      <c r="K68" s="417"/>
      <c r="L68" s="417"/>
      <c r="M68" s="417"/>
      <c r="N68" s="417"/>
      <c r="O68" s="417"/>
      <c r="P68" s="417"/>
      <c r="Q68" s="417"/>
      <c r="R68" s="417"/>
      <c r="S68" s="417"/>
      <c r="T68" s="417"/>
      <c r="U68" s="417"/>
      <c r="V68" s="417"/>
      <c r="W68" s="417"/>
      <c r="X68" s="417"/>
      <c r="Y68" s="417"/>
      <c r="Z68" s="417"/>
      <c r="AA68" s="417"/>
      <c r="AB68" s="417"/>
      <c r="AC68" s="417"/>
      <c r="AD68" s="417"/>
      <c r="AE68" s="417"/>
    </row>
    <row r="69" spans="6:31" ht="16.5" customHeight="1">
      <c r="F69" s="417"/>
      <c r="G69" s="417"/>
      <c r="H69" s="417"/>
      <c r="I69" s="417"/>
      <c r="J69" s="417"/>
      <c r="K69" s="417"/>
      <c r="L69" s="417"/>
      <c r="M69" s="417"/>
      <c r="N69" s="417"/>
      <c r="O69" s="417"/>
      <c r="P69" s="417"/>
      <c r="Q69" s="417"/>
      <c r="R69" s="417"/>
      <c r="S69" s="417"/>
      <c r="T69" s="417"/>
      <c r="U69" s="417"/>
      <c r="V69" s="417"/>
      <c r="W69" s="417"/>
      <c r="X69" s="417"/>
      <c r="Y69" s="417"/>
      <c r="Z69" s="417"/>
      <c r="AA69" s="417"/>
      <c r="AB69" s="417"/>
      <c r="AC69" s="417"/>
      <c r="AD69" s="417"/>
      <c r="AE69" s="417"/>
    </row>
    <row r="70" spans="6:31" ht="16.5" customHeight="1">
      <c r="F70" s="417"/>
      <c r="G70" s="417"/>
      <c r="H70" s="417"/>
      <c r="I70" s="417"/>
      <c r="J70" s="417"/>
      <c r="K70" s="417"/>
      <c r="L70" s="417"/>
      <c r="M70" s="417"/>
      <c r="N70" s="417"/>
      <c r="O70" s="417"/>
      <c r="P70" s="417"/>
      <c r="Q70" s="417"/>
      <c r="R70" s="417"/>
      <c r="S70" s="417"/>
      <c r="T70" s="417"/>
      <c r="U70" s="417"/>
      <c r="V70" s="417"/>
      <c r="W70" s="417"/>
      <c r="X70" s="417"/>
      <c r="Y70" s="417"/>
      <c r="Z70" s="417"/>
      <c r="AA70" s="417"/>
      <c r="AB70" s="417"/>
      <c r="AC70" s="417"/>
      <c r="AD70" s="417"/>
      <c r="AE70" s="417"/>
    </row>
    <row r="71" spans="6:31" ht="16.5" customHeight="1">
      <c r="F71" s="417"/>
      <c r="G71" s="417"/>
      <c r="H71" s="417"/>
      <c r="I71" s="417"/>
      <c r="J71" s="417"/>
      <c r="K71" s="417"/>
      <c r="L71" s="417"/>
      <c r="M71" s="417"/>
      <c r="N71" s="417"/>
      <c r="O71" s="417"/>
      <c r="P71" s="417"/>
      <c r="Q71" s="417"/>
      <c r="R71" s="417"/>
      <c r="S71" s="417"/>
      <c r="T71" s="417"/>
      <c r="U71" s="417"/>
      <c r="V71" s="417"/>
      <c r="W71" s="417"/>
      <c r="X71" s="417"/>
      <c r="Y71" s="417"/>
      <c r="Z71" s="417"/>
      <c r="AA71" s="417"/>
      <c r="AB71" s="417"/>
      <c r="AC71" s="417"/>
      <c r="AD71" s="417"/>
      <c r="AE71" s="417"/>
    </row>
    <row r="72" spans="6:31" ht="16.5" customHeight="1">
      <c r="F72" s="417"/>
      <c r="G72" s="417"/>
      <c r="H72" s="417"/>
      <c r="I72" s="417"/>
      <c r="J72" s="417"/>
      <c r="K72" s="417"/>
      <c r="L72" s="417"/>
      <c r="M72" s="417"/>
      <c r="N72" s="417"/>
      <c r="O72" s="417"/>
      <c r="P72" s="417"/>
      <c r="Q72" s="417"/>
      <c r="R72" s="417"/>
      <c r="S72" s="417"/>
      <c r="T72" s="417"/>
      <c r="U72" s="417"/>
      <c r="V72" s="417"/>
      <c r="W72" s="417"/>
      <c r="X72" s="417"/>
      <c r="Y72" s="417"/>
      <c r="Z72" s="417"/>
      <c r="AA72" s="417"/>
      <c r="AB72" s="417"/>
      <c r="AC72" s="417"/>
      <c r="AD72" s="417"/>
      <c r="AE72" s="417"/>
    </row>
    <row r="73" spans="6:31" ht="16.5" customHeight="1">
      <c r="F73" s="417"/>
      <c r="G73" s="417"/>
      <c r="H73" s="417"/>
      <c r="I73" s="417"/>
      <c r="J73" s="417"/>
      <c r="K73" s="417"/>
      <c r="L73" s="417"/>
      <c r="M73" s="417"/>
      <c r="N73" s="417"/>
      <c r="O73" s="417"/>
      <c r="P73" s="417"/>
      <c r="Q73" s="417"/>
      <c r="R73" s="417"/>
      <c r="S73" s="417"/>
      <c r="T73" s="417"/>
      <c r="U73" s="417"/>
      <c r="V73" s="417"/>
      <c r="W73" s="417"/>
      <c r="X73" s="417"/>
      <c r="Y73" s="417"/>
      <c r="Z73" s="417"/>
      <c r="AA73" s="417"/>
      <c r="AB73" s="417"/>
      <c r="AC73" s="417"/>
      <c r="AD73" s="417"/>
      <c r="AE73" s="417"/>
    </row>
    <row r="74" spans="6:31" ht="16.5" customHeight="1">
      <c r="F74" s="417"/>
      <c r="G74" s="417"/>
      <c r="H74" s="417"/>
      <c r="I74" s="417"/>
      <c r="J74" s="417"/>
      <c r="K74" s="417"/>
      <c r="L74" s="417"/>
      <c r="M74" s="417"/>
      <c r="N74" s="417"/>
      <c r="O74" s="417"/>
      <c r="P74" s="417"/>
      <c r="Q74" s="417"/>
      <c r="R74" s="417"/>
      <c r="S74" s="417"/>
      <c r="T74" s="417"/>
      <c r="U74" s="417"/>
      <c r="V74" s="417"/>
      <c r="W74" s="417"/>
      <c r="X74" s="417"/>
      <c r="Y74" s="417"/>
      <c r="Z74" s="417"/>
      <c r="AA74" s="417"/>
      <c r="AB74" s="417"/>
      <c r="AC74" s="417"/>
      <c r="AD74" s="417"/>
      <c r="AE74" s="417"/>
    </row>
    <row r="75" spans="6:31" ht="16.5" customHeight="1">
      <c r="F75" s="417"/>
      <c r="G75" s="417"/>
      <c r="H75" s="417"/>
      <c r="I75" s="417"/>
      <c r="J75" s="417"/>
      <c r="K75" s="417"/>
      <c r="L75" s="417"/>
      <c r="M75" s="417"/>
      <c r="N75" s="417"/>
      <c r="O75" s="417"/>
      <c r="P75" s="417"/>
      <c r="Q75" s="417"/>
      <c r="R75" s="417"/>
      <c r="S75" s="417"/>
      <c r="T75" s="417"/>
      <c r="U75" s="417"/>
      <c r="V75" s="417"/>
      <c r="W75" s="417"/>
      <c r="X75" s="417"/>
      <c r="Y75" s="417"/>
      <c r="Z75" s="417"/>
      <c r="AA75" s="417"/>
      <c r="AB75" s="417"/>
      <c r="AC75" s="417"/>
      <c r="AD75" s="417"/>
      <c r="AE75" s="417"/>
    </row>
    <row r="76" spans="6:31" ht="16.5" customHeight="1">
      <c r="F76" s="417"/>
      <c r="G76" s="417"/>
      <c r="H76" s="417"/>
      <c r="I76" s="417"/>
      <c r="J76" s="417"/>
      <c r="K76" s="417"/>
      <c r="L76" s="417"/>
      <c r="M76" s="417"/>
      <c r="N76" s="417"/>
      <c r="O76" s="417"/>
      <c r="P76" s="417"/>
      <c r="Q76" s="417"/>
      <c r="R76" s="417"/>
      <c r="S76" s="417"/>
      <c r="T76" s="417"/>
      <c r="U76" s="417"/>
      <c r="V76" s="417"/>
      <c r="W76" s="417"/>
      <c r="X76" s="417"/>
      <c r="Y76" s="417"/>
      <c r="Z76" s="417"/>
      <c r="AA76" s="417"/>
      <c r="AB76" s="417"/>
      <c r="AC76" s="417"/>
      <c r="AD76" s="417"/>
      <c r="AE76" s="417"/>
    </row>
    <row r="77" spans="6:31" ht="16.5" customHeight="1">
      <c r="F77" s="417"/>
      <c r="G77" s="417"/>
      <c r="H77" s="417"/>
      <c r="I77" s="417"/>
      <c r="J77" s="417"/>
      <c r="K77" s="417"/>
      <c r="L77" s="417"/>
      <c r="M77" s="417"/>
      <c r="N77" s="417"/>
      <c r="O77" s="417"/>
      <c r="P77" s="417"/>
      <c r="Q77" s="417"/>
      <c r="R77" s="417"/>
      <c r="S77" s="417"/>
      <c r="T77" s="417"/>
      <c r="U77" s="417"/>
      <c r="V77" s="417"/>
      <c r="W77" s="417"/>
      <c r="X77" s="417"/>
      <c r="Y77" s="417"/>
      <c r="Z77" s="417"/>
      <c r="AA77" s="417"/>
      <c r="AB77" s="417"/>
      <c r="AC77" s="417"/>
      <c r="AD77" s="417"/>
      <c r="AE77" s="417"/>
    </row>
    <row r="78" spans="6:31" ht="16.5" customHeight="1">
      <c r="F78" s="417"/>
      <c r="G78" s="417"/>
      <c r="H78" s="417"/>
      <c r="I78" s="417"/>
      <c r="J78" s="417"/>
      <c r="K78" s="417"/>
      <c r="L78" s="417"/>
      <c r="M78" s="417"/>
      <c r="N78" s="417"/>
      <c r="O78" s="417"/>
      <c r="P78" s="417"/>
      <c r="Q78" s="417"/>
      <c r="R78" s="417"/>
      <c r="S78" s="417"/>
      <c r="T78" s="417"/>
      <c r="U78" s="417"/>
      <c r="V78" s="417"/>
      <c r="W78" s="417"/>
      <c r="X78" s="417"/>
      <c r="Y78" s="417"/>
      <c r="Z78" s="417"/>
      <c r="AA78" s="417"/>
      <c r="AB78" s="417"/>
      <c r="AC78" s="417"/>
      <c r="AD78" s="417"/>
      <c r="AE78" s="417"/>
    </row>
    <row r="79" spans="6:31" ht="16.5" customHeight="1">
      <c r="F79" s="417"/>
      <c r="G79" s="417"/>
      <c r="H79" s="417"/>
      <c r="I79" s="417"/>
      <c r="J79" s="417"/>
      <c r="K79" s="417"/>
      <c r="L79" s="417"/>
      <c r="M79" s="417"/>
      <c r="N79" s="417"/>
      <c r="O79" s="417"/>
      <c r="P79" s="417"/>
      <c r="Q79" s="417"/>
      <c r="R79" s="417"/>
      <c r="S79" s="417"/>
      <c r="T79" s="417"/>
      <c r="U79" s="417"/>
      <c r="V79" s="417"/>
      <c r="W79" s="417"/>
      <c r="X79" s="417"/>
      <c r="Y79" s="417"/>
      <c r="Z79" s="417"/>
      <c r="AA79" s="417"/>
      <c r="AB79" s="417"/>
      <c r="AC79" s="417"/>
      <c r="AD79" s="417"/>
      <c r="AE79" s="417"/>
    </row>
    <row r="80" spans="6:31" ht="16.5" customHeight="1">
      <c r="F80" s="417"/>
      <c r="G80" s="417"/>
      <c r="H80" s="417"/>
      <c r="I80" s="417"/>
      <c r="J80" s="417"/>
      <c r="K80" s="417"/>
      <c r="L80" s="417"/>
      <c r="M80" s="417"/>
      <c r="N80" s="417"/>
      <c r="O80" s="417"/>
      <c r="P80" s="417"/>
      <c r="Q80" s="417"/>
      <c r="R80" s="417"/>
      <c r="S80" s="417"/>
      <c r="T80" s="417"/>
      <c r="U80" s="417"/>
      <c r="V80" s="417"/>
      <c r="W80" s="417"/>
      <c r="X80" s="417"/>
      <c r="Y80" s="417"/>
      <c r="Z80" s="417"/>
      <c r="AA80" s="417"/>
      <c r="AB80" s="417"/>
      <c r="AC80" s="417"/>
      <c r="AD80" s="417"/>
      <c r="AE80" s="417"/>
    </row>
    <row r="81" spans="6:31" ht="16.5" customHeight="1">
      <c r="F81" s="417"/>
      <c r="G81" s="417"/>
      <c r="H81" s="417"/>
      <c r="I81" s="417"/>
      <c r="J81" s="417"/>
      <c r="K81" s="417"/>
      <c r="L81" s="417"/>
      <c r="M81" s="417"/>
      <c r="N81" s="417"/>
      <c r="O81" s="417"/>
      <c r="P81" s="417"/>
      <c r="Q81" s="417"/>
      <c r="R81" s="417"/>
      <c r="S81" s="417"/>
      <c r="T81" s="417"/>
      <c r="U81" s="417"/>
      <c r="V81" s="417"/>
      <c r="W81" s="417"/>
      <c r="X81" s="417"/>
      <c r="Y81" s="417"/>
      <c r="Z81" s="417"/>
      <c r="AA81" s="417"/>
      <c r="AB81" s="417"/>
      <c r="AC81" s="417"/>
      <c r="AD81" s="417"/>
      <c r="AE81" s="417"/>
    </row>
    <row r="82" spans="6:31" ht="16.5" customHeight="1">
      <c r="F82" s="417"/>
      <c r="G82" s="417"/>
      <c r="H82" s="417"/>
      <c r="I82" s="417"/>
      <c r="J82" s="417"/>
      <c r="K82" s="417"/>
      <c r="L82" s="417"/>
      <c r="M82" s="417"/>
      <c r="N82" s="417"/>
      <c r="O82" s="417"/>
      <c r="P82" s="417"/>
      <c r="Q82" s="417"/>
      <c r="R82" s="417"/>
      <c r="S82" s="417"/>
      <c r="T82" s="417"/>
      <c r="U82" s="417"/>
      <c r="V82" s="417"/>
      <c r="W82" s="417"/>
      <c r="X82" s="417"/>
      <c r="Y82" s="417"/>
      <c r="Z82" s="417"/>
      <c r="AA82" s="417"/>
      <c r="AB82" s="417"/>
      <c r="AC82" s="417"/>
      <c r="AD82" s="417"/>
      <c r="AE82" s="417"/>
    </row>
    <row r="83" spans="6:31" ht="16.5" customHeight="1">
      <c r="F83" s="417"/>
      <c r="G83" s="417"/>
      <c r="H83" s="417"/>
      <c r="I83" s="417"/>
      <c r="J83" s="417"/>
      <c r="K83" s="417"/>
      <c r="L83" s="417"/>
      <c r="M83" s="417"/>
      <c r="N83" s="417"/>
      <c r="O83" s="417"/>
      <c r="P83" s="417"/>
      <c r="Q83" s="417"/>
      <c r="R83" s="417"/>
      <c r="S83" s="417"/>
      <c r="T83" s="417"/>
      <c r="U83" s="417"/>
      <c r="V83" s="417"/>
      <c r="W83" s="417"/>
      <c r="X83" s="417"/>
      <c r="Y83" s="417"/>
      <c r="Z83" s="417"/>
      <c r="AA83" s="417"/>
      <c r="AB83" s="417"/>
      <c r="AC83" s="417"/>
      <c r="AD83" s="417"/>
      <c r="AE83" s="417"/>
    </row>
    <row r="84" spans="6:31" ht="16.5" customHeight="1">
      <c r="F84" s="417"/>
      <c r="G84" s="417"/>
      <c r="H84" s="417"/>
      <c r="I84" s="417"/>
      <c r="J84" s="417"/>
      <c r="K84" s="417"/>
      <c r="L84" s="417"/>
      <c r="M84" s="417"/>
      <c r="N84" s="417"/>
      <c r="O84" s="417"/>
      <c r="P84" s="417"/>
      <c r="Q84" s="417"/>
      <c r="R84" s="417"/>
      <c r="S84" s="417"/>
      <c r="T84" s="417"/>
      <c r="U84" s="417"/>
      <c r="V84" s="417"/>
      <c r="W84" s="417"/>
      <c r="X84" s="417"/>
      <c r="Y84" s="417"/>
      <c r="Z84" s="417"/>
      <c r="AA84" s="417"/>
      <c r="AB84" s="417"/>
      <c r="AC84" s="417"/>
      <c r="AD84" s="417"/>
      <c r="AE84" s="417"/>
    </row>
    <row r="85" spans="6:31" ht="16.5" customHeight="1">
      <c r="F85" s="417"/>
      <c r="G85" s="417"/>
      <c r="H85" s="417"/>
      <c r="I85" s="417"/>
      <c r="J85" s="417"/>
      <c r="K85" s="417"/>
      <c r="L85" s="417"/>
      <c r="M85" s="417"/>
      <c r="N85" s="417"/>
      <c r="O85" s="417"/>
      <c r="P85" s="417"/>
      <c r="Q85" s="417"/>
      <c r="R85" s="417"/>
      <c r="S85" s="417"/>
      <c r="T85" s="417"/>
      <c r="U85" s="417"/>
      <c r="V85" s="417"/>
      <c r="W85" s="417"/>
      <c r="X85" s="417"/>
      <c r="Y85" s="417"/>
      <c r="Z85" s="417"/>
      <c r="AA85" s="417"/>
      <c r="AB85" s="417"/>
      <c r="AC85" s="417"/>
      <c r="AD85" s="417"/>
      <c r="AE85" s="417"/>
    </row>
    <row r="86" spans="6:31" ht="16.5" customHeight="1">
      <c r="F86" s="417"/>
      <c r="G86" s="417"/>
      <c r="H86" s="417"/>
      <c r="I86" s="417"/>
      <c r="J86" s="417"/>
      <c r="K86" s="417"/>
      <c r="L86" s="417"/>
      <c r="M86" s="417"/>
      <c r="N86" s="417"/>
      <c r="O86" s="417"/>
      <c r="P86" s="417"/>
      <c r="Q86" s="417"/>
      <c r="R86" s="417"/>
      <c r="S86" s="417"/>
      <c r="T86" s="417"/>
      <c r="U86" s="417"/>
      <c r="V86" s="417"/>
      <c r="W86" s="417"/>
      <c r="X86" s="417"/>
      <c r="Y86" s="417"/>
      <c r="Z86" s="417"/>
      <c r="AA86" s="417"/>
      <c r="AB86" s="417"/>
      <c r="AC86" s="417"/>
      <c r="AD86" s="417"/>
      <c r="AE86" s="417"/>
    </row>
    <row r="87" spans="6:31" ht="16.5" customHeight="1">
      <c r="F87" s="417"/>
      <c r="G87" s="417"/>
      <c r="H87" s="417"/>
      <c r="I87" s="417"/>
      <c r="J87" s="417"/>
      <c r="K87" s="417"/>
      <c r="L87" s="417"/>
      <c r="M87" s="417"/>
      <c r="N87" s="417"/>
      <c r="O87" s="417"/>
      <c r="P87" s="417"/>
      <c r="Q87" s="417"/>
      <c r="R87" s="417"/>
      <c r="S87" s="417"/>
      <c r="T87" s="417"/>
      <c r="U87" s="417"/>
      <c r="V87" s="417"/>
      <c r="W87" s="417"/>
      <c r="X87" s="417"/>
      <c r="Y87" s="417"/>
      <c r="Z87" s="417"/>
      <c r="AA87" s="417"/>
      <c r="AB87" s="417"/>
      <c r="AC87" s="417"/>
      <c r="AD87" s="417"/>
      <c r="AE87" s="417"/>
    </row>
    <row r="88" spans="6:31" ht="16.5" customHeight="1">
      <c r="F88" s="417"/>
      <c r="G88" s="417"/>
      <c r="H88" s="417"/>
      <c r="I88" s="417"/>
      <c r="J88" s="417"/>
      <c r="K88" s="417"/>
      <c r="L88" s="417"/>
      <c r="M88" s="417"/>
      <c r="N88" s="417"/>
      <c r="O88" s="417"/>
      <c r="P88" s="417"/>
      <c r="Q88" s="417"/>
      <c r="R88" s="417"/>
      <c r="S88" s="417"/>
      <c r="T88" s="417"/>
      <c r="U88" s="417"/>
      <c r="V88" s="417"/>
      <c r="W88" s="417"/>
      <c r="X88" s="417"/>
      <c r="Y88" s="417"/>
      <c r="Z88" s="417"/>
      <c r="AA88" s="417"/>
      <c r="AB88" s="417"/>
      <c r="AC88" s="417"/>
      <c r="AD88" s="417"/>
      <c r="AE88" s="417"/>
    </row>
    <row r="89" spans="6:31" ht="16.5" customHeight="1">
      <c r="F89" s="417"/>
      <c r="G89" s="417"/>
      <c r="H89" s="417"/>
      <c r="I89" s="417"/>
      <c r="J89" s="417"/>
      <c r="K89" s="417"/>
      <c r="L89" s="417"/>
      <c r="M89" s="417"/>
      <c r="N89" s="417"/>
      <c r="O89" s="417"/>
      <c r="P89" s="417"/>
      <c r="Q89" s="417"/>
      <c r="R89" s="417"/>
      <c r="S89" s="417"/>
      <c r="T89" s="417"/>
      <c r="U89" s="417"/>
      <c r="V89" s="417"/>
      <c r="W89" s="417"/>
      <c r="X89" s="417"/>
      <c r="Y89" s="417"/>
      <c r="Z89" s="417"/>
      <c r="AA89" s="417"/>
      <c r="AB89" s="417"/>
      <c r="AC89" s="417"/>
      <c r="AD89" s="417"/>
      <c r="AE89" s="417"/>
    </row>
    <row r="90" spans="6:31" ht="16.5" customHeight="1">
      <c r="F90" s="417"/>
      <c r="G90" s="417"/>
      <c r="H90" s="417"/>
      <c r="I90" s="417"/>
      <c r="J90" s="417"/>
      <c r="K90" s="417"/>
      <c r="L90" s="417"/>
      <c r="M90" s="417"/>
      <c r="N90" s="417"/>
      <c r="O90" s="417"/>
      <c r="P90" s="417"/>
      <c r="Q90" s="417"/>
      <c r="R90" s="417"/>
      <c r="S90" s="417"/>
      <c r="T90" s="417"/>
      <c r="U90" s="417"/>
      <c r="V90" s="417"/>
      <c r="W90" s="417"/>
      <c r="X90" s="417"/>
      <c r="Y90" s="417"/>
      <c r="Z90" s="417"/>
      <c r="AA90" s="417"/>
      <c r="AB90" s="417"/>
      <c r="AC90" s="417"/>
      <c r="AD90" s="417"/>
      <c r="AE90" s="417"/>
    </row>
    <row r="91" spans="6:31" ht="16.5" customHeight="1">
      <c r="F91" s="417"/>
      <c r="G91" s="417"/>
      <c r="H91" s="417"/>
      <c r="I91" s="417"/>
      <c r="J91" s="417"/>
      <c r="K91" s="417"/>
      <c r="L91" s="417"/>
      <c r="M91" s="417"/>
      <c r="N91" s="417"/>
      <c r="O91" s="417"/>
      <c r="P91" s="417"/>
      <c r="Q91" s="417"/>
      <c r="R91" s="417"/>
      <c r="S91" s="417"/>
      <c r="T91" s="417"/>
      <c r="U91" s="417"/>
      <c r="V91" s="417"/>
      <c r="W91" s="417"/>
      <c r="X91" s="417"/>
      <c r="Y91" s="417"/>
      <c r="Z91" s="417"/>
      <c r="AA91" s="417"/>
      <c r="AB91" s="417"/>
      <c r="AC91" s="417"/>
      <c r="AD91" s="417"/>
      <c r="AE91" s="417"/>
    </row>
    <row r="92" spans="6:31" ht="16.5" customHeight="1">
      <c r="F92" s="417"/>
      <c r="G92" s="417"/>
      <c r="H92" s="417"/>
      <c r="I92" s="417"/>
      <c r="J92" s="417"/>
      <c r="K92" s="417"/>
      <c r="L92" s="417"/>
      <c r="M92" s="417"/>
      <c r="N92" s="417"/>
      <c r="O92" s="417"/>
      <c r="P92" s="417"/>
      <c r="Q92" s="417"/>
      <c r="R92" s="417"/>
      <c r="S92" s="417"/>
      <c r="T92" s="417"/>
      <c r="U92" s="417"/>
      <c r="V92" s="417"/>
      <c r="W92" s="417"/>
      <c r="X92" s="417"/>
      <c r="Y92" s="417"/>
      <c r="Z92" s="417"/>
      <c r="AA92" s="417"/>
      <c r="AB92" s="417"/>
      <c r="AC92" s="417"/>
      <c r="AD92" s="417"/>
      <c r="AE92" s="417"/>
    </row>
    <row r="93" spans="6:31" ht="16.5" customHeight="1">
      <c r="F93" s="417"/>
      <c r="G93" s="417"/>
      <c r="H93" s="417"/>
      <c r="I93" s="417"/>
      <c r="J93" s="417"/>
      <c r="K93" s="417"/>
      <c r="L93" s="417"/>
      <c r="M93" s="417"/>
      <c r="N93" s="417"/>
      <c r="O93" s="417"/>
      <c r="P93" s="417"/>
      <c r="Q93" s="417"/>
      <c r="R93" s="417"/>
      <c r="S93" s="417"/>
      <c r="T93" s="417"/>
      <c r="U93" s="417"/>
      <c r="V93" s="417"/>
      <c r="W93" s="417"/>
      <c r="X93" s="417"/>
      <c r="Y93" s="417"/>
      <c r="Z93" s="417"/>
      <c r="AA93" s="417"/>
      <c r="AB93" s="417"/>
      <c r="AC93" s="417"/>
      <c r="AD93" s="417"/>
      <c r="AE93" s="417"/>
    </row>
    <row r="94" spans="6:31" ht="16.5" customHeight="1">
      <c r="F94" s="417"/>
      <c r="G94" s="417"/>
      <c r="H94" s="417"/>
      <c r="I94" s="417"/>
      <c r="J94" s="417"/>
      <c r="K94" s="417"/>
      <c r="L94" s="417"/>
      <c r="M94" s="417"/>
      <c r="N94" s="417"/>
      <c r="O94" s="417"/>
      <c r="P94" s="417"/>
      <c r="Q94" s="417"/>
      <c r="R94" s="417"/>
      <c r="S94" s="417"/>
      <c r="T94" s="417"/>
      <c r="U94" s="417"/>
      <c r="V94" s="417"/>
      <c r="W94" s="417"/>
      <c r="X94" s="417"/>
      <c r="Y94" s="417"/>
      <c r="Z94" s="417"/>
      <c r="AA94" s="417"/>
      <c r="AB94" s="417"/>
      <c r="AC94" s="417"/>
      <c r="AD94" s="417"/>
      <c r="AE94" s="417"/>
    </row>
    <row r="95" spans="6:31" ht="16.5" customHeight="1">
      <c r="F95" s="417"/>
      <c r="G95" s="417"/>
      <c r="H95" s="417"/>
      <c r="I95" s="417"/>
      <c r="J95" s="417"/>
      <c r="K95" s="417"/>
      <c r="L95" s="417"/>
      <c r="M95" s="417"/>
      <c r="N95" s="417"/>
      <c r="O95" s="417"/>
      <c r="P95" s="417"/>
      <c r="Q95" s="417"/>
      <c r="R95" s="417"/>
      <c r="S95" s="417"/>
      <c r="T95" s="417"/>
      <c r="U95" s="417"/>
      <c r="V95" s="417"/>
      <c r="W95" s="417"/>
      <c r="X95" s="417"/>
      <c r="Y95" s="417"/>
      <c r="Z95" s="417"/>
      <c r="AA95" s="417"/>
      <c r="AB95" s="417"/>
      <c r="AC95" s="417"/>
      <c r="AD95" s="417"/>
      <c r="AE95" s="417"/>
    </row>
    <row r="96" spans="6:31" ht="16.5" customHeight="1">
      <c r="F96" s="417"/>
      <c r="G96" s="417"/>
      <c r="H96" s="417"/>
      <c r="I96" s="417"/>
      <c r="J96" s="417"/>
      <c r="K96" s="417"/>
      <c r="L96" s="417"/>
      <c r="M96" s="417"/>
      <c r="N96" s="417"/>
      <c r="O96" s="417"/>
      <c r="P96" s="417"/>
      <c r="Q96" s="417"/>
      <c r="R96" s="417"/>
      <c r="S96" s="417"/>
      <c r="T96" s="417"/>
      <c r="U96" s="417"/>
      <c r="V96" s="417"/>
      <c r="W96" s="417"/>
      <c r="X96" s="417"/>
      <c r="Y96" s="417"/>
      <c r="Z96" s="417"/>
      <c r="AA96" s="417"/>
      <c r="AB96" s="417"/>
      <c r="AC96" s="417"/>
      <c r="AD96" s="417"/>
      <c r="AE96" s="417"/>
    </row>
    <row r="97" spans="6:31" ht="16.5" customHeight="1">
      <c r="F97" s="417"/>
      <c r="G97" s="417"/>
      <c r="H97" s="417"/>
      <c r="I97" s="417"/>
      <c r="J97" s="417"/>
      <c r="K97" s="417"/>
      <c r="L97" s="417"/>
      <c r="M97" s="417"/>
      <c r="N97" s="417"/>
      <c r="O97" s="417"/>
      <c r="P97" s="417"/>
      <c r="Q97" s="417"/>
      <c r="R97" s="417"/>
      <c r="S97" s="417"/>
      <c r="T97" s="417"/>
      <c r="U97" s="417"/>
      <c r="V97" s="417"/>
      <c r="W97" s="417"/>
      <c r="X97" s="417"/>
      <c r="Y97" s="417"/>
      <c r="Z97" s="417"/>
      <c r="AA97" s="417"/>
      <c r="AB97" s="417"/>
      <c r="AC97" s="417"/>
      <c r="AD97" s="417"/>
      <c r="AE97" s="417"/>
    </row>
    <row r="98" spans="6:31" ht="16.5" customHeight="1">
      <c r="F98" s="417"/>
      <c r="G98" s="417"/>
      <c r="H98" s="417"/>
      <c r="I98" s="417"/>
      <c r="J98" s="417"/>
      <c r="K98" s="417"/>
      <c r="L98" s="417"/>
      <c r="M98" s="417"/>
      <c r="N98" s="417"/>
      <c r="O98" s="417"/>
      <c r="P98" s="417"/>
      <c r="Q98" s="417"/>
      <c r="R98" s="417"/>
      <c r="S98" s="417"/>
      <c r="T98" s="417"/>
      <c r="U98" s="417"/>
      <c r="V98" s="417"/>
      <c r="W98" s="417"/>
      <c r="X98" s="417"/>
      <c r="Y98" s="417"/>
      <c r="Z98" s="417"/>
      <c r="AA98" s="417"/>
      <c r="AB98" s="417"/>
      <c r="AC98" s="417"/>
      <c r="AD98" s="417"/>
      <c r="AE98" s="417"/>
    </row>
    <row r="99" spans="6:31" ht="16.5" customHeight="1">
      <c r="F99" s="417"/>
      <c r="G99" s="417"/>
      <c r="H99" s="417"/>
      <c r="I99" s="417"/>
      <c r="J99" s="417"/>
      <c r="K99" s="417"/>
      <c r="L99" s="417"/>
      <c r="M99" s="417"/>
      <c r="N99" s="417"/>
      <c r="O99" s="417"/>
      <c r="P99" s="417"/>
      <c r="Q99" s="417"/>
      <c r="R99" s="417"/>
      <c r="S99" s="417"/>
      <c r="T99" s="417"/>
      <c r="U99" s="417"/>
      <c r="V99" s="417"/>
      <c r="W99" s="417"/>
      <c r="X99" s="417"/>
      <c r="Y99" s="417"/>
      <c r="Z99" s="417"/>
      <c r="AA99" s="417"/>
      <c r="AB99" s="417"/>
      <c r="AC99" s="417"/>
      <c r="AD99" s="417"/>
      <c r="AE99" s="417"/>
    </row>
    <row r="100" spans="6:31" ht="16.5" customHeight="1">
      <c r="F100" s="417"/>
      <c r="G100" s="417"/>
      <c r="H100" s="417"/>
      <c r="I100" s="417"/>
      <c r="J100" s="417"/>
      <c r="K100" s="417"/>
      <c r="L100" s="417"/>
      <c r="M100" s="417"/>
      <c r="N100" s="417"/>
      <c r="O100" s="417"/>
      <c r="P100" s="417"/>
      <c r="Q100" s="417"/>
      <c r="R100" s="417"/>
      <c r="S100" s="417"/>
      <c r="T100" s="417"/>
      <c r="U100" s="417"/>
      <c r="V100" s="417"/>
      <c r="W100" s="417"/>
      <c r="X100" s="417"/>
      <c r="Y100" s="417"/>
      <c r="Z100" s="417"/>
      <c r="AA100" s="417"/>
      <c r="AB100" s="417"/>
      <c r="AC100" s="417"/>
      <c r="AD100" s="417"/>
      <c r="AE100" s="417"/>
    </row>
    <row r="101" spans="6:31" ht="16.5" customHeight="1">
      <c r="F101" s="417"/>
      <c r="G101" s="417"/>
      <c r="H101" s="417"/>
      <c r="I101" s="417"/>
      <c r="J101" s="417"/>
      <c r="K101" s="417"/>
      <c r="L101" s="417"/>
      <c r="M101" s="417"/>
      <c r="N101" s="417"/>
      <c r="O101" s="417"/>
      <c r="P101" s="417"/>
      <c r="Q101" s="417"/>
      <c r="R101" s="417"/>
      <c r="S101" s="417"/>
      <c r="T101" s="417"/>
      <c r="U101" s="417"/>
      <c r="V101" s="417"/>
      <c r="W101" s="417"/>
      <c r="X101" s="417"/>
      <c r="Y101" s="417"/>
      <c r="Z101" s="417"/>
      <c r="AA101" s="417"/>
      <c r="AB101" s="417"/>
      <c r="AC101" s="417"/>
      <c r="AD101" s="417"/>
      <c r="AE101" s="417"/>
    </row>
    <row r="102" spans="6:31" ht="16.5" customHeight="1">
      <c r="F102" s="417"/>
      <c r="G102" s="417"/>
      <c r="H102" s="417"/>
      <c r="I102" s="417"/>
      <c r="J102" s="417"/>
      <c r="K102" s="417"/>
      <c r="L102" s="417"/>
      <c r="M102" s="417"/>
      <c r="N102" s="417"/>
      <c r="O102" s="417"/>
      <c r="P102" s="417"/>
      <c r="Q102" s="417"/>
      <c r="R102" s="417"/>
      <c r="S102" s="417"/>
      <c r="T102" s="417"/>
      <c r="U102" s="417"/>
      <c r="V102" s="417"/>
      <c r="W102" s="417"/>
      <c r="X102" s="417"/>
      <c r="Y102" s="417"/>
      <c r="Z102" s="417"/>
      <c r="AA102" s="417"/>
      <c r="AB102" s="417"/>
      <c r="AC102" s="417"/>
      <c r="AD102" s="417"/>
      <c r="AE102" s="417"/>
    </row>
    <row r="103" spans="6:31" ht="16.5" customHeight="1">
      <c r="F103" s="417"/>
      <c r="G103" s="417"/>
      <c r="H103" s="417"/>
      <c r="I103" s="417"/>
      <c r="J103" s="417"/>
      <c r="K103" s="417"/>
      <c r="L103" s="417"/>
      <c r="M103" s="417"/>
      <c r="N103" s="417"/>
      <c r="O103" s="417"/>
      <c r="P103" s="417"/>
      <c r="Q103" s="417"/>
      <c r="R103" s="417"/>
      <c r="S103" s="417"/>
      <c r="T103" s="417"/>
      <c r="U103" s="417"/>
      <c r="V103" s="417"/>
      <c r="W103" s="417"/>
      <c r="X103" s="417"/>
      <c r="Y103" s="417"/>
      <c r="Z103" s="417"/>
      <c r="AA103" s="417"/>
      <c r="AB103" s="417"/>
      <c r="AC103" s="417"/>
      <c r="AD103" s="417"/>
      <c r="AE103" s="417"/>
    </row>
    <row r="104" spans="6:31" ht="16.5" customHeight="1">
      <c r="F104" s="417"/>
      <c r="G104" s="417"/>
      <c r="H104" s="417"/>
      <c r="I104" s="417"/>
      <c r="J104" s="417"/>
      <c r="K104" s="417"/>
      <c r="L104" s="417"/>
      <c r="M104" s="417"/>
      <c r="N104" s="417"/>
      <c r="O104" s="417"/>
      <c r="P104" s="417"/>
      <c r="Q104" s="417"/>
      <c r="R104" s="417"/>
      <c r="S104" s="417"/>
      <c r="T104" s="417"/>
      <c r="U104" s="417"/>
      <c r="V104" s="417"/>
      <c r="W104" s="417"/>
      <c r="X104" s="417"/>
      <c r="Y104" s="417"/>
      <c r="Z104" s="417"/>
      <c r="AA104" s="417"/>
      <c r="AB104" s="417"/>
      <c r="AC104" s="417"/>
      <c r="AD104" s="417"/>
      <c r="AE104" s="417"/>
    </row>
    <row r="105" spans="6:31" ht="16.5" customHeight="1">
      <c r="F105" s="417"/>
      <c r="G105" s="417"/>
      <c r="H105" s="417"/>
      <c r="I105" s="417"/>
      <c r="J105" s="417"/>
      <c r="K105" s="417"/>
      <c r="L105" s="417"/>
      <c r="M105" s="417"/>
      <c r="N105" s="417"/>
      <c r="O105" s="417"/>
      <c r="P105" s="417"/>
      <c r="Q105" s="417"/>
      <c r="R105" s="417"/>
      <c r="S105" s="417"/>
      <c r="T105" s="417"/>
      <c r="U105" s="417"/>
      <c r="V105" s="417"/>
      <c r="W105" s="417"/>
      <c r="X105" s="417"/>
      <c r="Y105" s="417"/>
      <c r="Z105" s="417"/>
      <c r="AA105" s="417"/>
      <c r="AB105" s="417"/>
      <c r="AC105" s="417"/>
      <c r="AD105" s="417"/>
      <c r="AE105" s="417"/>
    </row>
    <row r="106" spans="6:31" ht="16.5" customHeight="1">
      <c r="F106" s="417"/>
      <c r="G106" s="417"/>
      <c r="H106" s="417"/>
      <c r="I106" s="417"/>
      <c r="J106" s="417"/>
      <c r="K106" s="417"/>
      <c r="L106" s="417"/>
      <c r="M106" s="417"/>
      <c r="N106" s="417"/>
      <c r="O106" s="417"/>
      <c r="P106" s="417"/>
      <c r="Q106" s="417"/>
      <c r="R106" s="417"/>
      <c r="S106" s="417"/>
      <c r="T106" s="417"/>
      <c r="U106" s="417"/>
      <c r="V106" s="417"/>
      <c r="W106" s="417"/>
      <c r="X106" s="417"/>
      <c r="Y106" s="417"/>
      <c r="Z106" s="417"/>
      <c r="AA106" s="417"/>
      <c r="AB106" s="417"/>
      <c r="AC106" s="417"/>
      <c r="AD106" s="417"/>
      <c r="AE106" s="417"/>
    </row>
    <row r="107" spans="6:31" ht="16.5" customHeight="1">
      <c r="F107" s="417"/>
      <c r="G107" s="417"/>
      <c r="H107" s="417"/>
      <c r="I107" s="417"/>
      <c r="J107" s="417"/>
      <c r="K107" s="417"/>
      <c r="L107" s="417"/>
      <c r="M107" s="417"/>
      <c r="N107" s="417"/>
      <c r="O107" s="417"/>
      <c r="P107" s="417"/>
      <c r="Q107" s="417"/>
      <c r="R107" s="417"/>
      <c r="S107" s="417"/>
      <c r="T107" s="417"/>
      <c r="U107" s="417"/>
      <c r="V107" s="417"/>
      <c r="W107" s="417"/>
      <c r="X107" s="417"/>
      <c r="Y107" s="417"/>
      <c r="Z107" s="417"/>
      <c r="AA107" s="417"/>
      <c r="AB107" s="417"/>
      <c r="AC107" s="417"/>
      <c r="AD107" s="417"/>
      <c r="AE107" s="417"/>
    </row>
    <row r="108" spans="6:31" ht="16.5" customHeight="1">
      <c r="F108" s="417"/>
      <c r="G108" s="417"/>
      <c r="H108" s="417"/>
      <c r="I108" s="417"/>
      <c r="J108" s="417"/>
      <c r="K108" s="417"/>
      <c r="L108" s="417"/>
      <c r="M108" s="417"/>
      <c r="N108" s="417"/>
      <c r="O108" s="417"/>
      <c r="P108" s="417"/>
      <c r="Q108" s="417"/>
      <c r="R108" s="417"/>
      <c r="S108" s="417"/>
      <c r="T108" s="417"/>
      <c r="U108" s="417"/>
      <c r="V108" s="417"/>
      <c r="W108" s="417"/>
      <c r="X108" s="417"/>
      <c r="Y108" s="417"/>
      <c r="Z108" s="417"/>
      <c r="AA108" s="417"/>
      <c r="AB108" s="417"/>
      <c r="AC108" s="417"/>
      <c r="AD108" s="417"/>
      <c r="AE108" s="417"/>
    </row>
    <row r="109" spans="6:31" ht="16.5" customHeight="1">
      <c r="F109" s="417"/>
      <c r="G109" s="417"/>
      <c r="H109" s="417"/>
      <c r="I109" s="417"/>
      <c r="J109" s="417"/>
      <c r="K109" s="417"/>
      <c r="L109" s="417"/>
      <c r="M109" s="417"/>
      <c r="N109" s="417"/>
      <c r="O109" s="417"/>
      <c r="P109" s="417"/>
      <c r="Q109" s="417"/>
      <c r="R109" s="417"/>
      <c r="S109" s="417"/>
      <c r="T109" s="417"/>
      <c r="U109" s="417"/>
      <c r="V109" s="417"/>
      <c r="W109" s="417"/>
      <c r="X109" s="417"/>
      <c r="Y109" s="417"/>
      <c r="Z109" s="417"/>
      <c r="AA109" s="417"/>
      <c r="AB109" s="417"/>
      <c r="AC109" s="417"/>
      <c r="AD109" s="417"/>
      <c r="AE109" s="417"/>
    </row>
    <row r="110" spans="6:31" ht="16.5" customHeight="1">
      <c r="F110" s="417"/>
      <c r="G110" s="417"/>
      <c r="H110" s="417"/>
      <c r="I110" s="417"/>
      <c r="J110" s="417"/>
      <c r="K110" s="417"/>
      <c r="L110" s="417"/>
      <c r="M110" s="417"/>
      <c r="N110" s="417"/>
      <c r="O110" s="417"/>
      <c r="P110" s="417"/>
      <c r="Q110" s="417"/>
      <c r="R110" s="417"/>
      <c r="S110" s="417"/>
      <c r="T110" s="417"/>
      <c r="U110" s="417"/>
      <c r="V110" s="417"/>
      <c r="W110" s="417"/>
      <c r="X110" s="417"/>
      <c r="Y110" s="417"/>
      <c r="Z110" s="417"/>
      <c r="AA110" s="417"/>
      <c r="AB110" s="417"/>
      <c r="AC110" s="417"/>
      <c r="AD110" s="417"/>
      <c r="AE110" s="417"/>
    </row>
    <row r="111" spans="6:31" ht="16.5" customHeight="1">
      <c r="F111" s="417"/>
      <c r="G111" s="417"/>
      <c r="H111" s="417"/>
      <c r="I111" s="417"/>
      <c r="J111" s="417"/>
      <c r="K111" s="417"/>
      <c r="L111" s="417"/>
      <c r="M111" s="417"/>
      <c r="N111" s="417"/>
      <c r="O111" s="417"/>
      <c r="P111" s="417"/>
      <c r="Q111" s="417"/>
      <c r="R111" s="417"/>
      <c r="S111" s="417"/>
      <c r="T111" s="417"/>
      <c r="U111" s="417"/>
      <c r="V111" s="417"/>
      <c r="W111" s="417"/>
      <c r="X111" s="417"/>
      <c r="Y111" s="417"/>
      <c r="Z111" s="417"/>
      <c r="AA111" s="417"/>
      <c r="AB111" s="417"/>
      <c r="AC111" s="417"/>
      <c r="AD111" s="417"/>
      <c r="AE111" s="417"/>
    </row>
    <row r="112" spans="6:31" ht="16.5" customHeight="1">
      <c r="F112" s="417"/>
      <c r="G112" s="417"/>
      <c r="H112" s="417"/>
      <c r="I112" s="417"/>
      <c r="J112" s="417"/>
      <c r="K112" s="417"/>
      <c r="L112" s="417"/>
      <c r="M112" s="417"/>
      <c r="N112" s="417"/>
      <c r="O112" s="417"/>
      <c r="P112" s="417"/>
      <c r="Q112" s="417"/>
      <c r="R112" s="417"/>
      <c r="S112" s="417"/>
      <c r="T112" s="417"/>
      <c r="U112" s="417"/>
      <c r="V112" s="417"/>
      <c r="W112" s="417"/>
      <c r="X112" s="417"/>
      <c r="Y112" s="417"/>
      <c r="Z112" s="417"/>
      <c r="AA112" s="417"/>
      <c r="AB112" s="417"/>
      <c r="AC112" s="417"/>
      <c r="AD112" s="417"/>
      <c r="AE112" s="417"/>
    </row>
    <row r="113" spans="6:31" ht="16.5" customHeight="1">
      <c r="F113" s="417"/>
      <c r="G113" s="417"/>
      <c r="H113" s="417"/>
      <c r="I113" s="417"/>
      <c r="J113" s="417"/>
      <c r="K113" s="417"/>
      <c r="L113" s="417"/>
      <c r="M113" s="417"/>
      <c r="N113" s="417"/>
      <c r="O113" s="417"/>
      <c r="P113" s="417"/>
      <c r="Q113" s="417"/>
      <c r="R113" s="417"/>
      <c r="S113" s="417"/>
      <c r="T113" s="417"/>
      <c r="U113" s="417"/>
      <c r="V113" s="417"/>
      <c r="W113" s="417"/>
      <c r="X113" s="417"/>
      <c r="Y113" s="417"/>
      <c r="Z113" s="417"/>
      <c r="AA113" s="417"/>
      <c r="AB113" s="417"/>
      <c r="AC113" s="417"/>
      <c r="AD113" s="417"/>
      <c r="AE113" s="417"/>
    </row>
    <row r="114" spans="6:31" ht="16.5" customHeight="1">
      <c r="F114" s="417"/>
      <c r="G114" s="417"/>
      <c r="H114" s="417"/>
      <c r="I114" s="417"/>
      <c r="J114" s="417"/>
      <c r="K114" s="417"/>
      <c r="L114" s="417"/>
      <c r="M114" s="417"/>
      <c r="N114" s="417"/>
      <c r="O114" s="417"/>
      <c r="P114" s="417"/>
      <c r="Q114" s="417"/>
      <c r="R114" s="417"/>
      <c r="S114" s="417"/>
      <c r="T114" s="417"/>
      <c r="U114" s="417"/>
      <c r="V114" s="417"/>
      <c r="W114" s="417"/>
      <c r="X114" s="417"/>
      <c r="Y114" s="417"/>
      <c r="Z114" s="417"/>
      <c r="AA114" s="417"/>
      <c r="AB114" s="417"/>
      <c r="AC114" s="417"/>
      <c r="AD114" s="417"/>
      <c r="AE114" s="417"/>
    </row>
    <row r="115" spans="6:31" ht="16.5" customHeight="1">
      <c r="F115" s="417"/>
      <c r="G115" s="417"/>
      <c r="H115" s="417"/>
      <c r="I115" s="417"/>
      <c r="J115" s="417"/>
      <c r="K115" s="417"/>
      <c r="L115" s="417"/>
      <c r="M115" s="417"/>
      <c r="N115" s="417"/>
      <c r="O115" s="417"/>
      <c r="P115" s="417"/>
      <c r="Q115" s="417"/>
      <c r="R115" s="417"/>
      <c r="S115" s="417"/>
      <c r="T115" s="417"/>
      <c r="U115" s="417"/>
      <c r="V115" s="417"/>
      <c r="W115" s="417"/>
      <c r="X115" s="417"/>
      <c r="Y115" s="417"/>
      <c r="Z115" s="417"/>
      <c r="AA115" s="417"/>
      <c r="AB115" s="417"/>
      <c r="AC115" s="417"/>
      <c r="AD115" s="417"/>
      <c r="AE115" s="417"/>
    </row>
    <row r="116" spans="6:31" ht="16.5" customHeight="1">
      <c r="F116" s="417"/>
      <c r="G116" s="417"/>
      <c r="H116" s="417"/>
      <c r="I116" s="417"/>
      <c r="J116" s="417"/>
      <c r="K116" s="417"/>
      <c r="L116" s="417"/>
      <c r="M116" s="417"/>
      <c r="N116" s="417"/>
      <c r="O116" s="417"/>
      <c r="P116" s="417"/>
      <c r="Q116" s="417"/>
      <c r="R116" s="417"/>
      <c r="S116" s="417"/>
      <c r="T116" s="417"/>
      <c r="U116" s="417"/>
      <c r="V116" s="417"/>
      <c r="W116" s="417"/>
      <c r="X116" s="417"/>
      <c r="Y116" s="417"/>
      <c r="Z116" s="417"/>
      <c r="AA116" s="417"/>
      <c r="AB116" s="417"/>
      <c r="AC116" s="417"/>
      <c r="AD116" s="417"/>
      <c r="AE116" s="417"/>
    </row>
    <row r="117" spans="6:31" ht="16.5" customHeight="1">
      <c r="F117" s="417"/>
      <c r="G117" s="417"/>
      <c r="H117" s="417"/>
      <c r="I117" s="417"/>
      <c r="J117" s="417"/>
      <c r="K117" s="417"/>
      <c r="L117" s="417"/>
      <c r="M117" s="417"/>
      <c r="N117" s="417"/>
      <c r="O117" s="417"/>
      <c r="P117" s="417"/>
      <c r="Q117" s="417"/>
      <c r="R117" s="417"/>
      <c r="S117" s="417"/>
      <c r="T117" s="417"/>
      <c r="U117" s="417"/>
      <c r="V117" s="417"/>
      <c r="W117" s="417"/>
      <c r="X117" s="417"/>
      <c r="Y117" s="417"/>
      <c r="Z117" s="417"/>
      <c r="AA117" s="417"/>
      <c r="AB117" s="417"/>
      <c r="AC117" s="417"/>
      <c r="AD117" s="417"/>
      <c r="AE117" s="417"/>
    </row>
    <row r="118" spans="6:31" ht="16.5" customHeight="1">
      <c r="F118" s="417"/>
      <c r="G118" s="417"/>
      <c r="H118" s="417"/>
      <c r="I118" s="417"/>
      <c r="J118" s="417"/>
      <c r="K118" s="417"/>
      <c r="L118" s="417"/>
      <c r="M118" s="417"/>
      <c r="N118" s="417"/>
      <c r="O118" s="417"/>
      <c r="P118" s="417"/>
      <c r="Q118" s="417"/>
      <c r="R118" s="417"/>
      <c r="S118" s="417"/>
      <c r="T118" s="417"/>
      <c r="U118" s="417"/>
      <c r="V118" s="417"/>
      <c r="W118" s="417"/>
      <c r="X118" s="417"/>
      <c r="Y118" s="417"/>
      <c r="Z118" s="417"/>
      <c r="AA118" s="417"/>
      <c r="AB118" s="417"/>
      <c r="AC118" s="417"/>
      <c r="AD118" s="417"/>
      <c r="AE118" s="417"/>
    </row>
    <row r="119" spans="6:31" ht="16.5" customHeight="1">
      <c r="F119" s="417"/>
      <c r="G119" s="417"/>
      <c r="H119" s="417"/>
      <c r="I119" s="417"/>
      <c r="J119" s="417"/>
      <c r="K119" s="417"/>
      <c r="L119" s="417"/>
      <c r="M119" s="417"/>
      <c r="N119" s="417"/>
      <c r="O119" s="417"/>
      <c r="P119" s="417"/>
      <c r="Q119" s="417"/>
      <c r="R119" s="417"/>
      <c r="S119" s="417"/>
      <c r="T119" s="417"/>
      <c r="U119" s="417"/>
      <c r="V119" s="417"/>
      <c r="W119" s="417"/>
      <c r="X119" s="417"/>
      <c r="Y119" s="417"/>
      <c r="Z119" s="417"/>
      <c r="AA119" s="417"/>
      <c r="AB119" s="417"/>
      <c r="AC119" s="417"/>
      <c r="AD119" s="417"/>
      <c r="AE119" s="417"/>
    </row>
    <row r="120" spans="6:31" ht="16.5" customHeight="1">
      <c r="F120" s="417"/>
      <c r="G120" s="417"/>
      <c r="H120" s="417"/>
      <c r="I120" s="417"/>
      <c r="J120" s="417"/>
      <c r="K120" s="417"/>
      <c r="L120" s="417"/>
      <c r="M120" s="417"/>
      <c r="N120" s="417"/>
      <c r="O120" s="417"/>
      <c r="P120" s="417"/>
      <c r="Q120" s="417"/>
      <c r="R120" s="417"/>
      <c r="S120" s="417"/>
      <c r="T120" s="417"/>
      <c r="U120" s="417"/>
      <c r="V120" s="417"/>
      <c r="W120" s="417"/>
      <c r="X120" s="417"/>
      <c r="Y120" s="417"/>
      <c r="Z120" s="417"/>
      <c r="AA120" s="417"/>
      <c r="AB120" s="417"/>
      <c r="AC120" s="417"/>
      <c r="AD120" s="417"/>
      <c r="AE120" s="417"/>
    </row>
    <row r="121" spans="6:31" ht="16.5" customHeight="1">
      <c r="F121" s="417"/>
      <c r="G121" s="417"/>
      <c r="H121" s="417"/>
      <c r="I121" s="417"/>
      <c r="J121" s="417"/>
      <c r="K121" s="417"/>
      <c r="L121" s="417"/>
      <c r="M121" s="417"/>
      <c r="N121" s="417"/>
      <c r="O121" s="417"/>
      <c r="P121" s="417"/>
      <c r="Q121" s="417"/>
      <c r="R121" s="417"/>
      <c r="S121" s="417"/>
      <c r="T121" s="417"/>
      <c r="U121" s="417"/>
      <c r="V121" s="417"/>
      <c r="W121" s="417"/>
      <c r="X121" s="417"/>
      <c r="Y121" s="417"/>
      <c r="Z121" s="417"/>
      <c r="AA121" s="417"/>
      <c r="AB121" s="417"/>
      <c r="AC121" s="417"/>
      <c r="AD121" s="417"/>
      <c r="AE121" s="417"/>
    </row>
    <row r="122" spans="6:31" ht="16.5" customHeight="1">
      <c r="F122" s="417"/>
      <c r="G122" s="417"/>
      <c r="H122" s="417"/>
      <c r="I122" s="417"/>
      <c r="J122" s="417"/>
      <c r="K122" s="417"/>
      <c r="L122" s="417"/>
      <c r="M122" s="417"/>
      <c r="N122" s="417"/>
      <c r="O122" s="417"/>
      <c r="P122" s="417"/>
      <c r="Q122" s="417"/>
      <c r="R122" s="417"/>
      <c r="S122" s="417"/>
      <c r="T122" s="417"/>
      <c r="U122" s="417"/>
      <c r="V122" s="417"/>
      <c r="W122" s="417"/>
      <c r="X122" s="417"/>
      <c r="Y122" s="417"/>
      <c r="Z122" s="417"/>
      <c r="AA122" s="417"/>
      <c r="AB122" s="417"/>
      <c r="AC122" s="417"/>
      <c r="AD122" s="417"/>
      <c r="AE122" s="417"/>
    </row>
    <row r="123" spans="6:31" ht="16.5" customHeight="1">
      <c r="F123" s="417"/>
      <c r="G123" s="417"/>
      <c r="H123" s="417"/>
      <c r="I123" s="417"/>
      <c r="J123" s="417"/>
      <c r="K123" s="417"/>
      <c r="L123" s="417"/>
      <c r="M123" s="417"/>
      <c r="N123" s="417"/>
      <c r="O123" s="417"/>
      <c r="P123" s="417"/>
      <c r="Q123" s="417"/>
      <c r="R123" s="417"/>
      <c r="S123" s="417"/>
      <c r="T123" s="417"/>
      <c r="U123" s="417"/>
      <c r="V123" s="417"/>
      <c r="W123" s="417"/>
      <c r="X123" s="417"/>
      <c r="Y123" s="417"/>
      <c r="Z123" s="417"/>
      <c r="AA123" s="417"/>
      <c r="AB123" s="417"/>
      <c r="AC123" s="417"/>
      <c r="AD123" s="417"/>
      <c r="AE123" s="417"/>
    </row>
    <row r="124" spans="6:31" ht="16.5" customHeight="1">
      <c r="F124" s="417"/>
      <c r="G124" s="417"/>
      <c r="H124" s="417"/>
      <c r="I124" s="417"/>
      <c r="J124" s="417"/>
      <c r="K124" s="417"/>
      <c r="L124" s="417"/>
      <c r="M124" s="417"/>
      <c r="N124" s="417"/>
      <c r="O124" s="417"/>
      <c r="P124" s="417"/>
      <c r="Q124" s="417"/>
      <c r="R124" s="417"/>
      <c r="S124" s="417"/>
      <c r="T124" s="417"/>
      <c r="U124" s="417"/>
      <c r="V124" s="417"/>
      <c r="W124" s="417"/>
      <c r="X124" s="417"/>
      <c r="Y124" s="417"/>
      <c r="Z124" s="417"/>
      <c r="AA124" s="417"/>
      <c r="AB124" s="417"/>
      <c r="AC124" s="417"/>
      <c r="AD124" s="417"/>
      <c r="AE124" s="417"/>
    </row>
    <row r="125" spans="6:31" ht="16.5" customHeight="1">
      <c r="F125" s="417"/>
      <c r="G125" s="417"/>
      <c r="H125" s="417"/>
      <c r="I125" s="417"/>
      <c r="J125" s="417"/>
      <c r="K125" s="417"/>
      <c r="L125" s="417"/>
      <c r="M125" s="417"/>
      <c r="N125" s="417"/>
      <c r="O125" s="417"/>
      <c r="P125" s="417"/>
      <c r="Q125" s="417"/>
      <c r="R125" s="417"/>
      <c r="S125" s="417"/>
      <c r="T125" s="417"/>
      <c r="U125" s="417"/>
      <c r="V125" s="417"/>
      <c r="W125" s="417"/>
      <c r="X125" s="417"/>
      <c r="Y125" s="417"/>
      <c r="Z125" s="417"/>
      <c r="AA125" s="417"/>
      <c r="AB125" s="417"/>
      <c r="AC125" s="417"/>
      <c r="AD125" s="417"/>
      <c r="AE125" s="417"/>
    </row>
    <row r="126" spans="6:31" ht="16.5" customHeight="1">
      <c r="F126" s="417"/>
      <c r="G126" s="417"/>
      <c r="H126" s="417"/>
      <c r="I126" s="417"/>
      <c r="J126" s="417"/>
      <c r="K126" s="417"/>
      <c r="L126" s="417"/>
      <c r="M126" s="417"/>
      <c r="N126" s="417"/>
      <c r="O126" s="417"/>
      <c r="P126" s="417"/>
      <c r="Q126" s="417"/>
      <c r="R126" s="417"/>
      <c r="S126" s="417"/>
      <c r="T126" s="417"/>
      <c r="U126" s="417"/>
      <c r="V126" s="417"/>
      <c r="W126" s="417"/>
      <c r="X126" s="417"/>
      <c r="Y126" s="417"/>
      <c r="Z126" s="417"/>
      <c r="AA126" s="417"/>
      <c r="AB126" s="417"/>
      <c r="AC126" s="417"/>
      <c r="AD126" s="417"/>
      <c r="AE126" s="417"/>
    </row>
    <row r="127" spans="6:31" ht="16.5" customHeight="1">
      <c r="F127" s="417"/>
      <c r="G127" s="417"/>
      <c r="H127" s="417"/>
      <c r="I127" s="417"/>
      <c r="J127" s="417"/>
      <c r="K127" s="417"/>
      <c r="L127" s="417"/>
      <c r="M127" s="417"/>
      <c r="N127" s="417"/>
      <c r="O127" s="417"/>
      <c r="P127" s="417"/>
      <c r="Q127" s="417"/>
      <c r="R127" s="417"/>
      <c r="S127" s="417"/>
      <c r="T127" s="417"/>
      <c r="U127" s="417"/>
      <c r="V127" s="417"/>
      <c r="W127" s="417"/>
      <c r="X127" s="417"/>
      <c r="Y127" s="417"/>
      <c r="Z127" s="417"/>
      <c r="AA127" s="417"/>
      <c r="AB127" s="417"/>
      <c r="AC127" s="417"/>
      <c r="AD127" s="417"/>
      <c r="AE127" s="417"/>
    </row>
    <row r="128" spans="6:31" ht="16.5" customHeight="1">
      <c r="F128" s="417"/>
      <c r="G128" s="417"/>
      <c r="H128" s="417"/>
      <c r="I128" s="417"/>
      <c r="J128" s="417"/>
      <c r="K128" s="417"/>
      <c r="L128" s="417"/>
      <c r="M128" s="417"/>
      <c r="N128" s="417"/>
      <c r="O128" s="417"/>
      <c r="P128" s="417"/>
      <c r="Q128" s="417"/>
      <c r="R128" s="417"/>
      <c r="S128" s="417"/>
      <c r="T128" s="417"/>
      <c r="U128" s="417"/>
      <c r="V128" s="417"/>
      <c r="W128" s="417"/>
      <c r="X128" s="417"/>
      <c r="Y128" s="417"/>
      <c r="Z128" s="417"/>
      <c r="AA128" s="417"/>
      <c r="AB128" s="417"/>
      <c r="AC128" s="417"/>
      <c r="AD128" s="417"/>
      <c r="AE128" s="417"/>
    </row>
    <row r="129" spans="6:31" ht="16.5" customHeight="1">
      <c r="F129" s="417"/>
      <c r="G129" s="417"/>
      <c r="H129" s="417"/>
      <c r="I129" s="417"/>
      <c r="J129" s="417"/>
      <c r="K129" s="417"/>
      <c r="L129" s="417"/>
      <c r="M129" s="417"/>
      <c r="N129" s="417"/>
      <c r="O129" s="417"/>
      <c r="P129" s="417"/>
      <c r="Q129" s="417"/>
      <c r="R129" s="417"/>
      <c r="S129" s="417"/>
      <c r="T129" s="417"/>
      <c r="U129" s="417"/>
      <c r="V129" s="417"/>
      <c r="W129" s="417"/>
      <c r="X129" s="417"/>
      <c r="Y129" s="417"/>
      <c r="Z129" s="417"/>
      <c r="AA129" s="417"/>
      <c r="AB129" s="417"/>
      <c r="AC129" s="417"/>
      <c r="AD129" s="417"/>
      <c r="AE129" s="417"/>
    </row>
    <row r="130" spans="6:31" ht="16.5" customHeight="1">
      <c r="F130" s="417"/>
      <c r="G130" s="417"/>
      <c r="H130" s="417"/>
      <c r="I130" s="417"/>
      <c r="J130" s="417"/>
      <c r="K130" s="417"/>
      <c r="L130" s="417"/>
      <c r="M130" s="417"/>
      <c r="N130" s="417"/>
      <c r="O130" s="417"/>
      <c r="P130" s="417"/>
      <c r="Q130" s="417"/>
      <c r="R130" s="417"/>
      <c r="S130" s="417"/>
      <c r="T130" s="417"/>
      <c r="U130" s="417"/>
      <c r="V130" s="417"/>
      <c r="W130" s="417"/>
      <c r="X130" s="417"/>
      <c r="Y130" s="417"/>
      <c r="Z130" s="417"/>
      <c r="AA130" s="417"/>
      <c r="AB130" s="417"/>
      <c r="AC130" s="417"/>
      <c r="AD130" s="417"/>
      <c r="AE130" s="417"/>
    </row>
    <row r="131" spans="6:31" ht="16.5" customHeight="1">
      <c r="F131" s="417"/>
      <c r="G131" s="417"/>
      <c r="H131" s="417"/>
      <c r="I131" s="417"/>
      <c r="J131" s="417"/>
      <c r="K131" s="417"/>
      <c r="L131" s="417"/>
      <c r="M131" s="417"/>
      <c r="N131" s="417"/>
      <c r="O131" s="417"/>
      <c r="P131" s="417"/>
      <c r="Q131" s="417"/>
      <c r="R131" s="417"/>
      <c r="S131" s="417"/>
      <c r="T131" s="417"/>
      <c r="U131" s="417"/>
      <c r="V131" s="417"/>
      <c r="W131" s="417"/>
      <c r="X131" s="417"/>
      <c r="Y131" s="417"/>
      <c r="Z131" s="417"/>
      <c r="AA131" s="417"/>
      <c r="AB131" s="417"/>
      <c r="AC131" s="417"/>
      <c r="AD131" s="417"/>
      <c r="AE131" s="417"/>
    </row>
    <row r="132" spans="6:31" ht="16.5" customHeight="1">
      <c r="F132" s="417"/>
      <c r="G132" s="417"/>
      <c r="H132" s="417"/>
      <c r="I132" s="417"/>
      <c r="J132" s="417"/>
      <c r="K132" s="417"/>
      <c r="L132" s="417"/>
      <c r="M132" s="417"/>
      <c r="N132" s="417"/>
      <c r="O132" s="417"/>
      <c r="P132" s="417"/>
      <c r="Q132" s="417"/>
      <c r="R132" s="417"/>
      <c r="S132" s="417"/>
      <c r="T132" s="417"/>
      <c r="U132" s="417"/>
      <c r="V132" s="417"/>
      <c r="W132" s="417"/>
      <c r="X132" s="417"/>
      <c r="Y132" s="417"/>
      <c r="Z132" s="417"/>
      <c r="AA132" s="417"/>
      <c r="AB132" s="417"/>
      <c r="AC132" s="417"/>
      <c r="AD132" s="417"/>
      <c r="AE132" s="417"/>
    </row>
    <row r="133" spans="6:31" ht="16.5" customHeight="1">
      <c r="F133" s="417"/>
      <c r="G133" s="417"/>
      <c r="H133" s="417"/>
      <c r="I133" s="417"/>
      <c r="J133" s="417"/>
      <c r="K133" s="417"/>
      <c r="L133" s="417"/>
      <c r="M133" s="417"/>
      <c r="N133" s="417"/>
      <c r="O133" s="417"/>
      <c r="P133" s="417"/>
      <c r="Q133" s="417"/>
      <c r="R133" s="417"/>
      <c r="S133" s="417"/>
      <c r="T133" s="417"/>
      <c r="U133" s="417"/>
      <c r="V133" s="417"/>
      <c r="W133" s="417"/>
      <c r="X133" s="417"/>
      <c r="Y133" s="417"/>
      <c r="Z133" s="417"/>
      <c r="AA133" s="417"/>
      <c r="AB133" s="417"/>
      <c r="AC133" s="417"/>
      <c r="AD133" s="417"/>
      <c r="AE133" s="417"/>
    </row>
    <row r="134" spans="6:31" ht="16.5" customHeight="1">
      <c r="F134" s="417"/>
      <c r="G134" s="417"/>
      <c r="H134" s="417"/>
      <c r="I134" s="417"/>
      <c r="J134" s="417"/>
      <c r="K134" s="417"/>
      <c r="L134" s="417"/>
      <c r="M134" s="417"/>
      <c r="N134" s="417"/>
      <c r="O134" s="417"/>
      <c r="P134" s="417"/>
      <c r="Q134" s="417"/>
      <c r="R134" s="417"/>
      <c r="S134" s="417"/>
      <c r="T134" s="417"/>
      <c r="U134" s="417"/>
      <c r="V134" s="417"/>
      <c r="W134" s="417"/>
      <c r="X134" s="417"/>
      <c r="Y134" s="417"/>
      <c r="Z134" s="417"/>
      <c r="AA134" s="417"/>
      <c r="AB134" s="417"/>
      <c r="AC134" s="417"/>
      <c r="AD134" s="417"/>
      <c r="AE134" s="417"/>
    </row>
    <row r="135" spans="6:31" ht="16.5" customHeight="1">
      <c r="F135" s="417"/>
      <c r="G135" s="417"/>
      <c r="H135" s="417"/>
      <c r="I135" s="417"/>
      <c r="J135" s="417"/>
      <c r="K135" s="417"/>
      <c r="L135" s="417"/>
      <c r="M135" s="417"/>
      <c r="N135" s="417"/>
      <c r="O135" s="417"/>
      <c r="P135" s="417"/>
      <c r="Q135" s="417"/>
      <c r="R135" s="417"/>
      <c r="S135" s="417"/>
      <c r="T135" s="417"/>
      <c r="U135" s="417"/>
      <c r="V135" s="417"/>
      <c r="W135" s="417"/>
      <c r="X135" s="417"/>
      <c r="Y135" s="417"/>
      <c r="Z135" s="417"/>
      <c r="AA135" s="417"/>
      <c r="AB135" s="417"/>
      <c r="AC135" s="417"/>
      <c r="AD135" s="417"/>
      <c r="AE135" s="417"/>
    </row>
    <row r="136" spans="6:31" ht="16.5" customHeight="1">
      <c r="F136" s="417"/>
      <c r="G136" s="417"/>
      <c r="H136" s="417"/>
      <c r="I136" s="417"/>
      <c r="J136" s="417"/>
      <c r="K136" s="417"/>
      <c r="L136" s="417"/>
      <c r="M136" s="417"/>
      <c r="N136" s="417"/>
      <c r="O136" s="417"/>
      <c r="P136" s="417"/>
      <c r="Q136" s="417"/>
      <c r="R136" s="417"/>
      <c r="S136" s="417"/>
      <c r="T136" s="417"/>
      <c r="U136" s="417"/>
      <c r="V136" s="417"/>
      <c r="W136" s="417"/>
      <c r="X136" s="417"/>
      <c r="Y136" s="417"/>
      <c r="Z136" s="417"/>
      <c r="AA136" s="417"/>
      <c r="AB136" s="417"/>
      <c r="AC136" s="417"/>
      <c r="AD136" s="417"/>
      <c r="AE136" s="417"/>
    </row>
    <row r="137" spans="6:31" ht="16.5" customHeight="1">
      <c r="F137" s="417"/>
      <c r="G137" s="417"/>
      <c r="H137" s="417"/>
      <c r="I137" s="417"/>
      <c r="J137" s="417"/>
      <c r="K137" s="417"/>
      <c r="L137" s="417"/>
      <c r="M137" s="417"/>
      <c r="N137" s="417"/>
      <c r="O137" s="417"/>
      <c r="P137" s="417"/>
      <c r="Q137" s="417"/>
      <c r="R137" s="417"/>
      <c r="S137" s="417"/>
      <c r="T137" s="417"/>
      <c r="U137" s="417"/>
      <c r="V137" s="417"/>
      <c r="W137" s="417"/>
      <c r="X137" s="417"/>
      <c r="Y137" s="417"/>
      <c r="Z137" s="417"/>
      <c r="AA137" s="417"/>
      <c r="AB137" s="417"/>
      <c r="AC137" s="417"/>
      <c r="AD137" s="417"/>
      <c r="AE137" s="417"/>
    </row>
    <row r="138" spans="6:31" ht="16.5" customHeight="1">
      <c r="F138" s="417"/>
      <c r="G138" s="417"/>
      <c r="H138" s="417"/>
      <c r="I138" s="417"/>
      <c r="J138" s="417"/>
      <c r="K138" s="417"/>
      <c r="L138" s="417"/>
      <c r="M138" s="417"/>
      <c r="N138" s="417"/>
      <c r="O138" s="417"/>
      <c r="P138" s="417"/>
      <c r="Q138" s="417"/>
      <c r="R138" s="417"/>
      <c r="S138" s="417"/>
      <c r="T138" s="417"/>
      <c r="U138" s="417"/>
      <c r="V138" s="417"/>
      <c r="W138" s="417"/>
      <c r="X138" s="417"/>
      <c r="Y138" s="417"/>
      <c r="Z138" s="417"/>
      <c r="AA138" s="417"/>
      <c r="AB138" s="417"/>
      <c r="AC138" s="417"/>
      <c r="AD138" s="417"/>
      <c r="AE138" s="417"/>
    </row>
    <row r="139" spans="6:31" ht="16.5" customHeight="1">
      <c r="F139" s="417"/>
      <c r="G139" s="417"/>
      <c r="H139" s="417"/>
      <c r="I139" s="417"/>
      <c r="J139" s="417"/>
      <c r="K139" s="417"/>
      <c r="L139" s="417"/>
      <c r="M139" s="417"/>
      <c r="N139" s="417"/>
      <c r="O139" s="417"/>
      <c r="P139" s="417"/>
      <c r="Q139" s="417"/>
      <c r="R139" s="417"/>
      <c r="S139" s="417"/>
      <c r="T139" s="417"/>
      <c r="U139" s="417"/>
      <c r="V139" s="417"/>
      <c r="W139" s="417"/>
      <c r="X139" s="417"/>
      <c r="Y139" s="417"/>
      <c r="Z139" s="417"/>
      <c r="AA139" s="417"/>
      <c r="AB139" s="417"/>
      <c r="AC139" s="417"/>
      <c r="AD139" s="417"/>
      <c r="AE139" s="417"/>
    </row>
    <row r="140" spans="6:31" ht="16.5" customHeight="1">
      <c r="F140" s="417"/>
      <c r="G140" s="417"/>
      <c r="H140" s="417"/>
      <c r="I140" s="417"/>
      <c r="J140" s="417"/>
      <c r="K140" s="417"/>
      <c r="L140" s="417"/>
      <c r="M140" s="417"/>
      <c r="N140" s="417"/>
      <c r="O140" s="417"/>
      <c r="P140" s="417"/>
      <c r="Q140" s="417"/>
      <c r="R140" s="417"/>
      <c r="S140" s="417"/>
      <c r="T140" s="417"/>
      <c r="U140" s="417"/>
      <c r="V140" s="417"/>
      <c r="W140" s="417"/>
      <c r="X140" s="417"/>
      <c r="Y140" s="417"/>
      <c r="Z140" s="417"/>
      <c r="AA140" s="417"/>
      <c r="AB140" s="417"/>
      <c r="AC140" s="417"/>
      <c r="AD140" s="417"/>
      <c r="AE140" s="417"/>
    </row>
    <row r="141" spans="6:31" ht="16.5" customHeight="1">
      <c r="F141" s="417"/>
      <c r="G141" s="417"/>
      <c r="H141" s="417"/>
      <c r="I141" s="417"/>
      <c r="J141" s="417"/>
      <c r="K141" s="417"/>
      <c r="L141" s="417"/>
      <c r="M141" s="417"/>
      <c r="N141" s="417"/>
      <c r="O141" s="417"/>
      <c r="P141" s="417"/>
      <c r="Q141" s="417"/>
      <c r="R141" s="417"/>
      <c r="S141" s="417"/>
      <c r="T141" s="417"/>
      <c r="U141" s="417"/>
      <c r="V141" s="417"/>
      <c r="W141" s="417"/>
      <c r="X141" s="417"/>
      <c r="Y141" s="417"/>
      <c r="Z141" s="417"/>
      <c r="AA141" s="417"/>
      <c r="AB141" s="417"/>
      <c r="AC141" s="417"/>
      <c r="AD141" s="417"/>
      <c r="AE141" s="417"/>
    </row>
    <row r="142" spans="6:31" ht="16.5" customHeight="1">
      <c r="F142" s="417"/>
      <c r="G142" s="417"/>
      <c r="H142" s="417"/>
      <c r="I142" s="417"/>
      <c r="J142" s="417"/>
      <c r="K142" s="417"/>
      <c r="L142" s="417"/>
      <c r="M142" s="417"/>
      <c r="N142" s="417"/>
      <c r="O142" s="417"/>
      <c r="P142" s="417"/>
      <c r="Q142" s="417"/>
      <c r="R142" s="417"/>
      <c r="S142" s="417"/>
      <c r="T142" s="417"/>
      <c r="U142" s="417"/>
      <c r="V142" s="417"/>
      <c r="W142" s="417"/>
      <c r="X142" s="417"/>
      <c r="Y142" s="417"/>
      <c r="Z142" s="417"/>
      <c r="AA142" s="417"/>
      <c r="AB142" s="417"/>
      <c r="AC142" s="417"/>
      <c r="AD142" s="417"/>
      <c r="AE142" s="417"/>
    </row>
    <row r="143" spans="6:31" ht="16.5" customHeight="1">
      <c r="F143" s="417"/>
      <c r="G143" s="417"/>
      <c r="H143" s="417"/>
      <c r="I143" s="417"/>
      <c r="J143" s="417"/>
      <c r="K143" s="417"/>
      <c r="L143" s="417"/>
      <c r="M143" s="417"/>
      <c r="N143" s="417"/>
      <c r="O143" s="417"/>
      <c r="P143" s="417"/>
      <c r="Q143" s="417"/>
      <c r="R143" s="417"/>
      <c r="S143" s="417"/>
      <c r="T143" s="417"/>
      <c r="U143" s="417"/>
      <c r="V143" s="417"/>
      <c r="W143" s="417"/>
      <c r="X143" s="417"/>
      <c r="Y143" s="417"/>
      <c r="Z143" s="417"/>
      <c r="AA143" s="417"/>
      <c r="AB143" s="417"/>
      <c r="AC143" s="417"/>
      <c r="AD143" s="417"/>
      <c r="AE143" s="417"/>
    </row>
    <row r="144" spans="6:31" ht="16.5" customHeight="1">
      <c r="F144" s="417"/>
      <c r="G144" s="417"/>
      <c r="H144" s="417"/>
      <c r="I144" s="417"/>
      <c r="J144" s="417"/>
      <c r="K144" s="417"/>
      <c r="L144" s="417"/>
      <c r="M144" s="417"/>
      <c r="N144" s="417"/>
      <c r="O144" s="417"/>
      <c r="P144" s="417"/>
      <c r="Q144" s="417"/>
      <c r="R144" s="417"/>
      <c r="S144" s="417"/>
      <c r="T144" s="417"/>
      <c r="U144" s="417"/>
      <c r="V144" s="417"/>
      <c r="W144" s="417"/>
      <c r="X144" s="417"/>
      <c r="Y144" s="417"/>
      <c r="Z144" s="417"/>
      <c r="AA144" s="417"/>
      <c r="AB144" s="417"/>
      <c r="AC144" s="417"/>
      <c r="AD144" s="417"/>
      <c r="AE144" s="417"/>
    </row>
    <row r="145" spans="6:31" ht="16.5" customHeight="1">
      <c r="F145" s="417"/>
      <c r="G145" s="417"/>
      <c r="H145" s="417"/>
      <c r="I145" s="417"/>
      <c r="J145" s="417"/>
      <c r="K145" s="417"/>
      <c r="L145" s="417"/>
      <c r="M145" s="417"/>
      <c r="N145" s="417"/>
      <c r="O145" s="417"/>
      <c r="P145" s="417"/>
      <c r="Q145" s="417"/>
      <c r="R145" s="417"/>
      <c r="S145" s="417"/>
      <c r="T145" s="417"/>
      <c r="U145" s="417"/>
      <c r="V145" s="417"/>
      <c r="W145" s="417"/>
      <c r="X145" s="417"/>
      <c r="Y145" s="417"/>
      <c r="Z145" s="417"/>
      <c r="AA145" s="417"/>
      <c r="AB145" s="417"/>
      <c r="AC145" s="417"/>
      <c r="AD145" s="417"/>
      <c r="AE145" s="417"/>
    </row>
    <row r="146" spans="6:31" ht="16.5" customHeight="1">
      <c r="F146" s="417"/>
      <c r="G146" s="417"/>
      <c r="H146" s="417"/>
      <c r="I146" s="417"/>
      <c r="J146" s="417"/>
      <c r="K146" s="417"/>
      <c r="L146" s="417"/>
      <c r="M146" s="417"/>
      <c r="N146" s="417"/>
      <c r="O146" s="417"/>
      <c r="P146" s="417"/>
      <c r="Q146" s="417"/>
      <c r="R146" s="417"/>
      <c r="S146" s="417"/>
      <c r="T146" s="417"/>
      <c r="U146" s="417"/>
      <c r="V146" s="417"/>
      <c r="W146" s="417"/>
      <c r="X146" s="417"/>
      <c r="Y146" s="417"/>
      <c r="Z146" s="417"/>
      <c r="AA146" s="417"/>
      <c r="AB146" s="417"/>
      <c r="AC146" s="417"/>
      <c r="AD146" s="417"/>
      <c r="AE146" s="417"/>
    </row>
    <row r="147" spans="6:31" ht="16.5" customHeight="1">
      <c r="F147" s="417"/>
      <c r="G147" s="417"/>
      <c r="H147" s="417"/>
      <c r="I147" s="417"/>
      <c r="J147" s="417"/>
      <c r="K147" s="417"/>
      <c r="L147" s="417"/>
      <c r="M147" s="417"/>
      <c r="N147" s="417"/>
      <c r="O147" s="417"/>
      <c r="P147" s="417"/>
      <c r="Q147" s="417"/>
      <c r="R147" s="417"/>
      <c r="S147" s="417"/>
      <c r="T147" s="417"/>
      <c r="U147" s="417"/>
      <c r="V147" s="417"/>
      <c r="W147" s="417"/>
      <c r="X147" s="417"/>
      <c r="Y147" s="417"/>
      <c r="Z147" s="417"/>
      <c r="AA147" s="417"/>
      <c r="AB147" s="417"/>
      <c r="AC147" s="417"/>
      <c r="AD147" s="417"/>
      <c r="AE147" s="417"/>
    </row>
    <row r="148" spans="6:31" ht="16.5" customHeight="1">
      <c r="F148" s="417"/>
      <c r="G148" s="417"/>
      <c r="H148" s="417"/>
      <c r="I148" s="417"/>
      <c r="J148" s="417"/>
      <c r="K148" s="417"/>
      <c r="L148" s="417"/>
      <c r="M148" s="417"/>
      <c r="N148" s="417"/>
      <c r="O148" s="417"/>
      <c r="P148" s="417"/>
      <c r="Q148" s="417"/>
      <c r="R148" s="417"/>
      <c r="S148" s="417"/>
      <c r="T148" s="417"/>
      <c r="U148" s="417"/>
      <c r="V148" s="417"/>
      <c r="W148" s="417"/>
      <c r="X148" s="417"/>
      <c r="Y148" s="417"/>
      <c r="Z148" s="417"/>
      <c r="AA148" s="417"/>
      <c r="AB148" s="417"/>
      <c r="AC148" s="417"/>
      <c r="AD148" s="417"/>
      <c r="AE148" s="417"/>
    </row>
    <row r="149" spans="6:31" ht="16.5" customHeight="1">
      <c r="F149" s="417"/>
      <c r="G149" s="417"/>
      <c r="H149" s="417"/>
      <c r="I149" s="417"/>
      <c r="J149" s="417"/>
      <c r="K149" s="417"/>
      <c r="L149" s="417"/>
      <c r="M149" s="417"/>
      <c r="N149" s="417"/>
      <c r="O149" s="417"/>
      <c r="P149" s="417"/>
      <c r="Q149" s="417"/>
      <c r="R149" s="417"/>
      <c r="S149" s="417"/>
      <c r="T149" s="417"/>
      <c r="U149" s="417"/>
      <c r="V149" s="417"/>
      <c r="W149" s="417"/>
      <c r="X149" s="417"/>
      <c r="Y149" s="417"/>
      <c r="Z149" s="417"/>
      <c r="AA149" s="417"/>
      <c r="AB149" s="417"/>
      <c r="AC149" s="417"/>
      <c r="AD149" s="417"/>
      <c r="AE149" s="417"/>
    </row>
    <row r="150" spans="6:31" ht="16.5" customHeight="1">
      <c r="F150" s="417"/>
      <c r="G150" s="417"/>
      <c r="H150" s="417"/>
      <c r="I150" s="417"/>
      <c r="J150" s="417"/>
      <c r="K150" s="417"/>
      <c r="L150" s="417"/>
      <c r="M150" s="417"/>
      <c r="N150" s="417"/>
      <c r="O150" s="417"/>
      <c r="P150" s="417"/>
      <c r="Q150" s="417"/>
      <c r="R150" s="417"/>
      <c r="S150" s="417"/>
      <c r="T150" s="417"/>
      <c r="U150" s="417"/>
      <c r="V150" s="417"/>
      <c r="W150" s="417"/>
      <c r="X150" s="417"/>
      <c r="Y150" s="417"/>
      <c r="Z150" s="417"/>
      <c r="AA150" s="417"/>
      <c r="AB150" s="417"/>
      <c r="AC150" s="417"/>
      <c r="AD150" s="417"/>
      <c r="AE150" s="417"/>
    </row>
    <row r="151" ht="16.5" customHeight="1">
      <c r="AE151" s="417"/>
    </row>
    <row r="152" ht="16.5" customHeight="1">
      <c r="AE152" s="417"/>
    </row>
    <row r="153" ht="16.5" customHeight="1">
      <c r="AE153" s="417"/>
    </row>
    <row r="154" ht="16.5" customHeight="1">
      <c r="AE154" s="417"/>
    </row>
    <row r="155" ht="16.5" customHeight="1"/>
    <row r="156" ht="16.5" customHeight="1"/>
    <row r="157" ht="16.5" customHeight="1"/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Roman,Normal"&amp;8&amp;F-&amp;A</oddFooter>
  </headerFooter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Y159"/>
  <sheetViews>
    <sheetView zoomScale="70" zoomScaleNormal="70" zoomScalePageLayoutView="0" workbookViewId="0" topLeftCell="A1">
      <selection activeCell="N51" sqref="N51"/>
    </sheetView>
  </sheetViews>
  <sheetFormatPr defaultColWidth="11.421875" defaultRowHeight="16.5" customHeight="1"/>
  <cols>
    <col min="1" max="2" width="4.140625" style="9" customWidth="1"/>
    <col min="3" max="3" width="5.421875" style="9" customWidth="1"/>
    <col min="4" max="5" width="13.57421875" style="9" customWidth="1"/>
    <col min="6" max="6" width="30.7109375" style="9" customWidth="1"/>
    <col min="7" max="7" width="40.7109375" style="9" customWidth="1"/>
    <col min="8" max="8" width="9.7109375" style="9" customWidth="1"/>
    <col min="9" max="9" width="5.7109375" style="9" hidden="1" customWidth="1"/>
    <col min="10" max="11" width="15.7109375" style="9" customWidth="1"/>
    <col min="12" max="14" width="9.7109375" style="9" customWidth="1"/>
    <col min="15" max="15" width="6.421875" style="9" customWidth="1"/>
    <col min="16" max="16" width="4.00390625" style="9" hidden="1" customWidth="1"/>
    <col min="17" max="17" width="12.8515625" style="9" hidden="1" customWidth="1"/>
    <col min="18" max="19" width="6.00390625" style="9" hidden="1" customWidth="1"/>
    <col min="20" max="20" width="11.7109375" style="9" hidden="1" customWidth="1"/>
    <col min="21" max="21" width="9.7109375" style="9" customWidth="1"/>
    <col min="22" max="22" width="15.7109375" style="9" customWidth="1"/>
    <col min="23" max="23" width="4.140625" style="9" customWidth="1"/>
    <col min="24" max="16384" width="11.421875" style="9" customWidth="1"/>
  </cols>
  <sheetData>
    <row r="1" s="3" customFormat="1" ht="26.25">
      <c r="W1" s="5"/>
    </row>
    <row r="2" spans="1:23" s="3" customFormat="1" ht="26.25">
      <c r="A2" s="88"/>
      <c r="B2" s="2" t="str">
        <f>+'TOT-0912'!B2</f>
        <v>ANEXO IV al Memorándum  D.T.E.E.  N° 295 / 2014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8" customFormat="1" ht="12.75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23" s="8" customFormat="1" ht="13.5" thickTop="1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460"/>
    </row>
    <row r="8" spans="2:23" s="18" customFormat="1" ht="20.25">
      <c r="B8" s="95"/>
      <c r="C8" s="23"/>
      <c r="D8" s="23"/>
      <c r="E8" s="23"/>
      <c r="F8" s="461" t="s">
        <v>23</v>
      </c>
      <c r="N8" s="287"/>
      <c r="O8" s="287"/>
      <c r="P8" s="289"/>
      <c r="Q8" s="23"/>
      <c r="R8" s="23"/>
      <c r="S8" s="23"/>
      <c r="T8" s="23"/>
      <c r="U8" s="23"/>
      <c r="V8" s="23"/>
      <c r="W8" s="462"/>
    </row>
    <row r="9" spans="2:23" s="8" customFormat="1" ht="12.75">
      <c r="B9" s="55"/>
      <c r="C9" s="11"/>
      <c r="D9" s="11"/>
      <c r="E9" s="11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11"/>
      <c r="R9" s="11"/>
      <c r="S9" s="11"/>
      <c r="T9" s="11"/>
      <c r="U9" s="11"/>
      <c r="V9" s="11"/>
      <c r="W9" s="60"/>
    </row>
    <row r="10" spans="2:23" s="18" customFormat="1" ht="20.25">
      <c r="B10" s="95"/>
      <c r="C10" s="23"/>
      <c r="D10" s="23"/>
      <c r="E10" s="23"/>
      <c r="F10" s="463" t="s">
        <v>65</v>
      </c>
      <c r="G10" s="464"/>
      <c r="H10" s="287"/>
      <c r="I10" s="465"/>
      <c r="K10" s="465"/>
      <c r="L10" s="465"/>
      <c r="M10" s="465"/>
      <c r="N10" s="465"/>
      <c r="O10" s="465"/>
      <c r="P10" s="465"/>
      <c r="Q10" s="23"/>
      <c r="R10" s="23"/>
      <c r="S10" s="23"/>
      <c r="T10" s="23"/>
      <c r="U10" s="23"/>
      <c r="V10" s="23"/>
      <c r="W10" s="462"/>
    </row>
    <row r="11" spans="2:23" s="8" customFormat="1" ht="13.5">
      <c r="B11" s="55"/>
      <c r="C11" s="11"/>
      <c r="D11" s="11"/>
      <c r="E11" s="11"/>
      <c r="F11" s="466"/>
      <c r="G11" s="466"/>
      <c r="H11" s="89"/>
      <c r="I11" s="467"/>
      <c r="J11" s="67"/>
      <c r="K11" s="467"/>
      <c r="L11" s="467"/>
      <c r="M11" s="467"/>
      <c r="N11" s="467"/>
      <c r="O11" s="467"/>
      <c r="P11" s="467"/>
      <c r="Q11" s="11"/>
      <c r="R11" s="11"/>
      <c r="S11" s="11"/>
      <c r="T11" s="11"/>
      <c r="U11" s="11"/>
      <c r="V11" s="11"/>
      <c r="W11" s="60"/>
    </row>
    <row r="12" spans="2:23" s="18" customFormat="1" ht="20.25">
      <c r="B12" s="95"/>
      <c r="C12" s="23"/>
      <c r="D12" s="23"/>
      <c r="E12" s="23"/>
      <c r="F12" s="463" t="s">
        <v>66</v>
      </c>
      <c r="G12" s="464"/>
      <c r="H12" s="287"/>
      <c r="I12" s="465"/>
      <c r="K12" s="465"/>
      <c r="L12" s="465"/>
      <c r="M12" s="465"/>
      <c r="N12" s="465"/>
      <c r="O12" s="465"/>
      <c r="P12" s="465"/>
      <c r="Q12" s="23"/>
      <c r="R12" s="23"/>
      <c r="S12" s="23"/>
      <c r="T12" s="23"/>
      <c r="U12" s="23"/>
      <c r="V12" s="23"/>
      <c r="W12" s="462"/>
    </row>
    <row r="13" spans="2:23" s="8" customFormat="1" ht="13.5">
      <c r="B13" s="55"/>
      <c r="C13" s="11"/>
      <c r="D13" s="11"/>
      <c r="E13" s="11"/>
      <c r="F13" s="466"/>
      <c r="G13" s="466"/>
      <c r="H13" s="89"/>
      <c r="I13" s="467"/>
      <c r="J13" s="67"/>
      <c r="K13" s="467"/>
      <c r="L13" s="467"/>
      <c r="M13" s="467"/>
      <c r="N13" s="467"/>
      <c r="O13" s="467"/>
      <c r="P13" s="467"/>
      <c r="Q13" s="11"/>
      <c r="R13" s="11"/>
      <c r="S13" s="11"/>
      <c r="T13" s="11"/>
      <c r="U13" s="11"/>
      <c r="V13" s="11"/>
      <c r="W13" s="60"/>
    </row>
    <row r="14" spans="2:23" s="8" customFormat="1" ht="19.5">
      <c r="B14" s="35" t="str">
        <f>'TOT-0912'!B14</f>
        <v>Desde el 01 al 30 de septiembre de 2012</v>
      </c>
      <c r="C14" s="39"/>
      <c r="D14" s="39"/>
      <c r="E14" s="39"/>
      <c r="F14" s="39"/>
      <c r="G14" s="39"/>
      <c r="H14" s="39"/>
      <c r="I14" s="468"/>
      <c r="J14" s="468"/>
      <c r="K14" s="468"/>
      <c r="L14" s="468"/>
      <c r="M14" s="468"/>
      <c r="N14" s="468"/>
      <c r="O14" s="468"/>
      <c r="P14" s="468"/>
      <c r="Q14" s="39"/>
      <c r="R14" s="39"/>
      <c r="S14" s="39"/>
      <c r="T14" s="39"/>
      <c r="U14" s="39"/>
      <c r="V14" s="39"/>
      <c r="W14" s="469"/>
    </row>
    <row r="15" spans="2:23" s="8" customFormat="1" ht="14.25" thickBot="1">
      <c r="B15" s="470"/>
      <c r="C15" s="471"/>
      <c r="D15" s="471"/>
      <c r="E15" s="471"/>
      <c r="F15" s="471"/>
      <c r="G15" s="471"/>
      <c r="H15" s="471"/>
      <c r="I15" s="472"/>
      <c r="J15" s="472"/>
      <c r="K15" s="472"/>
      <c r="L15" s="472"/>
      <c r="M15" s="472"/>
      <c r="N15" s="472"/>
      <c r="O15" s="472"/>
      <c r="P15" s="472"/>
      <c r="Q15" s="471"/>
      <c r="R15" s="471"/>
      <c r="S15" s="471"/>
      <c r="T15" s="471"/>
      <c r="U15" s="471"/>
      <c r="V15" s="471"/>
      <c r="W15" s="473"/>
    </row>
    <row r="16" spans="2:23" s="8" customFormat="1" ht="15" thickBot="1" thickTop="1">
      <c r="B16" s="55"/>
      <c r="C16" s="11"/>
      <c r="D16" s="11"/>
      <c r="E16" s="11"/>
      <c r="F16" s="474"/>
      <c r="G16" s="474"/>
      <c r="H16" s="475" t="s">
        <v>67</v>
      </c>
      <c r="I16" s="11"/>
      <c r="J16" s="6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60"/>
    </row>
    <row r="17" spans="2:23" s="8" customFormat="1" ht="16.5" customHeight="1" thickBot="1" thickTop="1">
      <c r="B17" s="55"/>
      <c r="C17" s="11"/>
      <c r="D17" s="11"/>
      <c r="E17" s="11"/>
      <c r="F17" s="476" t="s">
        <v>68</v>
      </c>
      <c r="G17" s="477">
        <v>138.215</v>
      </c>
      <c r="H17" s="478">
        <v>200</v>
      </c>
      <c r="V17" s="109"/>
      <c r="W17" s="60"/>
    </row>
    <row r="18" spans="2:23" s="8" customFormat="1" ht="16.5" customHeight="1" thickBot="1" thickTop="1">
      <c r="B18" s="55"/>
      <c r="C18" s="11"/>
      <c r="D18" s="11"/>
      <c r="E18" s="11"/>
      <c r="F18" s="479" t="s">
        <v>69</v>
      </c>
      <c r="G18" s="480">
        <v>124.376</v>
      </c>
      <c r="H18" s="478">
        <v>100</v>
      </c>
      <c r="O18" s="11"/>
      <c r="P18" s="11"/>
      <c r="Q18" s="11"/>
      <c r="R18" s="11"/>
      <c r="S18" s="11"/>
      <c r="T18" s="11"/>
      <c r="U18" s="11"/>
      <c r="V18" s="11"/>
      <c r="W18" s="60"/>
    </row>
    <row r="19" spans="2:23" s="8" customFormat="1" ht="16.5" customHeight="1" thickBot="1" thickTop="1">
      <c r="B19" s="55"/>
      <c r="C19" s="11"/>
      <c r="D19" s="11"/>
      <c r="E19" s="11"/>
      <c r="F19" s="481" t="s">
        <v>70</v>
      </c>
      <c r="G19" s="480">
        <v>110.573</v>
      </c>
      <c r="H19" s="478">
        <v>40</v>
      </c>
      <c r="K19" s="107"/>
      <c r="L19" s="108"/>
      <c r="M19" s="11"/>
      <c r="O19" s="11"/>
      <c r="Q19" s="11"/>
      <c r="R19" s="11"/>
      <c r="S19" s="11"/>
      <c r="T19" s="11"/>
      <c r="U19" s="11"/>
      <c r="V19" s="11"/>
      <c r="W19" s="60"/>
    </row>
    <row r="20" spans="2:23" s="8" customFormat="1" ht="16.5" customHeight="1" thickBot="1" thickTop="1">
      <c r="B20" s="55"/>
      <c r="C20" s="110">
        <v>3</v>
      </c>
      <c r="D20" s="110">
        <v>4</v>
      </c>
      <c r="E20" s="110">
        <v>5</v>
      </c>
      <c r="F20" s="110">
        <v>6</v>
      </c>
      <c r="G20" s="110">
        <v>7</v>
      </c>
      <c r="H20" s="110">
        <v>8</v>
      </c>
      <c r="I20" s="110">
        <v>9</v>
      </c>
      <c r="J20" s="110">
        <v>10</v>
      </c>
      <c r="K20" s="110">
        <v>11</v>
      </c>
      <c r="L20" s="110">
        <v>12</v>
      </c>
      <c r="M20" s="110">
        <v>13</v>
      </c>
      <c r="N20" s="110">
        <v>14</v>
      </c>
      <c r="O20" s="110">
        <v>15</v>
      </c>
      <c r="P20" s="110">
        <v>16</v>
      </c>
      <c r="Q20" s="110">
        <v>17</v>
      </c>
      <c r="R20" s="110">
        <v>18</v>
      </c>
      <c r="S20" s="110">
        <v>19</v>
      </c>
      <c r="T20" s="110">
        <v>20</v>
      </c>
      <c r="U20" s="110">
        <v>21</v>
      </c>
      <c r="V20" s="110">
        <v>22</v>
      </c>
      <c r="W20" s="60"/>
    </row>
    <row r="21" spans="2:23" s="8" customFormat="1" ht="33.75" customHeight="1" thickBot="1" thickTop="1">
      <c r="B21" s="55"/>
      <c r="C21" s="321" t="s">
        <v>28</v>
      </c>
      <c r="D21" s="111" t="s">
        <v>29</v>
      </c>
      <c r="E21" s="111" t="s">
        <v>30</v>
      </c>
      <c r="F21" s="114" t="s">
        <v>58</v>
      </c>
      <c r="G21" s="482" t="s">
        <v>59</v>
      </c>
      <c r="H21" s="483" t="s">
        <v>31</v>
      </c>
      <c r="I21" s="326" t="s">
        <v>35</v>
      </c>
      <c r="J21" s="112" t="s">
        <v>36</v>
      </c>
      <c r="K21" s="482" t="s">
        <v>37</v>
      </c>
      <c r="L21" s="484" t="s">
        <v>38</v>
      </c>
      <c r="M21" s="484" t="s">
        <v>39</v>
      </c>
      <c r="N21" s="119" t="s">
        <v>254</v>
      </c>
      <c r="O21" s="118" t="s">
        <v>42</v>
      </c>
      <c r="P21" s="485" t="s">
        <v>34</v>
      </c>
      <c r="Q21" s="486" t="s">
        <v>71</v>
      </c>
      <c r="R21" s="487" t="s">
        <v>72</v>
      </c>
      <c r="S21" s="488"/>
      <c r="T21" s="489" t="s">
        <v>47</v>
      </c>
      <c r="U21" s="130" t="s">
        <v>49</v>
      </c>
      <c r="V21" s="325" t="s">
        <v>50</v>
      </c>
      <c r="W21" s="60"/>
    </row>
    <row r="22" spans="2:23" s="8" customFormat="1" ht="16.5" customHeight="1" thickTop="1">
      <c r="B22" s="55"/>
      <c r="C22" s="335"/>
      <c r="D22" s="335"/>
      <c r="E22" s="335"/>
      <c r="F22" s="490"/>
      <c r="G22" s="490"/>
      <c r="H22" s="490"/>
      <c r="I22" s="273"/>
      <c r="J22" s="490"/>
      <c r="K22" s="490"/>
      <c r="L22" s="490"/>
      <c r="M22" s="490"/>
      <c r="N22" s="490"/>
      <c r="O22" s="490"/>
      <c r="P22" s="491"/>
      <c r="Q22" s="492"/>
      <c r="R22" s="493"/>
      <c r="S22" s="494"/>
      <c r="T22" s="495"/>
      <c r="U22" s="490"/>
      <c r="V22" s="496"/>
      <c r="W22" s="60"/>
    </row>
    <row r="23" spans="2:23" s="8" customFormat="1" ht="16.5" customHeight="1">
      <c r="B23" s="55"/>
      <c r="C23" s="150"/>
      <c r="D23" s="150"/>
      <c r="E23" s="150"/>
      <c r="F23" s="497"/>
      <c r="G23" s="497"/>
      <c r="H23" s="497"/>
      <c r="I23" s="498"/>
      <c r="J23" s="497"/>
      <c r="K23" s="497"/>
      <c r="L23" s="497"/>
      <c r="M23" s="497"/>
      <c r="N23" s="497"/>
      <c r="O23" s="497"/>
      <c r="P23" s="499"/>
      <c r="Q23" s="500"/>
      <c r="R23" s="501"/>
      <c r="S23" s="502"/>
      <c r="T23" s="503"/>
      <c r="U23" s="497"/>
      <c r="V23" s="504"/>
      <c r="W23" s="60"/>
    </row>
    <row r="24" spans="2:23" s="8" customFormat="1" ht="16.5" customHeight="1">
      <c r="B24" s="55"/>
      <c r="C24" s="150">
        <v>59</v>
      </c>
      <c r="D24" s="150">
        <v>251386</v>
      </c>
      <c r="E24" s="169">
        <v>2746</v>
      </c>
      <c r="F24" s="505" t="s">
        <v>291</v>
      </c>
      <c r="G24" s="505" t="s">
        <v>292</v>
      </c>
      <c r="H24" s="506">
        <v>132</v>
      </c>
      <c r="I24" s="507">
        <f aca="true" t="shared" si="0" ref="I24:I43">IF(H24=500,$G$17,IF(H24=220,$G$18,$G$19))</f>
        <v>110.573</v>
      </c>
      <c r="J24" s="508">
        <v>41160.36875</v>
      </c>
      <c r="K24" s="509">
        <v>41160.54513888889</v>
      </c>
      <c r="L24" s="510">
        <f aca="true" t="shared" si="1" ref="L24:L43">IF(F24="","",(K24-J24)*24)</f>
        <v>4.233333333337214</v>
      </c>
      <c r="M24" s="511">
        <f aca="true" t="shared" si="2" ref="M24:M43">IF(F24="","",ROUND((K24-J24)*24*60,0))</f>
        <v>254</v>
      </c>
      <c r="N24" s="178" t="s">
        <v>259</v>
      </c>
      <c r="O24" s="180" t="str">
        <f aca="true" t="shared" si="3" ref="O24:O43">IF(F24="","",IF(N24="P","--","NO"))</f>
        <v>--</v>
      </c>
      <c r="P24" s="512">
        <f aca="true" t="shared" si="4" ref="P24:P43">IF(H24=500,$H$17,IF(H24=220,$H$18,$H$19))</f>
        <v>40</v>
      </c>
      <c r="Q24" s="513">
        <f aca="true" t="shared" si="5" ref="Q24:Q43">IF(N24="P",I24*P24*ROUND(M24/60,2)*0.1,"--")</f>
        <v>1870.8951600000005</v>
      </c>
      <c r="R24" s="501" t="str">
        <f aca="true" t="shared" si="6" ref="R24:R43">IF(AND(N24="F",O24="NO"),I24*P24,"--")</f>
        <v>--</v>
      </c>
      <c r="S24" s="502" t="str">
        <f aca="true" t="shared" si="7" ref="S24:S43">IF(N24="F",I24*P24*ROUND(M24/60,2),"--")</f>
        <v>--</v>
      </c>
      <c r="T24" s="503" t="str">
        <f aca="true" t="shared" si="8" ref="T24:T43">IF(N24="RF",I24*P24*ROUND(M24/60,2),"--")</f>
        <v>--</v>
      </c>
      <c r="U24" s="180" t="s">
        <v>79</v>
      </c>
      <c r="V24" s="514">
        <v>0</v>
      </c>
      <c r="W24" s="60"/>
    </row>
    <row r="25" spans="2:23" s="8" customFormat="1" ht="16.5" customHeight="1">
      <c r="B25" s="55"/>
      <c r="C25" s="150">
        <v>60</v>
      </c>
      <c r="D25" s="150">
        <v>251387</v>
      </c>
      <c r="E25" s="150">
        <v>140</v>
      </c>
      <c r="F25" s="505" t="s">
        <v>293</v>
      </c>
      <c r="G25" s="505" t="s">
        <v>294</v>
      </c>
      <c r="H25" s="506">
        <v>132</v>
      </c>
      <c r="I25" s="507">
        <f t="shared" si="0"/>
        <v>110.573</v>
      </c>
      <c r="J25" s="508">
        <v>41161.30625</v>
      </c>
      <c r="K25" s="509">
        <v>41161.40902777778</v>
      </c>
      <c r="L25" s="510">
        <f t="shared" si="1"/>
        <v>2.4666666666744277</v>
      </c>
      <c r="M25" s="511">
        <f t="shared" si="2"/>
        <v>148</v>
      </c>
      <c r="N25" s="178" t="s">
        <v>259</v>
      </c>
      <c r="O25" s="180" t="str">
        <f t="shared" si="3"/>
        <v>--</v>
      </c>
      <c r="P25" s="512">
        <f t="shared" si="4"/>
        <v>40</v>
      </c>
      <c r="Q25" s="513">
        <f t="shared" si="5"/>
        <v>1092.4612400000003</v>
      </c>
      <c r="R25" s="501" t="str">
        <f t="shared" si="6"/>
        <v>--</v>
      </c>
      <c r="S25" s="502" t="str">
        <f t="shared" si="7"/>
        <v>--</v>
      </c>
      <c r="T25" s="503" t="str">
        <f t="shared" si="8"/>
        <v>--</v>
      </c>
      <c r="U25" s="180" t="s">
        <v>79</v>
      </c>
      <c r="V25" s="514">
        <v>0</v>
      </c>
      <c r="W25" s="60"/>
    </row>
    <row r="26" spans="2:23" s="8" customFormat="1" ht="16.5" customHeight="1">
      <c r="B26" s="55"/>
      <c r="C26" s="150">
        <v>61</v>
      </c>
      <c r="D26" s="150">
        <v>251389</v>
      </c>
      <c r="E26" s="169">
        <v>2866</v>
      </c>
      <c r="F26" s="505" t="s">
        <v>291</v>
      </c>
      <c r="G26" s="505" t="s">
        <v>295</v>
      </c>
      <c r="H26" s="506">
        <v>132</v>
      </c>
      <c r="I26" s="507">
        <f t="shared" si="0"/>
        <v>110.573</v>
      </c>
      <c r="J26" s="508">
        <v>41161.32916666667</v>
      </c>
      <c r="K26" s="509">
        <v>41161.57152777778</v>
      </c>
      <c r="L26" s="510">
        <f t="shared" si="1"/>
        <v>5.816666666592937</v>
      </c>
      <c r="M26" s="511">
        <f t="shared" si="2"/>
        <v>349</v>
      </c>
      <c r="N26" s="178" t="s">
        <v>259</v>
      </c>
      <c r="O26" s="180" t="str">
        <f t="shared" si="3"/>
        <v>--</v>
      </c>
      <c r="P26" s="512">
        <f t="shared" si="4"/>
        <v>40</v>
      </c>
      <c r="Q26" s="513">
        <f t="shared" si="5"/>
        <v>2574.1394400000004</v>
      </c>
      <c r="R26" s="501" t="str">
        <f t="shared" si="6"/>
        <v>--</v>
      </c>
      <c r="S26" s="502" t="str">
        <f t="shared" si="7"/>
        <v>--</v>
      </c>
      <c r="T26" s="503" t="str">
        <f t="shared" si="8"/>
        <v>--</v>
      </c>
      <c r="U26" s="180" t="s">
        <v>79</v>
      </c>
      <c r="V26" s="514">
        <v>0</v>
      </c>
      <c r="W26" s="60"/>
    </row>
    <row r="27" spans="2:23" s="8" customFormat="1" ht="16.5" customHeight="1">
      <c r="B27" s="55"/>
      <c r="C27" s="150">
        <v>62</v>
      </c>
      <c r="D27" s="150">
        <v>251578</v>
      </c>
      <c r="E27" s="150">
        <v>4765</v>
      </c>
      <c r="F27" s="505" t="s">
        <v>363</v>
      </c>
      <c r="G27" s="505" t="s">
        <v>364</v>
      </c>
      <c r="H27" s="619">
        <v>500</v>
      </c>
      <c r="I27" s="507">
        <f t="shared" si="0"/>
        <v>138.215</v>
      </c>
      <c r="J27" s="508">
        <v>41162.24097222222</v>
      </c>
      <c r="K27" s="509">
        <v>41162.26388888889</v>
      </c>
      <c r="L27" s="510">
        <f t="shared" si="1"/>
        <v>0.5500000000465661</v>
      </c>
      <c r="M27" s="511">
        <f t="shared" si="2"/>
        <v>33</v>
      </c>
      <c r="N27" s="178" t="s">
        <v>259</v>
      </c>
      <c r="O27" s="180" t="str">
        <f t="shared" si="3"/>
        <v>--</v>
      </c>
      <c r="P27" s="512">
        <f t="shared" si="4"/>
        <v>200</v>
      </c>
      <c r="Q27" s="513">
        <f t="shared" si="5"/>
        <v>1520.3650000000002</v>
      </c>
      <c r="R27" s="501" t="str">
        <f t="shared" si="6"/>
        <v>--</v>
      </c>
      <c r="S27" s="502" t="str">
        <f t="shared" si="7"/>
        <v>--</v>
      </c>
      <c r="T27" s="503" t="str">
        <f t="shared" si="8"/>
        <v>--</v>
      </c>
      <c r="U27" s="180" t="s">
        <v>79</v>
      </c>
      <c r="V27" s="514">
        <f aca="true" t="shared" si="9" ref="V27:V43">IF(F27="","",SUM(Q27:T27)*IF(U27="SI",1,2))</f>
        <v>1520.3650000000002</v>
      </c>
      <c r="W27" s="60"/>
    </row>
    <row r="28" spans="2:23" s="8" customFormat="1" ht="16.5" customHeight="1">
      <c r="B28" s="55"/>
      <c r="C28" s="150">
        <v>63</v>
      </c>
      <c r="D28" s="150">
        <v>251581</v>
      </c>
      <c r="E28" s="169">
        <v>2739</v>
      </c>
      <c r="F28" s="505" t="s">
        <v>296</v>
      </c>
      <c r="G28" s="505" t="s">
        <v>297</v>
      </c>
      <c r="H28" s="506">
        <v>132</v>
      </c>
      <c r="I28" s="507">
        <f t="shared" si="0"/>
        <v>110.573</v>
      </c>
      <c r="J28" s="508">
        <v>41162.381944444445</v>
      </c>
      <c r="K28" s="509">
        <v>41162.62222222222</v>
      </c>
      <c r="L28" s="510">
        <f t="shared" si="1"/>
        <v>5.7666666666045785</v>
      </c>
      <c r="M28" s="511">
        <f t="shared" si="2"/>
        <v>346</v>
      </c>
      <c r="N28" s="178" t="s">
        <v>259</v>
      </c>
      <c r="O28" s="180" t="str">
        <f t="shared" si="3"/>
        <v>--</v>
      </c>
      <c r="P28" s="512">
        <f t="shared" si="4"/>
        <v>40</v>
      </c>
      <c r="Q28" s="513">
        <f t="shared" si="5"/>
        <v>2552.02484</v>
      </c>
      <c r="R28" s="501" t="str">
        <f t="shared" si="6"/>
        <v>--</v>
      </c>
      <c r="S28" s="502" t="str">
        <f t="shared" si="7"/>
        <v>--</v>
      </c>
      <c r="T28" s="503" t="str">
        <f t="shared" si="8"/>
        <v>--</v>
      </c>
      <c r="U28" s="180" t="s">
        <v>79</v>
      </c>
      <c r="V28" s="514">
        <v>0</v>
      </c>
      <c r="W28" s="60"/>
    </row>
    <row r="29" spans="2:23" s="8" customFormat="1" ht="16.5" customHeight="1">
      <c r="B29" s="55"/>
      <c r="C29" s="150">
        <v>64</v>
      </c>
      <c r="D29" s="150">
        <v>251585</v>
      </c>
      <c r="E29" s="150">
        <v>3804</v>
      </c>
      <c r="F29" s="505" t="s">
        <v>277</v>
      </c>
      <c r="G29" s="505" t="s">
        <v>298</v>
      </c>
      <c r="H29" s="506">
        <v>132</v>
      </c>
      <c r="I29" s="507">
        <f t="shared" si="0"/>
        <v>110.573</v>
      </c>
      <c r="J29" s="508">
        <v>41163.376388888886</v>
      </c>
      <c r="K29" s="509">
        <v>41163.7375</v>
      </c>
      <c r="L29" s="510">
        <f t="shared" si="1"/>
        <v>8.666666666802485</v>
      </c>
      <c r="M29" s="511">
        <f t="shared" si="2"/>
        <v>520</v>
      </c>
      <c r="N29" s="178" t="s">
        <v>259</v>
      </c>
      <c r="O29" s="180" t="str">
        <f t="shared" si="3"/>
        <v>--</v>
      </c>
      <c r="P29" s="512">
        <f t="shared" si="4"/>
        <v>40</v>
      </c>
      <c r="Q29" s="513">
        <f t="shared" si="5"/>
        <v>3834.67164</v>
      </c>
      <c r="R29" s="501" t="str">
        <f t="shared" si="6"/>
        <v>--</v>
      </c>
      <c r="S29" s="502" t="str">
        <f t="shared" si="7"/>
        <v>--</v>
      </c>
      <c r="T29" s="503" t="str">
        <f t="shared" si="8"/>
        <v>--</v>
      </c>
      <c r="U29" s="180" t="s">
        <v>79</v>
      </c>
      <c r="V29" s="514">
        <f t="shared" si="9"/>
        <v>3834.67164</v>
      </c>
      <c r="W29" s="60"/>
    </row>
    <row r="30" spans="2:23" s="8" customFormat="1" ht="16.5" customHeight="1">
      <c r="B30" s="55"/>
      <c r="C30" s="150">
        <v>65</v>
      </c>
      <c r="D30" s="150">
        <v>251586</v>
      </c>
      <c r="E30" s="169">
        <v>3805</v>
      </c>
      <c r="F30" s="505" t="s">
        <v>277</v>
      </c>
      <c r="G30" s="505" t="s">
        <v>299</v>
      </c>
      <c r="H30" s="506">
        <v>132</v>
      </c>
      <c r="I30" s="507">
        <f t="shared" si="0"/>
        <v>110.573</v>
      </c>
      <c r="J30" s="508">
        <v>41163.376388888886</v>
      </c>
      <c r="K30" s="509">
        <v>41163.73819444444</v>
      </c>
      <c r="L30" s="510">
        <f t="shared" si="1"/>
        <v>8.683333333348855</v>
      </c>
      <c r="M30" s="511">
        <f t="shared" si="2"/>
        <v>521</v>
      </c>
      <c r="N30" s="178" t="s">
        <v>259</v>
      </c>
      <c r="O30" s="180" t="str">
        <f t="shared" si="3"/>
        <v>--</v>
      </c>
      <c r="P30" s="512">
        <f t="shared" si="4"/>
        <v>40</v>
      </c>
      <c r="Q30" s="513">
        <f t="shared" si="5"/>
        <v>3839.09456</v>
      </c>
      <c r="R30" s="501" t="str">
        <f t="shared" si="6"/>
        <v>--</v>
      </c>
      <c r="S30" s="502" t="str">
        <f t="shared" si="7"/>
        <v>--</v>
      </c>
      <c r="T30" s="503" t="str">
        <f t="shared" si="8"/>
        <v>--</v>
      </c>
      <c r="U30" s="180" t="s">
        <v>79</v>
      </c>
      <c r="V30" s="514">
        <f t="shared" si="9"/>
        <v>3839.09456</v>
      </c>
      <c r="W30" s="60"/>
    </row>
    <row r="31" spans="2:23" s="8" customFormat="1" ht="16.5" customHeight="1">
      <c r="B31" s="55"/>
      <c r="C31" s="150">
        <v>66</v>
      </c>
      <c r="D31" s="150">
        <v>251589</v>
      </c>
      <c r="E31" s="150">
        <v>106</v>
      </c>
      <c r="F31" s="505" t="s">
        <v>275</v>
      </c>
      <c r="G31" s="505" t="s">
        <v>300</v>
      </c>
      <c r="H31" s="506">
        <v>132</v>
      </c>
      <c r="I31" s="507">
        <f t="shared" si="0"/>
        <v>110.573</v>
      </c>
      <c r="J31" s="508">
        <v>41163.43125</v>
      </c>
      <c r="K31" s="509">
        <v>41163.552777777775</v>
      </c>
      <c r="L31" s="510">
        <f t="shared" si="1"/>
        <v>2.916666666569654</v>
      </c>
      <c r="M31" s="511">
        <f t="shared" si="2"/>
        <v>175</v>
      </c>
      <c r="N31" s="178" t="s">
        <v>259</v>
      </c>
      <c r="O31" s="180" t="str">
        <f t="shared" si="3"/>
        <v>--</v>
      </c>
      <c r="P31" s="512">
        <f t="shared" si="4"/>
        <v>40</v>
      </c>
      <c r="Q31" s="513">
        <f t="shared" si="5"/>
        <v>1291.4926400000002</v>
      </c>
      <c r="R31" s="501" t="str">
        <f t="shared" si="6"/>
        <v>--</v>
      </c>
      <c r="S31" s="502" t="str">
        <f t="shared" si="7"/>
        <v>--</v>
      </c>
      <c r="T31" s="503" t="str">
        <f t="shared" si="8"/>
        <v>--</v>
      </c>
      <c r="U31" s="180" t="s">
        <v>79</v>
      </c>
      <c r="V31" s="514">
        <v>0</v>
      </c>
      <c r="W31" s="60"/>
    </row>
    <row r="32" spans="2:23" s="8" customFormat="1" ht="16.5" customHeight="1">
      <c r="B32" s="55"/>
      <c r="C32" s="150">
        <v>67</v>
      </c>
      <c r="D32" s="150">
        <v>251593</v>
      </c>
      <c r="E32" s="169">
        <v>4765</v>
      </c>
      <c r="F32" s="505" t="s">
        <v>363</v>
      </c>
      <c r="G32" s="505" t="s">
        <v>364</v>
      </c>
      <c r="H32" s="619">
        <v>500</v>
      </c>
      <c r="I32" s="507">
        <f t="shared" si="0"/>
        <v>138.215</v>
      </c>
      <c r="J32" s="508">
        <v>41164.294444444444</v>
      </c>
      <c r="K32" s="509">
        <v>41164.7</v>
      </c>
      <c r="L32" s="510">
        <f t="shared" si="1"/>
        <v>9.733333333279006</v>
      </c>
      <c r="M32" s="511">
        <f t="shared" si="2"/>
        <v>584</v>
      </c>
      <c r="N32" s="178" t="s">
        <v>259</v>
      </c>
      <c r="O32" s="180" t="str">
        <f t="shared" si="3"/>
        <v>--</v>
      </c>
      <c r="P32" s="512">
        <f t="shared" si="4"/>
        <v>200</v>
      </c>
      <c r="Q32" s="513">
        <f t="shared" si="5"/>
        <v>26896.639000000003</v>
      </c>
      <c r="R32" s="501" t="str">
        <f t="shared" si="6"/>
        <v>--</v>
      </c>
      <c r="S32" s="502" t="str">
        <f t="shared" si="7"/>
        <v>--</v>
      </c>
      <c r="T32" s="503" t="str">
        <f t="shared" si="8"/>
        <v>--</v>
      </c>
      <c r="U32" s="180" t="s">
        <v>79</v>
      </c>
      <c r="V32" s="514">
        <f t="shared" si="9"/>
        <v>26896.639000000003</v>
      </c>
      <c r="W32" s="60"/>
    </row>
    <row r="33" spans="2:23" s="8" customFormat="1" ht="16.5" customHeight="1">
      <c r="B33" s="55"/>
      <c r="C33" s="150">
        <v>68</v>
      </c>
      <c r="D33" s="150">
        <v>251596</v>
      </c>
      <c r="E33" s="150">
        <v>3804</v>
      </c>
      <c r="F33" s="505" t="s">
        <v>277</v>
      </c>
      <c r="G33" s="505" t="s">
        <v>298</v>
      </c>
      <c r="H33" s="506">
        <v>132</v>
      </c>
      <c r="I33" s="507">
        <f t="shared" si="0"/>
        <v>110.573</v>
      </c>
      <c r="J33" s="508">
        <v>41164.37291666667</v>
      </c>
      <c r="K33" s="509">
        <v>41164.740277777775</v>
      </c>
      <c r="L33" s="510">
        <f t="shared" si="1"/>
        <v>8.816666666592937</v>
      </c>
      <c r="M33" s="511">
        <f t="shared" si="2"/>
        <v>529</v>
      </c>
      <c r="N33" s="178" t="s">
        <v>259</v>
      </c>
      <c r="O33" s="180" t="str">
        <f t="shared" si="3"/>
        <v>--</v>
      </c>
      <c r="P33" s="512">
        <f t="shared" si="4"/>
        <v>40</v>
      </c>
      <c r="Q33" s="513">
        <f t="shared" si="5"/>
        <v>3901.01544</v>
      </c>
      <c r="R33" s="501" t="str">
        <f t="shared" si="6"/>
        <v>--</v>
      </c>
      <c r="S33" s="502" t="str">
        <f t="shared" si="7"/>
        <v>--</v>
      </c>
      <c r="T33" s="503" t="str">
        <f t="shared" si="8"/>
        <v>--</v>
      </c>
      <c r="U33" s="180" t="s">
        <v>79</v>
      </c>
      <c r="V33" s="514">
        <f t="shared" si="9"/>
        <v>3901.01544</v>
      </c>
      <c r="W33" s="60"/>
    </row>
    <row r="34" spans="2:23" s="8" customFormat="1" ht="16.5" customHeight="1">
      <c r="B34" s="55"/>
      <c r="C34" s="150">
        <v>69</v>
      </c>
      <c r="D34" s="150">
        <v>251597</v>
      </c>
      <c r="E34" s="169">
        <v>3805</v>
      </c>
      <c r="F34" s="505" t="s">
        <v>277</v>
      </c>
      <c r="G34" s="505" t="s">
        <v>299</v>
      </c>
      <c r="H34" s="506">
        <v>132</v>
      </c>
      <c r="I34" s="507">
        <f t="shared" si="0"/>
        <v>110.573</v>
      </c>
      <c r="J34" s="508">
        <v>41164.37291666667</v>
      </c>
      <c r="K34" s="509">
        <v>41164.74097222222</v>
      </c>
      <c r="L34" s="510">
        <f t="shared" si="1"/>
        <v>8.83333333331393</v>
      </c>
      <c r="M34" s="511">
        <f t="shared" si="2"/>
        <v>530</v>
      </c>
      <c r="N34" s="178" t="s">
        <v>259</v>
      </c>
      <c r="O34" s="180" t="str">
        <f t="shared" si="3"/>
        <v>--</v>
      </c>
      <c r="P34" s="512">
        <f t="shared" si="4"/>
        <v>40</v>
      </c>
      <c r="Q34" s="513">
        <f t="shared" si="5"/>
        <v>3905.43836</v>
      </c>
      <c r="R34" s="501" t="str">
        <f t="shared" si="6"/>
        <v>--</v>
      </c>
      <c r="S34" s="502" t="str">
        <f t="shared" si="7"/>
        <v>--</v>
      </c>
      <c r="T34" s="503" t="str">
        <f t="shared" si="8"/>
        <v>--</v>
      </c>
      <c r="U34" s="180" t="s">
        <v>79</v>
      </c>
      <c r="V34" s="514">
        <f t="shared" si="9"/>
        <v>3905.43836</v>
      </c>
      <c r="W34" s="60"/>
    </row>
    <row r="35" spans="2:23" s="8" customFormat="1" ht="16.5" customHeight="1">
      <c r="B35" s="55"/>
      <c r="C35" s="150">
        <v>70</v>
      </c>
      <c r="D35" s="150">
        <v>251600</v>
      </c>
      <c r="E35" s="150">
        <v>4918</v>
      </c>
      <c r="F35" s="505" t="s">
        <v>296</v>
      </c>
      <c r="G35" s="505" t="s">
        <v>365</v>
      </c>
      <c r="H35" s="619">
        <v>132</v>
      </c>
      <c r="I35" s="507">
        <f t="shared" si="0"/>
        <v>110.573</v>
      </c>
      <c r="J35" s="508">
        <v>41164.47152777778</v>
      </c>
      <c r="K35" s="509">
        <v>41164.606944444444</v>
      </c>
      <c r="L35" s="510">
        <f t="shared" si="1"/>
        <v>3.2499999999417923</v>
      </c>
      <c r="M35" s="511">
        <f t="shared" si="2"/>
        <v>195</v>
      </c>
      <c r="N35" s="178" t="s">
        <v>259</v>
      </c>
      <c r="O35" s="180" t="str">
        <f t="shared" si="3"/>
        <v>--</v>
      </c>
      <c r="P35" s="512">
        <f t="shared" si="4"/>
        <v>40</v>
      </c>
      <c r="Q35" s="513">
        <f t="shared" si="5"/>
        <v>1437.449</v>
      </c>
      <c r="R35" s="501" t="str">
        <f t="shared" si="6"/>
        <v>--</v>
      </c>
      <c r="S35" s="502" t="str">
        <f t="shared" si="7"/>
        <v>--</v>
      </c>
      <c r="T35" s="503" t="str">
        <f t="shared" si="8"/>
        <v>--</v>
      </c>
      <c r="U35" s="180" t="s">
        <v>79</v>
      </c>
      <c r="V35" s="514">
        <f t="shared" si="9"/>
        <v>1437.449</v>
      </c>
      <c r="W35" s="60"/>
    </row>
    <row r="36" spans="2:23" s="8" customFormat="1" ht="16.5" customHeight="1">
      <c r="B36" s="55"/>
      <c r="C36" s="150">
        <v>71</v>
      </c>
      <c r="D36" s="150">
        <v>251603</v>
      </c>
      <c r="E36" s="169">
        <v>4765</v>
      </c>
      <c r="F36" s="505" t="s">
        <v>363</v>
      </c>
      <c r="G36" s="505" t="s">
        <v>364</v>
      </c>
      <c r="H36" s="619">
        <v>500</v>
      </c>
      <c r="I36" s="507">
        <f t="shared" si="0"/>
        <v>138.215</v>
      </c>
      <c r="J36" s="508">
        <v>41164.700694444444</v>
      </c>
      <c r="K36" s="509">
        <v>41164.75</v>
      </c>
      <c r="L36" s="510">
        <f t="shared" si="1"/>
        <v>1.1833333333488554</v>
      </c>
      <c r="M36" s="511">
        <f t="shared" si="2"/>
        <v>71</v>
      </c>
      <c r="N36" s="178" t="s">
        <v>259</v>
      </c>
      <c r="O36" s="180" t="str">
        <f t="shared" si="3"/>
        <v>--</v>
      </c>
      <c r="P36" s="512">
        <f t="shared" si="4"/>
        <v>200</v>
      </c>
      <c r="Q36" s="513">
        <f t="shared" si="5"/>
        <v>3261.874</v>
      </c>
      <c r="R36" s="501" t="str">
        <f t="shared" si="6"/>
        <v>--</v>
      </c>
      <c r="S36" s="502" t="str">
        <f t="shared" si="7"/>
        <v>--</v>
      </c>
      <c r="T36" s="503" t="str">
        <f t="shared" si="8"/>
        <v>--</v>
      </c>
      <c r="U36" s="180" t="s">
        <v>79</v>
      </c>
      <c r="V36" s="514">
        <f t="shared" si="9"/>
        <v>3261.874</v>
      </c>
      <c r="W36" s="60"/>
    </row>
    <row r="37" spans="2:23" s="8" customFormat="1" ht="16.5" customHeight="1">
      <c r="B37" s="55"/>
      <c r="C37" s="150"/>
      <c r="D37" s="150"/>
      <c r="E37" s="150"/>
      <c r="F37" s="505"/>
      <c r="G37" s="505"/>
      <c r="H37" s="619"/>
      <c r="I37" s="507"/>
      <c r="J37" s="508"/>
      <c r="K37" s="509"/>
      <c r="L37" s="510"/>
      <c r="M37" s="511"/>
      <c r="N37" s="178"/>
      <c r="O37" s="180"/>
      <c r="P37" s="512"/>
      <c r="Q37" s="513"/>
      <c r="R37" s="501"/>
      <c r="S37" s="502"/>
      <c r="T37" s="503"/>
      <c r="U37" s="180"/>
      <c r="V37" s="514"/>
      <c r="W37" s="60"/>
    </row>
    <row r="38" spans="2:23" s="8" customFormat="1" ht="16.5" customHeight="1">
      <c r="B38" s="55"/>
      <c r="C38" s="150">
        <v>73</v>
      </c>
      <c r="D38" s="150">
        <v>251608</v>
      </c>
      <c r="E38" s="169">
        <v>4765</v>
      </c>
      <c r="F38" s="505" t="s">
        <v>363</v>
      </c>
      <c r="G38" s="505" t="s">
        <v>364</v>
      </c>
      <c r="H38" s="619">
        <v>500</v>
      </c>
      <c r="I38" s="507">
        <f t="shared" si="0"/>
        <v>138.215</v>
      </c>
      <c r="J38" s="508">
        <v>41164.82013888889</v>
      </c>
      <c r="K38" s="509">
        <v>41164.94027777778</v>
      </c>
      <c r="L38" s="510">
        <f t="shared" si="1"/>
        <v>2.8833333333022892</v>
      </c>
      <c r="M38" s="511">
        <f t="shared" si="2"/>
        <v>173</v>
      </c>
      <c r="N38" s="178" t="s">
        <v>262</v>
      </c>
      <c r="O38" s="180" t="s">
        <v>79</v>
      </c>
      <c r="P38" s="512">
        <f t="shared" si="4"/>
        <v>200</v>
      </c>
      <c r="Q38" s="513" t="str">
        <f t="shared" si="5"/>
        <v>--</v>
      </c>
      <c r="R38" s="501" t="str">
        <f t="shared" si="6"/>
        <v>--</v>
      </c>
      <c r="S38" s="502">
        <f t="shared" si="7"/>
        <v>79611.84</v>
      </c>
      <c r="T38" s="503" t="str">
        <f t="shared" si="8"/>
        <v>--</v>
      </c>
      <c r="U38" s="180" t="s">
        <v>79</v>
      </c>
      <c r="V38" s="514">
        <f t="shared" si="9"/>
        <v>79611.84</v>
      </c>
      <c r="W38" s="60"/>
    </row>
    <row r="39" spans="2:23" s="8" customFormat="1" ht="16.5" customHeight="1">
      <c r="B39" s="55"/>
      <c r="C39" s="150">
        <v>74</v>
      </c>
      <c r="D39" s="150">
        <v>251611</v>
      </c>
      <c r="E39" s="150">
        <v>3804</v>
      </c>
      <c r="F39" s="505" t="s">
        <v>277</v>
      </c>
      <c r="G39" s="505" t="s">
        <v>298</v>
      </c>
      <c r="H39" s="506">
        <v>132</v>
      </c>
      <c r="I39" s="507">
        <f t="shared" si="0"/>
        <v>110.573</v>
      </c>
      <c r="J39" s="508">
        <v>41165.36041666667</v>
      </c>
      <c r="K39" s="509">
        <v>41165.72638888889</v>
      </c>
      <c r="L39" s="510">
        <f t="shared" si="1"/>
        <v>8.783333333325572</v>
      </c>
      <c r="M39" s="511">
        <f t="shared" si="2"/>
        <v>527</v>
      </c>
      <c r="N39" s="178" t="s">
        <v>259</v>
      </c>
      <c r="O39" s="180" t="str">
        <f t="shared" si="3"/>
        <v>--</v>
      </c>
      <c r="P39" s="512">
        <f t="shared" si="4"/>
        <v>40</v>
      </c>
      <c r="Q39" s="513">
        <f t="shared" si="5"/>
        <v>3883.32376</v>
      </c>
      <c r="R39" s="501" t="str">
        <f t="shared" si="6"/>
        <v>--</v>
      </c>
      <c r="S39" s="502" t="str">
        <f t="shared" si="7"/>
        <v>--</v>
      </c>
      <c r="T39" s="503" t="str">
        <f t="shared" si="8"/>
        <v>--</v>
      </c>
      <c r="U39" s="180" t="s">
        <v>79</v>
      </c>
      <c r="V39" s="514">
        <f t="shared" si="9"/>
        <v>3883.32376</v>
      </c>
      <c r="W39" s="60"/>
    </row>
    <row r="40" spans="2:23" s="8" customFormat="1" ht="16.5" customHeight="1">
      <c r="B40" s="55"/>
      <c r="C40" s="150">
        <v>75</v>
      </c>
      <c r="D40" s="150">
        <v>251612</v>
      </c>
      <c r="E40" s="169">
        <v>3805</v>
      </c>
      <c r="F40" s="505" t="s">
        <v>277</v>
      </c>
      <c r="G40" s="505" t="s">
        <v>299</v>
      </c>
      <c r="H40" s="506">
        <v>132</v>
      </c>
      <c r="I40" s="507">
        <f t="shared" si="0"/>
        <v>110.573</v>
      </c>
      <c r="J40" s="508">
        <v>41165.36041666667</v>
      </c>
      <c r="K40" s="509">
        <v>41165.72638888889</v>
      </c>
      <c r="L40" s="510">
        <f t="shared" si="1"/>
        <v>8.783333333325572</v>
      </c>
      <c r="M40" s="511">
        <f t="shared" si="2"/>
        <v>527</v>
      </c>
      <c r="N40" s="178" t="s">
        <v>259</v>
      </c>
      <c r="O40" s="180" t="str">
        <f t="shared" si="3"/>
        <v>--</v>
      </c>
      <c r="P40" s="512">
        <f t="shared" si="4"/>
        <v>40</v>
      </c>
      <c r="Q40" s="513">
        <f t="shared" si="5"/>
        <v>3883.32376</v>
      </c>
      <c r="R40" s="501" t="str">
        <f t="shared" si="6"/>
        <v>--</v>
      </c>
      <c r="S40" s="502" t="str">
        <f t="shared" si="7"/>
        <v>--</v>
      </c>
      <c r="T40" s="503" t="str">
        <f t="shared" si="8"/>
        <v>--</v>
      </c>
      <c r="U40" s="180" t="s">
        <v>79</v>
      </c>
      <c r="V40" s="514">
        <f t="shared" si="9"/>
        <v>3883.32376</v>
      </c>
      <c r="W40" s="60"/>
    </row>
    <row r="41" spans="2:23" s="8" customFormat="1" ht="16.5" customHeight="1">
      <c r="B41" s="55"/>
      <c r="C41" s="150">
        <v>76</v>
      </c>
      <c r="D41" s="150">
        <v>251616</v>
      </c>
      <c r="E41" s="150">
        <v>143</v>
      </c>
      <c r="F41" s="505" t="s">
        <v>280</v>
      </c>
      <c r="G41" s="505" t="s">
        <v>301</v>
      </c>
      <c r="H41" s="506">
        <v>132</v>
      </c>
      <c r="I41" s="507">
        <f t="shared" si="0"/>
        <v>110.573</v>
      </c>
      <c r="J41" s="508">
        <v>41165.419444444444</v>
      </c>
      <c r="K41" s="509">
        <v>41165.68680555555</v>
      </c>
      <c r="L41" s="510">
        <f t="shared" si="1"/>
        <v>6.416666666627862</v>
      </c>
      <c r="M41" s="511">
        <f t="shared" si="2"/>
        <v>385</v>
      </c>
      <c r="N41" s="178" t="s">
        <v>259</v>
      </c>
      <c r="O41" s="180" t="str">
        <f t="shared" si="3"/>
        <v>--</v>
      </c>
      <c r="P41" s="512">
        <f t="shared" si="4"/>
        <v>40</v>
      </c>
      <c r="Q41" s="513">
        <f t="shared" si="5"/>
        <v>2839.5146400000003</v>
      </c>
      <c r="R41" s="501" t="str">
        <f t="shared" si="6"/>
        <v>--</v>
      </c>
      <c r="S41" s="502" t="str">
        <f t="shared" si="7"/>
        <v>--</v>
      </c>
      <c r="T41" s="503" t="str">
        <f t="shared" si="8"/>
        <v>--</v>
      </c>
      <c r="U41" s="180" t="s">
        <v>79</v>
      </c>
      <c r="V41" s="514">
        <f t="shared" si="9"/>
        <v>2839.5146400000003</v>
      </c>
      <c r="W41" s="60"/>
    </row>
    <row r="42" spans="2:23" s="8" customFormat="1" ht="16.5" customHeight="1">
      <c r="B42" s="55"/>
      <c r="C42" s="150">
        <v>77</v>
      </c>
      <c r="D42" s="150">
        <v>251617</v>
      </c>
      <c r="E42" s="169">
        <v>4765</v>
      </c>
      <c r="F42" s="505" t="s">
        <v>363</v>
      </c>
      <c r="G42" s="505" t="s">
        <v>364</v>
      </c>
      <c r="H42" s="619">
        <v>500</v>
      </c>
      <c r="I42" s="507">
        <f t="shared" si="0"/>
        <v>138.215</v>
      </c>
      <c r="J42" s="508">
        <v>41166.3125</v>
      </c>
      <c r="K42" s="509">
        <v>41166.34861111111</v>
      </c>
      <c r="L42" s="510">
        <f t="shared" si="1"/>
        <v>0.8666666666977108</v>
      </c>
      <c r="M42" s="511">
        <f t="shared" si="2"/>
        <v>52</v>
      </c>
      <c r="N42" s="178" t="s">
        <v>259</v>
      </c>
      <c r="O42" s="180" t="str">
        <f t="shared" si="3"/>
        <v>--</v>
      </c>
      <c r="P42" s="512">
        <f t="shared" si="4"/>
        <v>200</v>
      </c>
      <c r="Q42" s="513">
        <f t="shared" si="5"/>
        <v>2404.9410000000003</v>
      </c>
      <c r="R42" s="501" t="str">
        <f t="shared" si="6"/>
        <v>--</v>
      </c>
      <c r="S42" s="502" t="str">
        <f t="shared" si="7"/>
        <v>--</v>
      </c>
      <c r="T42" s="503" t="str">
        <f t="shared" si="8"/>
        <v>--</v>
      </c>
      <c r="U42" s="180" t="s">
        <v>79</v>
      </c>
      <c r="V42" s="514">
        <f t="shared" si="9"/>
        <v>2404.9410000000003</v>
      </c>
      <c r="W42" s="60"/>
    </row>
    <row r="43" spans="2:23" s="8" customFormat="1" ht="16.5" customHeight="1">
      <c r="B43" s="55"/>
      <c r="C43" s="150"/>
      <c r="D43" s="150"/>
      <c r="E43" s="150"/>
      <c r="F43" s="505"/>
      <c r="G43" s="505"/>
      <c r="H43" s="506"/>
      <c r="I43" s="507">
        <f t="shared" si="0"/>
        <v>110.573</v>
      </c>
      <c r="J43" s="508"/>
      <c r="K43" s="509"/>
      <c r="L43" s="510">
        <f t="shared" si="1"/>
      </c>
      <c r="M43" s="511">
        <f t="shared" si="2"/>
      </c>
      <c r="N43" s="178"/>
      <c r="O43" s="180">
        <f t="shared" si="3"/>
      </c>
      <c r="P43" s="512">
        <f t="shared" si="4"/>
        <v>40</v>
      </c>
      <c r="Q43" s="513" t="str">
        <f t="shared" si="5"/>
        <v>--</v>
      </c>
      <c r="R43" s="501" t="str">
        <f t="shared" si="6"/>
        <v>--</v>
      </c>
      <c r="S43" s="502" t="str">
        <f t="shared" si="7"/>
        <v>--</v>
      </c>
      <c r="T43" s="503" t="str">
        <f t="shared" si="8"/>
        <v>--</v>
      </c>
      <c r="U43" s="180">
        <f>IF(F43="","","SI")</f>
      </c>
      <c r="V43" s="514">
        <f t="shared" si="9"/>
      </c>
      <c r="W43" s="60"/>
    </row>
    <row r="44" spans="2:23" s="8" customFormat="1" ht="16.5" customHeight="1" thickBot="1">
      <c r="B44" s="55"/>
      <c r="C44" s="208"/>
      <c r="D44" s="208"/>
      <c r="E44" s="208"/>
      <c r="F44" s="208"/>
      <c r="G44" s="208"/>
      <c r="H44" s="208"/>
      <c r="I44" s="386"/>
      <c r="J44" s="515"/>
      <c r="K44" s="515"/>
      <c r="L44" s="516"/>
      <c r="M44" s="516"/>
      <c r="N44" s="515"/>
      <c r="O44" s="215"/>
      <c r="P44" s="517"/>
      <c r="Q44" s="518"/>
      <c r="R44" s="519"/>
      <c r="S44" s="520"/>
      <c r="T44" s="521"/>
      <c r="U44" s="215"/>
      <c r="V44" s="522"/>
      <c r="W44" s="60"/>
    </row>
    <row r="45" spans="2:23" s="8" customFormat="1" ht="16.5" customHeight="1" thickBot="1" thickTop="1">
      <c r="B45" s="55"/>
      <c r="C45" s="229" t="s">
        <v>255</v>
      </c>
      <c r="D45" s="271"/>
      <c r="E45" s="229"/>
      <c r="F45" s="231"/>
      <c r="G45" s="9"/>
      <c r="H45" s="11"/>
      <c r="I45" s="11"/>
      <c r="J45" s="11"/>
      <c r="K45" s="11"/>
      <c r="L45" s="11"/>
      <c r="M45" s="11"/>
      <c r="N45" s="11"/>
      <c r="O45" s="11"/>
      <c r="P45" s="11"/>
      <c r="Q45" s="523">
        <f>SUM(Q22:Q44)</f>
        <v>70988.66348</v>
      </c>
      <c r="R45" s="524">
        <f>SUM(R22:R44)</f>
        <v>0</v>
      </c>
      <c r="S45" s="525">
        <f>SUM(S22:S44)</f>
        <v>79611.84</v>
      </c>
      <c r="T45" s="526">
        <f>SUM(T22:T44)</f>
        <v>0</v>
      </c>
      <c r="U45" s="527"/>
      <c r="V45" s="528">
        <f>ROUND(SUM(V22:V44),2)</f>
        <v>141219.49</v>
      </c>
      <c r="W45" s="60"/>
    </row>
    <row r="46" spans="2:23" s="8" customFormat="1" ht="16.5" customHeight="1" thickBot="1" thickTop="1">
      <c r="B46" s="245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7"/>
    </row>
    <row r="47" spans="23:25" ht="16.5" customHeight="1" thickTop="1">
      <c r="W47" s="417"/>
      <c r="X47" s="417"/>
      <c r="Y47" s="417"/>
    </row>
    <row r="48" spans="23:25" ht="16.5" customHeight="1">
      <c r="W48" s="417"/>
      <c r="X48" s="417"/>
      <c r="Y48" s="417"/>
    </row>
    <row r="49" spans="23:25" ht="16.5" customHeight="1">
      <c r="W49" s="417"/>
      <c r="X49" s="417"/>
      <c r="Y49" s="417"/>
    </row>
    <row r="50" spans="23:25" ht="16.5" customHeight="1">
      <c r="W50" s="417"/>
      <c r="X50" s="417"/>
      <c r="Y50" s="417"/>
    </row>
    <row r="51" spans="23:25" ht="16.5" customHeight="1">
      <c r="W51" s="417"/>
      <c r="X51" s="417"/>
      <c r="Y51" s="417"/>
    </row>
    <row r="52" spans="6:25" ht="16.5" customHeight="1">
      <c r="F52" s="417"/>
      <c r="G52" s="417"/>
      <c r="H52" s="417"/>
      <c r="I52" s="417"/>
      <c r="J52" s="417"/>
      <c r="K52" s="417"/>
      <c r="L52" s="417"/>
      <c r="M52" s="417"/>
      <c r="N52" s="417"/>
      <c r="O52" s="417"/>
      <c r="P52" s="417"/>
      <c r="Q52" s="417"/>
      <c r="R52" s="417"/>
      <c r="S52" s="417"/>
      <c r="T52" s="417"/>
      <c r="U52" s="417"/>
      <c r="V52" s="417"/>
      <c r="W52" s="417"/>
      <c r="X52" s="417"/>
      <c r="Y52" s="417"/>
    </row>
    <row r="53" spans="6:25" ht="16.5" customHeight="1"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7"/>
      <c r="Q53" s="417"/>
      <c r="R53" s="417"/>
      <c r="S53" s="417"/>
      <c r="T53" s="417"/>
      <c r="U53" s="417"/>
      <c r="V53" s="417"/>
      <c r="W53" s="417"/>
      <c r="X53" s="417"/>
      <c r="Y53" s="417"/>
    </row>
    <row r="54" spans="6:25" ht="16.5" customHeight="1">
      <c r="F54" s="417"/>
      <c r="G54" s="417"/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417"/>
      <c r="S54" s="417"/>
      <c r="T54" s="417"/>
      <c r="U54" s="417"/>
      <c r="V54" s="417"/>
      <c r="W54" s="417"/>
      <c r="X54" s="417"/>
      <c r="Y54" s="417"/>
    </row>
    <row r="55" spans="6:25" ht="16.5" customHeight="1">
      <c r="F55" s="417"/>
      <c r="G55" s="417"/>
      <c r="H55" s="417"/>
      <c r="I55" s="417"/>
      <c r="J55" s="417"/>
      <c r="K55" s="417"/>
      <c r="L55" s="417"/>
      <c r="M55" s="417"/>
      <c r="N55" s="417"/>
      <c r="O55" s="417"/>
      <c r="P55" s="417"/>
      <c r="Q55" s="417"/>
      <c r="R55" s="417"/>
      <c r="S55" s="417"/>
      <c r="T55" s="417"/>
      <c r="U55" s="417"/>
      <c r="V55" s="417"/>
      <c r="W55" s="417"/>
      <c r="X55" s="417"/>
      <c r="Y55" s="417"/>
    </row>
    <row r="56" spans="6:25" ht="16.5" customHeight="1">
      <c r="F56" s="417"/>
      <c r="G56" s="417"/>
      <c r="H56" s="417"/>
      <c r="I56" s="417"/>
      <c r="J56" s="417"/>
      <c r="K56" s="417"/>
      <c r="L56" s="417"/>
      <c r="M56" s="417"/>
      <c r="N56" s="417"/>
      <c r="O56" s="417"/>
      <c r="P56" s="417"/>
      <c r="Q56" s="417"/>
      <c r="R56" s="417"/>
      <c r="S56" s="417"/>
      <c r="T56" s="417"/>
      <c r="U56" s="417"/>
      <c r="V56" s="417"/>
      <c r="W56" s="417"/>
      <c r="X56" s="417"/>
      <c r="Y56" s="417"/>
    </row>
    <row r="57" spans="6:25" ht="16.5" customHeight="1">
      <c r="F57" s="417"/>
      <c r="G57" s="417"/>
      <c r="H57" s="417"/>
      <c r="I57" s="417"/>
      <c r="J57" s="417"/>
      <c r="K57" s="417"/>
      <c r="L57" s="417"/>
      <c r="M57" s="417"/>
      <c r="N57" s="417"/>
      <c r="O57" s="417"/>
      <c r="P57" s="417"/>
      <c r="Q57" s="417"/>
      <c r="R57" s="417"/>
      <c r="S57" s="417"/>
      <c r="T57" s="417"/>
      <c r="U57" s="417"/>
      <c r="V57" s="417"/>
      <c r="W57" s="417"/>
      <c r="X57" s="417"/>
      <c r="Y57" s="417"/>
    </row>
    <row r="58" spans="6:25" ht="16.5" customHeight="1">
      <c r="F58" s="417"/>
      <c r="G58" s="417"/>
      <c r="H58" s="417"/>
      <c r="I58" s="417"/>
      <c r="J58" s="417"/>
      <c r="K58" s="417"/>
      <c r="L58" s="417"/>
      <c r="M58" s="417"/>
      <c r="N58" s="417"/>
      <c r="O58" s="417"/>
      <c r="P58" s="417"/>
      <c r="Q58" s="417"/>
      <c r="R58" s="417"/>
      <c r="S58" s="417"/>
      <c r="T58" s="417"/>
      <c r="U58" s="417"/>
      <c r="V58" s="417"/>
      <c r="W58" s="417"/>
      <c r="X58" s="417"/>
      <c r="Y58" s="417"/>
    </row>
    <row r="59" spans="6:25" ht="16.5" customHeight="1"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7"/>
      <c r="W59" s="417"/>
      <c r="X59" s="417"/>
      <c r="Y59" s="417"/>
    </row>
    <row r="60" spans="6:25" ht="16.5" customHeight="1">
      <c r="F60" s="417"/>
      <c r="G60" s="417"/>
      <c r="H60" s="417"/>
      <c r="I60" s="417"/>
      <c r="J60" s="417"/>
      <c r="K60" s="417"/>
      <c r="L60" s="417"/>
      <c r="M60" s="417"/>
      <c r="N60" s="417"/>
      <c r="O60" s="417"/>
      <c r="P60" s="417"/>
      <c r="Q60" s="417"/>
      <c r="R60" s="417"/>
      <c r="S60" s="417"/>
      <c r="T60" s="417"/>
      <c r="U60" s="417"/>
      <c r="V60" s="417"/>
      <c r="W60" s="417"/>
      <c r="X60" s="417"/>
      <c r="Y60" s="417"/>
    </row>
    <row r="61" spans="6:25" ht="16.5" customHeight="1">
      <c r="F61" s="417"/>
      <c r="G61" s="417"/>
      <c r="H61" s="417"/>
      <c r="I61" s="417"/>
      <c r="J61" s="417"/>
      <c r="K61" s="417"/>
      <c r="L61" s="417"/>
      <c r="M61" s="417"/>
      <c r="N61" s="417"/>
      <c r="O61" s="417"/>
      <c r="P61" s="417"/>
      <c r="Q61" s="417"/>
      <c r="R61" s="417"/>
      <c r="S61" s="417"/>
      <c r="T61" s="417"/>
      <c r="U61" s="417"/>
      <c r="V61" s="417"/>
      <c r="W61" s="417"/>
      <c r="X61" s="417"/>
      <c r="Y61" s="417"/>
    </row>
    <row r="62" spans="6:25" ht="16.5" customHeight="1">
      <c r="F62" s="417"/>
      <c r="G62" s="417"/>
      <c r="H62" s="417"/>
      <c r="I62" s="417"/>
      <c r="J62" s="417"/>
      <c r="K62" s="417"/>
      <c r="L62" s="417"/>
      <c r="M62" s="417"/>
      <c r="N62" s="417"/>
      <c r="O62" s="417"/>
      <c r="P62" s="417"/>
      <c r="Q62" s="417"/>
      <c r="R62" s="417"/>
      <c r="S62" s="417"/>
      <c r="T62" s="417"/>
      <c r="U62" s="417"/>
      <c r="V62" s="417"/>
      <c r="W62" s="417"/>
      <c r="X62" s="417"/>
      <c r="Y62" s="417"/>
    </row>
    <row r="63" spans="6:25" ht="16.5" customHeight="1">
      <c r="F63" s="417"/>
      <c r="G63" s="417"/>
      <c r="H63" s="417"/>
      <c r="I63" s="417"/>
      <c r="J63" s="417"/>
      <c r="K63" s="417"/>
      <c r="L63" s="417"/>
      <c r="M63" s="417"/>
      <c r="N63" s="417"/>
      <c r="O63" s="417"/>
      <c r="P63" s="417"/>
      <c r="Q63" s="417"/>
      <c r="R63" s="417"/>
      <c r="S63" s="417"/>
      <c r="T63" s="417"/>
      <c r="U63" s="417"/>
      <c r="V63" s="417"/>
      <c r="W63" s="417"/>
      <c r="X63" s="417"/>
      <c r="Y63" s="417"/>
    </row>
    <row r="64" spans="6:25" ht="16.5" customHeight="1">
      <c r="F64" s="417"/>
      <c r="G64" s="417"/>
      <c r="H64" s="417"/>
      <c r="I64" s="417"/>
      <c r="J64" s="417"/>
      <c r="K64" s="417"/>
      <c r="L64" s="417"/>
      <c r="M64" s="417"/>
      <c r="N64" s="417"/>
      <c r="O64" s="417"/>
      <c r="P64" s="417"/>
      <c r="Q64" s="417"/>
      <c r="R64" s="417"/>
      <c r="S64" s="417"/>
      <c r="T64" s="417"/>
      <c r="U64" s="417"/>
      <c r="V64" s="417"/>
      <c r="W64" s="417"/>
      <c r="X64" s="417"/>
      <c r="Y64" s="417"/>
    </row>
    <row r="65" spans="6:25" ht="16.5" customHeight="1">
      <c r="F65" s="417"/>
      <c r="G65" s="417"/>
      <c r="H65" s="417"/>
      <c r="I65" s="417"/>
      <c r="J65" s="417"/>
      <c r="K65" s="417"/>
      <c r="L65" s="417"/>
      <c r="M65" s="417"/>
      <c r="N65" s="417"/>
      <c r="O65" s="417"/>
      <c r="P65" s="417"/>
      <c r="Q65" s="417"/>
      <c r="R65" s="417"/>
      <c r="S65" s="417"/>
      <c r="T65" s="417"/>
      <c r="U65" s="417"/>
      <c r="V65" s="417"/>
      <c r="W65" s="417"/>
      <c r="X65" s="417"/>
      <c r="Y65" s="417"/>
    </row>
    <row r="66" spans="6:25" ht="16.5" customHeight="1">
      <c r="F66" s="417"/>
      <c r="G66" s="417"/>
      <c r="H66" s="417"/>
      <c r="I66" s="417"/>
      <c r="J66" s="417"/>
      <c r="K66" s="417"/>
      <c r="L66" s="417"/>
      <c r="M66" s="417"/>
      <c r="N66" s="417"/>
      <c r="O66" s="417"/>
      <c r="P66" s="417"/>
      <c r="Q66" s="417"/>
      <c r="R66" s="417"/>
      <c r="S66" s="417"/>
      <c r="T66" s="417"/>
      <c r="U66" s="417"/>
      <c r="V66" s="417"/>
      <c r="W66" s="417"/>
      <c r="X66" s="417"/>
      <c r="Y66" s="417"/>
    </row>
    <row r="67" spans="6:25" ht="16.5" customHeight="1">
      <c r="F67" s="417"/>
      <c r="G67" s="417"/>
      <c r="H67" s="417"/>
      <c r="I67" s="417"/>
      <c r="J67" s="417"/>
      <c r="K67" s="417"/>
      <c r="L67" s="417"/>
      <c r="M67" s="417"/>
      <c r="N67" s="417"/>
      <c r="O67" s="417"/>
      <c r="P67" s="417"/>
      <c r="Q67" s="417"/>
      <c r="R67" s="417"/>
      <c r="S67" s="417"/>
      <c r="T67" s="417"/>
      <c r="U67" s="417"/>
      <c r="V67" s="417"/>
      <c r="W67" s="417"/>
      <c r="X67" s="417"/>
      <c r="Y67" s="417"/>
    </row>
    <row r="68" spans="6:25" ht="16.5" customHeight="1">
      <c r="F68" s="417"/>
      <c r="G68" s="417"/>
      <c r="H68" s="417"/>
      <c r="I68" s="417"/>
      <c r="J68" s="417"/>
      <c r="K68" s="417"/>
      <c r="L68" s="417"/>
      <c r="M68" s="417"/>
      <c r="N68" s="417"/>
      <c r="O68" s="417"/>
      <c r="P68" s="417"/>
      <c r="Q68" s="417"/>
      <c r="R68" s="417"/>
      <c r="S68" s="417"/>
      <c r="T68" s="417"/>
      <c r="U68" s="417"/>
      <c r="V68" s="417"/>
      <c r="W68" s="417"/>
      <c r="X68" s="417"/>
      <c r="Y68" s="417"/>
    </row>
    <row r="69" spans="6:25" ht="16.5" customHeight="1">
      <c r="F69" s="417"/>
      <c r="G69" s="417"/>
      <c r="H69" s="417"/>
      <c r="I69" s="417"/>
      <c r="J69" s="417"/>
      <c r="K69" s="417"/>
      <c r="L69" s="417"/>
      <c r="M69" s="417"/>
      <c r="N69" s="417"/>
      <c r="O69" s="417"/>
      <c r="P69" s="417"/>
      <c r="Q69" s="417"/>
      <c r="R69" s="417"/>
      <c r="S69" s="417"/>
      <c r="T69" s="417"/>
      <c r="U69" s="417"/>
      <c r="V69" s="417"/>
      <c r="W69" s="417"/>
      <c r="X69" s="417"/>
      <c r="Y69" s="417"/>
    </row>
    <row r="70" spans="6:25" ht="16.5" customHeight="1">
      <c r="F70" s="417"/>
      <c r="G70" s="417"/>
      <c r="H70" s="417"/>
      <c r="I70" s="417"/>
      <c r="J70" s="417"/>
      <c r="K70" s="417"/>
      <c r="L70" s="417"/>
      <c r="M70" s="417"/>
      <c r="N70" s="417"/>
      <c r="O70" s="417"/>
      <c r="P70" s="417"/>
      <c r="Q70" s="417"/>
      <c r="R70" s="417"/>
      <c r="S70" s="417"/>
      <c r="T70" s="417"/>
      <c r="U70" s="417"/>
      <c r="V70" s="417"/>
      <c r="W70" s="417"/>
      <c r="X70" s="417"/>
      <c r="Y70" s="417"/>
    </row>
    <row r="71" spans="6:25" ht="16.5" customHeight="1">
      <c r="F71" s="417"/>
      <c r="G71" s="417"/>
      <c r="H71" s="417"/>
      <c r="I71" s="417"/>
      <c r="J71" s="417"/>
      <c r="K71" s="417"/>
      <c r="L71" s="417"/>
      <c r="M71" s="417"/>
      <c r="N71" s="417"/>
      <c r="O71" s="417"/>
      <c r="P71" s="417"/>
      <c r="Q71" s="417"/>
      <c r="R71" s="417"/>
      <c r="S71" s="417"/>
      <c r="T71" s="417"/>
      <c r="U71" s="417"/>
      <c r="V71" s="417"/>
      <c r="W71" s="417"/>
      <c r="X71" s="417"/>
      <c r="Y71" s="417"/>
    </row>
    <row r="72" spans="6:25" ht="16.5" customHeight="1">
      <c r="F72" s="417"/>
      <c r="G72" s="417"/>
      <c r="H72" s="417"/>
      <c r="I72" s="417"/>
      <c r="J72" s="417"/>
      <c r="K72" s="417"/>
      <c r="L72" s="417"/>
      <c r="M72" s="417"/>
      <c r="N72" s="417"/>
      <c r="O72" s="417"/>
      <c r="P72" s="417"/>
      <c r="Q72" s="417"/>
      <c r="R72" s="417"/>
      <c r="S72" s="417"/>
      <c r="T72" s="417"/>
      <c r="U72" s="417"/>
      <c r="V72" s="417"/>
      <c r="W72" s="417"/>
      <c r="X72" s="417"/>
      <c r="Y72" s="417"/>
    </row>
    <row r="73" spans="6:25" ht="16.5" customHeight="1">
      <c r="F73" s="417"/>
      <c r="G73" s="417"/>
      <c r="H73" s="417"/>
      <c r="I73" s="417"/>
      <c r="J73" s="417"/>
      <c r="K73" s="417"/>
      <c r="L73" s="417"/>
      <c r="M73" s="417"/>
      <c r="N73" s="417"/>
      <c r="O73" s="417"/>
      <c r="P73" s="417"/>
      <c r="Q73" s="417"/>
      <c r="R73" s="417"/>
      <c r="S73" s="417"/>
      <c r="T73" s="417"/>
      <c r="U73" s="417"/>
      <c r="V73" s="417"/>
      <c r="W73" s="417"/>
      <c r="X73" s="417"/>
      <c r="Y73" s="417"/>
    </row>
    <row r="74" spans="6:25" ht="16.5" customHeight="1">
      <c r="F74" s="417"/>
      <c r="G74" s="417"/>
      <c r="H74" s="417"/>
      <c r="I74" s="417"/>
      <c r="J74" s="417"/>
      <c r="K74" s="417"/>
      <c r="L74" s="417"/>
      <c r="M74" s="417"/>
      <c r="N74" s="417"/>
      <c r="O74" s="417"/>
      <c r="P74" s="417"/>
      <c r="Q74" s="417"/>
      <c r="R74" s="417"/>
      <c r="S74" s="417"/>
      <c r="T74" s="417"/>
      <c r="U74" s="417"/>
      <c r="V74" s="417"/>
      <c r="W74" s="417"/>
      <c r="X74" s="417"/>
      <c r="Y74" s="417"/>
    </row>
    <row r="75" spans="6:25" ht="16.5" customHeight="1">
      <c r="F75" s="417"/>
      <c r="G75" s="417"/>
      <c r="H75" s="417"/>
      <c r="I75" s="417"/>
      <c r="J75" s="417"/>
      <c r="K75" s="417"/>
      <c r="L75" s="417"/>
      <c r="M75" s="417"/>
      <c r="N75" s="417"/>
      <c r="O75" s="417"/>
      <c r="P75" s="417"/>
      <c r="Q75" s="417"/>
      <c r="R75" s="417"/>
      <c r="S75" s="417"/>
      <c r="T75" s="417"/>
      <c r="U75" s="417"/>
      <c r="V75" s="417"/>
      <c r="W75" s="417"/>
      <c r="X75" s="417"/>
      <c r="Y75" s="417"/>
    </row>
    <row r="76" spans="6:25" ht="16.5" customHeight="1">
      <c r="F76" s="417"/>
      <c r="G76" s="417"/>
      <c r="H76" s="417"/>
      <c r="I76" s="417"/>
      <c r="J76" s="417"/>
      <c r="K76" s="417"/>
      <c r="L76" s="417"/>
      <c r="M76" s="417"/>
      <c r="N76" s="417"/>
      <c r="O76" s="417"/>
      <c r="P76" s="417"/>
      <c r="Q76" s="417"/>
      <c r="R76" s="417"/>
      <c r="S76" s="417"/>
      <c r="T76" s="417"/>
      <c r="U76" s="417"/>
      <c r="V76" s="417"/>
      <c r="W76" s="417"/>
      <c r="X76" s="417"/>
      <c r="Y76" s="417"/>
    </row>
    <row r="77" spans="6:25" ht="16.5" customHeight="1">
      <c r="F77" s="417"/>
      <c r="G77" s="417"/>
      <c r="H77" s="417"/>
      <c r="I77" s="417"/>
      <c r="J77" s="417"/>
      <c r="K77" s="417"/>
      <c r="L77" s="417"/>
      <c r="M77" s="417"/>
      <c r="N77" s="417"/>
      <c r="O77" s="417"/>
      <c r="P77" s="417"/>
      <c r="Q77" s="417"/>
      <c r="R77" s="417"/>
      <c r="S77" s="417"/>
      <c r="T77" s="417"/>
      <c r="U77" s="417"/>
      <c r="V77" s="417"/>
      <c r="W77" s="417"/>
      <c r="X77" s="417"/>
      <c r="Y77" s="417"/>
    </row>
    <row r="78" spans="6:25" ht="16.5" customHeight="1">
      <c r="F78" s="417"/>
      <c r="G78" s="417"/>
      <c r="H78" s="417"/>
      <c r="I78" s="417"/>
      <c r="J78" s="417"/>
      <c r="K78" s="417"/>
      <c r="L78" s="417"/>
      <c r="M78" s="417"/>
      <c r="N78" s="417"/>
      <c r="O78" s="417"/>
      <c r="P78" s="417"/>
      <c r="Q78" s="417"/>
      <c r="R78" s="417"/>
      <c r="S78" s="417"/>
      <c r="T78" s="417"/>
      <c r="U78" s="417"/>
      <c r="V78" s="417"/>
      <c r="W78" s="417"/>
      <c r="X78" s="417"/>
      <c r="Y78" s="417"/>
    </row>
    <row r="79" spans="6:25" ht="16.5" customHeight="1">
      <c r="F79" s="417"/>
      <c r="G79" s="417"/>
      <c r="H79" s="417"/>
      <c r="I79" s="417"/>
      <c r="J79" s="417"/>
      <c r="K79" s="417"/>
      <c r="L79" s="417"/>
      <c r="M79" s="417"/>
      <c r="N79" s="417"/>
      <c r="O79" s="417"/>
      <c r="P79" s="417"/>
      <c r="Q79" s="417"/>
      <c r="R79" s="417"/>
      <c r="S79" s="417"/>
      <c r="T79" s="417"/>
      <c r="U79" s="417"/>
      <c r="V79" s="417"/>
      <c r="W79" s="417"/>
      <c r="X79" s="417"/>
      <c r="Y79" s="417"/>
    </row>
    <row r="80" spans="6:25" ht="16.5" customHeight="1">
      <c r="F80" s="417"/>
      <c r="G80" s="417"/>
      <c r="H80" s="417"/>
      <c r="I80" s="417"/>
      <c r="J80" s="417"/>
      <c r="K80" s="417"/>
      <c r="L80" s="417"/>
      <c r="M80" s="417"/>
      <c r="N80" s="417"/>
      <c r="O80" s="417"/>
      <c r="P80" s="417"/>
      <c r="Q80" s="417"/>
      <c r="R80" s="417"/>
      <c r="S80" s="417"/>
      <c r="T80" s="417"/>
      <c r="U80" s="417"/>
      <c r="V80" s="417"/>
      <c r="W80" s="417"/>
      <c r="X80" s="417"/>
      <c r="Y80" s="417"/>
    </row>
    <row r="81" spans="6:25" ht="16.5" customHeight="1">
      <c r="F81" s="417"/>
      <c r="G81" s="417"/>
      <c r="H81" s="417"/>
      <c r="I81" s="417"/>
      <c r="J81" s="417"/>
      <c r="K81" s="417"/>
      <c r="L81" s="417"/>
      <c r="M81" s="417"/>
      <c r="N81" s="417"/>
      <c r="O81" s="417"/>
      <c r="P81" s="417"/>
      <c r="Q81" s="417"/>
      <c r="R81" s="417"/>
      <c r="S81" s="417"/>
      <c r="T81" s="417"/>
      <c r="U81" s="417"/>
      <c r="V81" s="417"/>
      <c r="W81" s="417"/>
      <c r="X81" s="417"/>
      <c r="Y81" s="417"/>
    </row>
    <row r="82" spans="6:25" ht="16.5" customHeight="1">
      <c r="F82" s="417"/>
      <c r="G82" s="417"/>
      <c r="H82" s="417"/>
      <c r="I82" s="417"/>
      <c r="J82" s="417"/>
      <c r="K82" s="417"/>
      <c r="L82" s="417"/>
      <c r="M82" s="417"/>
      <c r="N82" s="417"/>
      <c r="O82" s="417"/>
      <c r="P82" s="417"/>
      <c r="Q82" s="417"/>
      <c r="R82" s="417"/>
      <c r="S82" s="417"/>
      <c r="T82" s="417"/>
      <c r="U82" s="417"/>
      <c r="V82" s="417"/>
      <c r="W82" s="417"/>
      <c r="X82" s="417"/>
      <c r="Y82" s="417"/>
    </row>
    <row r="83" spans="6:25" ht="16.5" customHeight="1">
      <c r="F83" s="417"/>
      <c r="G83" s="417"/>
      <c r="H83" s="417"/>
      <c r="I83" s="417"/>
      <c r="J83" s="417"/>
      <c r="K83" s="417"/>
      <c r="L83" s="417"/>
      <c r="M83" s="417"/>
      <c r="N83" s="417"/>
      <c r="O83" s="417"/>
      <c r="P83" s="417"/>
      <c r="Q83" s="417"/>
      <c r="R83" s="417"/>
      <c r="S83" s="417"/>
      <c r="T83" s="417"/>
      <c r="U83" s="417"/>
      <c r="V83" s="417"/>
      <c r="W83" s="417"/>
      <c r="X83" s="417"/>
      <c r="Y83" s="417"/>
    </row>
    <row r="84" spans="6:25" ht="16.5" customHeight="1">
      <c r="F84" s="417"/>
      <c r="G84" s="417"/>
      <c r="H84" s="417"/>
      <c r="I84" s="417"/>
      <c r="J84" s="417"/>
      <c r="K84" s="417"/>
      <c r="L84" s="417"/>
      <c r="M84" s="417"/>
      <c r="N84" s="417"/>
      <c r="O84" s="417"/>
      <c r="P84" s="417"/>
      <c r="Q84" s="417"/>
      <c r="R84" s="417"/>
      <c r="S84" s="417"/>
      <c r="T84" s="417"/>
      <c r="U84" s="417"/>
      <c r="V84" s="417"/>
      <c r="W84" s="417"/>
      <c r="X84" s="417"/>
      <c r="Y84" s="417"/>
    </row>
    <row r="85" spans="6:25" ht="16.5" customHeight="1">
      <c r="F85" s="417"/>
      <c r="G85" s="417"/>
      <c r="H85" s="417"/>
      <c r="I85" s="417"/>
      <c r="J85" s="417"/>
      <c r="K85" s="417"/>
      <c r="L85" s="417"/>
      <c r="M85" s="417"/>
      <c r="N85" s="417"/>
      <c r="O85" s="417"/>
      <c r="P85" s="417"/>
      <c r="Q85" s="417"/>
      <c r="R85" s="417"/>
      <c r="S85" s="417"/>
      <c r="T85" s="417"/>
      <c r="U85" s="417"/>
      <c r="V85" s="417"/>
      <c r="W85" s="417"/>
      <c r="X85" s="417"/>
      <c r="Y85" s="417"/>
    </row>
    <row r="86" spans="6:25" ht="16.5" customHeight="1">
      <c r="F86" s="417"/>
      <c r="G86" s="417"/>
      <c r="H86" s="417"/>
      <c r="I86" s="417"/>
      <c r="J86" s="417"/>
      <c r="K86" s="417"/>
      <c r="L86" s="417"/>
      <c r="M86" s="417"/>
      <c r="N86" s="417"/>
      <c r="O86" s="417"/>
      <c r="P86" s="417"/>
      <c r="Q86" s="417"/>
      <c r="R86" s="417"/>
      <c r="S86" s="417"/>
      <c r="T86" s="417"/>
      <c r="U86" s="417"/>
      <c r="V86" s="417"/>
      <c r="W86" s="417"/>
      <c r="X86" s="417"/>
      <c r="Y86" s="417"/>
    </row>
    <row r="87" spans="6:25" ht="16.5" customHeight="1">
      <c r="F87" s="417"/>
      <c r="G87" s="417"/>
      <c r="H87" s="417"/>
      <c r="I87" s="417"/>
      <c r="J87" s="417"/>
      <c r="K87" s="417"/>
      <c r="L87" s="417"/>
      <c r="M87" s="417"/>
      <c r="N87" s="417"/>
      <c r="O87" s="417"/>
      <c r="P87" s="417"/>
      <c r="Q87" s="417"/>
      <c r="R87" s="417"/>
      <c r="S87" s="417"/>
      <c r="T87" s="417"/>
      <c r="U87" s="417"/>
      <c r="V87" s="417"/>
      <c r="W87" s="417"/>
      <c r="X87" s="417"/>
      <c r="Y87" s="417"/>
    </row>
    <row r="88" spans="6:25" ht="16.5" customHeight="1">
      <c r="F88" s="417"/>
      <c r="G88" s="417"/>
      <c r="H88" s="417"/>
      <c r="I88" s="417"/>
      <c r="J88" s="417"/>
      <c r="K88" s="417"/>
      <c r="L88" s="417"/>
      <c r="M88" s="417"/>
      <c r="N88" s="417"/>
      <c r="O88" s="417"/>
      <c r="P88" s="417"/>
      <c r="Q88" s="417"/>
      <c r="R88" s="417"/>
      <c r="S88" s="417"/>
      <c r="T88" s="417"/>
      <c r="U88" s="417"/>
      <c r="V88" s="417"/>
      <c r="W88" s="417"/>
      <c r="X88" s="417"/>
      <c r="Y88" s="417"/>
    </row>
    <row r="89" spans="6:25" ht="16.5" customHeight="1">
      <c r="F89" s="417"/>
      <c r="G89" s="417"/>
      <c r="H89" s="417"/>
      <c r="I89" s="417"/>
      <c r="J89" s="417"/>
      <c r="K89" s="417"/>
      <c r="L89" s="417"/>
      <c r="M89" s="417"/>
      <c r="N89" s="417"/>
      <c r="O89" s="417"/>
      <c r="P89" s="417"/>
      <c r="Q89" s="417"/>
      <c r="R89" s="417"/>
      <c r="S89" s="417"/>
      <c r="T89" s="417"/>
      <c r="U89" s="417"/>
      <c r="V89" s="417"/>
      <c r="W89" s="417"/>
      <c r="X89" s="417"/>
      <c r="Y89" s="417"/>
    </row>
    <row r="90" spans="6:25" ht="16.5" customHeight="1">
      <c r="F90" s="417"/>
      <c r="G90" s="417"/>
      <c r="H90" s="417"/>
      <c r="I90" s="417"/>
      <c r="J90" s="417"/>
      <c r="K90" s="417"/>
      <c r="L90" s="417"/>
      <c r="M90" s="417"/>
      <c r="N90" s="417"/>
      <c r="O90" s="417"/>
      <c r="P90" s="417"/>
      <c r="Q90" s="417"/>
      <c r="R90" s="417"/>
      <c r="S90" s="417"/>
      <c r="T90" s="417"/>
      <c r="U90" s="417"/>
      <c r="V90" s="417"/>
      <c r="W90" s="417"/>
      <c r="X90" s="417"/>
      <c r="Y90" s="417"/>
    </row>
    <row r="91" spans="6:25" ht="16.5" customHeight="1">
      <c r="F91" s="417"/>
      <c r="G91" s="417"/>
      <c r="H91" s="417"/>
      <c r="I91" s="417"/>
      <c r="J91" s="417"/>
      <c r="K91" s="417"/>
      <c r="L91" s="417"/>
      <c r="M91" s="417"/>
      <c r="N91" s="417"/>
      <c r="O91" s="417"/>
      <c r="P91" s="417"/>
      <c r="Q91" s="417"/>
      <c r="R91" s="417"/>
      <c r="S91" s="417"/>
      <c r="T91" s="417"/>
      <c r="U91" s="417"/>
      <c r="V91" s="417"/>
      <c r="W91" s="417"/>
      <c r="X91" s="417"/>
      <c r="Y91" s="417"/>
    </row>
    <row r="92" spans="6:25" ht="16.5" customHeight="1">
      <c r="F92" s="417"/>
      <c r="G92" s="417"/>
      <c r="H92" s="417"/>
      <c r="I92" s="417"/>
      <c r="J92" s="417"/>
      <c r="K92" s="417"/>
      <c r="L92" s="417"/>
      <c r="M92" s="417"/>
      <c r="N92" s="417"/>
      <c r="O92" s="417"/>
      <c r="P92" s="417"/>
      <c r="Q92" s="417"/>
      <c r="R92" s="417"/>
      <c r="S92" s="417"/>
      <c r="T92" s="417"/>
      <c r="U92" s="417"/>
      <c r="V92" s="417"/>
      <c r="W92" s="417"/>
      <c r="X92" s="417"/>
      <c r="Y92" s="417"/>
    </row>
    <row r="93" spans="6:25" ht="16.5" customHeight="1">
      <c r="F93" s="417"/>
      <c r="G93" s="417"/>
      <c r="H93" s="417"/>
      <c r="I93" s="417"/>
      <c r="J93" s="417"/>
      <c r="K93" s="417"/>
      <c r="L93" s="417"/>
      <c r="M93" s="417"/>
      <c r="N93" s="417"/>
      <c r="O93" s="417"/>
      <c r="P93" s="417"/>
      <c r="Q93" s="417"/>
      <c r="R93" s="417"/>
      <c r="S93" s="417"/>
      <c r="T93" s="417"/>
      <c r="U93" s="417"/>
      <c r="V93" s="417"/>
      <c r="W93" s="417"/>
      <c r="X93" s="417"/>
      <c r="Y93" s="417"/>
    </row>
    <row r="94" spans="6:25" ht="16.5" customHeight="1">
      <c r="F94" s="417"/>
      <c r="G94" s="417"/>
      <c r="H94" s="417"/>
      <c r="I94" s="417"/>
      <c r="J94" s="417"/>
      <c r="K94" s="417"/>
      <c r="L94" s="417"/>
      <c r="M94" s="417"/>
      <c r="N94" s="417"/>
      <c r="O94" s="417"/>
      <c r="P94" s="417"/>
      <c r="Q94" s="417"/>
      <c r="R94" s="417"/>
      <c r="S94" s="417"/>
      <c r="T94" s="417"/>
      <c r="U94" s="417"/>
      <c r="V94" s="417"/>
      <c r="W94" s="417"/>
      <c r="X94" s="417"/>
      <c r="Y94" s="417"/>
    </row>
    <row r="95" spans="6:25" ht="16.5" customHeight="1">
      <c r="F95" s="417"/>
      <c r="G95" s="417"/>
      <c r="H95" s="417"/>
      <c r="I95" s="417"/>
      <c r="J95" s="417"/>
      <c r="K95" s="417"/>
      <c r="L95" s="417"/>
      <c r="M95" s="417"/>
      <c r="N95" s="417"/>
      <c r="O95" s="417"/>
      <c r="P95" s="417"/>
      <c r="Q95" s="417"/>
      <c r="R95" s="417"/>
      <c r="S95" s="417"/>
      <c r="T95" s="417"/>
      <c r="U95" s="417"/>
      <c r="V95" s="417"/>
      <c r="W95" s="417"/>
      <c r="X95" s="417"/>
      <c r="Y95" s="417"/>
    </row>
    <row r="96" spans="6:25" ht="16.5" customHeight="1">
      <c r="F96" s="417"/>
      <c r="G96" s="417"/>
      <c r="H96" s="417"/>
      <c r="I96" s="417"/>
      <c r="J96" s="417"/>
      <c r="K96" s="417"/>
      <c r="L96" s="417"/>
      <c r="M96" s="417"/>
      <c r="N96" s="417"/>
      <c r="O96" s="417"/>
      <c r="P96" s="417"/>
      <c r="Q96" s="417"/>
      <c r="R96" s="417"/>
      <c r="S96" s="417"/>
      <c r="T96" s="417"/>
      <c r="U96" s="417"/>
      <c r="V96" s="417"/>
      <c r="W96" s="417"/>
      <c r="X96" s="417"/>
      <c r="Y96" s="417"/>
    </row>
    <row r="97" spans="6:25" ht="16.5" customHeight="1">
      <c r="F97" s="417"/>
      <c r="G97" s="417"/>
      <c r="H97" s="417"/>
      <c r="I97" s="417"/>
      <c r="J97" s="417"/>
      <c r="K97" s="417"/>
      <c r="L97" s="417"/>
      <c r="M97" s="417"/>
      <c r="N97" s="417"/>
      <c r="O97" s="417"/>
      <c r="P97" s="417"/>
      <c r="Q97" s="417"/>
      <c r="R97" s="417"/>
      <c r="S97" s="417"/>
      <c r="T97" s="417"/>
      <c r="U97" s="417"/>
      <c r="V97" s="417"/>
      <c r="W97" s="417"/>
      <c r="X97" s="417"/>
      <c r="Y97" s="417"/>
    </row>
    <row r="98" spans="6:25" ht="16.5" customHeight="1">
      <c r="F98" s="417"/>
      <c r="G98" s="417"/>
      <c r="H98" s="417"/>
      <c r="I98" s="417"/>
      <c r="J98" s="417"/>
      <c r="K98" s="417"/>
      <c r="L98" s="417"/>
      <c r="M98" s="417"/>
      <c r="N98" s="417"/>
      <c r="O98" s="417"/>
      <c r="P98" s="417"/>
      <c r="Q98" s="417"/>
      <c r="R98" s="417"/>
      <c r="S98" s="417"/>
      <c r="T98" s="417"/>
      <c r="U98" s="417"/>
      <c r="V98" s="417"/>
      <c r="W98" s="417"/>
      <c r="X98" s="417"/>
      <c r="Y98" s="417"/>
    </row>
    <row r="99" spans="6:25" ht="16.5" customHeight="1">
      <c r="F99" s="417"/>
      <c r="G99" s="417"/>
      <c r="H99" s="417"/>
      <c r="I99" s="417"/>
      <c r="J99" s="417"/>
      <c r="K99" s="417"/>
      <c r="L99" s="417"/>
      <c r="M99" s="417"/>
      <c r="N99" s="417"/>
      <c r="O99" s="417"/>
      <c r="P99" s="417"/>
      <c r="Q99" s="417"/>
      <c r="R99" s="417"/>
      <c r="S99" s="417"/>
      <c r="T99" s="417"/>
      <c r="U99" s="417"/>
      <c r="V99" s="417"/>
      <c r="W99" s="417"/>
      <c r="X99" s="417"/>
      <c r="Y99" s="417"/>
    </row>
    <row r="100" spans="6:25" ht="16.5" customHeight="1">
      <c r="F100" s="417"/>
      <c r="G100" s="417"/>
      <c r="H100" s="417"/>
      <c r="I100" s="417"/>
      <c r="J100" s="417"/>
      <c r="K100" s="417"/>
      <c r="L100" s="417"/>
      <c r="M100" s="417"/>
      <c r="N100" s="417"/>
      <c r="O100" s="417"/>
      <c r="P100" s="417"/>
      <c r="Q100" s="417"/>
      <c r="R100" s="417"/>
      <c r="S100" s="417"/>
      <c r="T100" s="417"/>
      <c r="U100" s="417"/>
      <c r="V100" s="417"/>
      <c r="W100" s="417"/>
      <c r="X100" s="417"/>
      <c r="Y100" s="417"/>
    </row>
    <row r="101" spans="6:25" ht="16.5" customHeight="1">
      <c r="F101" s="417"/>
      <c r="G101" s="417"/>
      <c r="H101" s="417"/>
      <c r="I101" s="417"/>
      <c r="J101" s="417"/>
      <c r="K101" s="417"/>
      <c r="L101" s="417"/>
      <c r="M101" s="417"/>
      <c r="N101" s="417"/>
      <c r="O101" s="417"/>
      <c r="P101" s="417"/>
      <c r="Q101" s="417"/>
      <c r="R101" s="417"/>
      <c r="S101" s="417"/>
      <c r="T101" s="417"/>
      <c r="U101" s="417"/>
      <c r="V101" s="417"/>
      <c r="W101" s="417"/>
      <c r="X101" s="417"/>
      <c r="Y101" s="417"/>
    </row>
    <row r="102" spans="6:25" ht="16.5" customHeight="1">
      <c r="F102" s="417"/>
      <c r="G102" s="417"/>
      <c r="H102" s="417"/>
      <c r="I102" s="417"/>
      <c r="J102" s="417"/>
      <c r="K102" s="417"/>
      <c r="L102" s="417"/>
      <c r="M102" s="417"/>
      <c r="N102" s="417"/>
      <c r="O102" s="417"/>
      <c r="P102" s="417"/>
      <c r="Q102" s="417"/>
      <c r="R102" s="417"/>
      <c r="S102" s="417"/>
      <c r="T102" s="417"/>
      <c r="U102" s="417"/>
      <c r="V102" s="417"/>
      <c r="W102" s="417"/>
      <c r="X102" s="417"/>
      <c r="Y102" s="417"/>
    </row>
    <row r="103" spans="6:25" ht="16.5" customHeight="1">
      <c r="F103" s="417"/>
      <c r="G103" s="417"/>
      <c r="H103" s="417"/>
      <c r="I103" s="417"/>
      <c r="J103" s="417"/>
      <c r="K103" s="417"/>
      <c r="L103" s="417"/>
      <c r="M103" s="417"/>
      <c r="N103" s="417"/>
      <c r="O103" s="417"/>
      <c r="P103" s="417"/>
      <c r="Q103" s="417"/>
      <c r="R103" s="417"/>
      <c r="S103" s="417"/>
      <c r="T103" s="417"/>
      <c r="U103" s="417"/>
      <c r="V103" s="417"/>
      <c r="W103" s="417"/>
      <c r="X103" s="417"/>
      <c r="Y103" s="417"/>
    </row>
    <row r="104" spans="6:25" ht="16.5" customHeight="1">
      <c r="F104" s="417"/>
      <c r="G104" s="417"/>
      <c r="H104" s="417"/>
      <c r="I104" s="417"/>
      <c r="J104" s="417"/>
      <c r="K104" s="417"/>
      <c r="L104" s="417"/>
      <c r="M104" s="417"/>
      <c r="N104" s="417"/>
      <c r="O104" s="417"/>
      <c r="P104" s="417"/>
      <c r="Q104" s="417"/>
      <c r="R104" s="417"/>
      <c r="S104" s="417"/>
      <c r="T104" s="417"/>
      <c r="U104" s="417"/>
      <c r="V104" s="417"/>
      <c r="W104" s="417"/>
      <c r="X104" s="417"/>
      <c r="Y104" s="417"/>
    </row>
    <row r="105" spans="6:25" ht="16.5" customHeight="1">
      <c r="F105" s="417"/>
      <c r="G105" s="417"/>
      <c r="H105" s="417"/>
      <c r="I105" s="417"/>
      <c r="J105" s="417"/>
      <c r="K105" s="417"/>
      <c r="L105" s="417"/>
      <c r="M105" s="417"/>
      <c r="N105" s="417"/>
      <c r="O105" s="417"/>
      <c r="P105" s="417"/>
      <c r="Q105" s="417"/>
      <c r="R105" s="417"/>
      <c r="S105" s="417"/>
      <c r="T105" s="417"/>
      <c r="U105" s="417"/>
      <c r="V105" s="417"/>
      <c r="W105" s="417"/>
      <c r="X105" s="417"/>
      <c r="Y105" s="417"/>
    </row>
    <row r="106" spans="6:25" ht="16.5" customHeight="1">
      <c r="F106" s="417"/>
      <c r="G106" s="417"/>
      <c r="H106" s="417"/>
      <c r="I106" s="417"/>
      <c r="J106" s="417"/>
      <c r="K106" s="417"/>
      <c r="L106" s="417"/>
      <c r="M106" s="417"/>
      <c r="N106" s="417"/>
      <c r="O106" s="417"/>
      <c r="P106" s="417"/>
      <c r="Q106" s="417"/>
      <c r="R106" s="417"/>
      <c r="S106" s="417"/>
      <c r="T106" s="417"/>
      <c r="U106" s="417"/>
      <c r="V106" s="417"/>
      <c r="W106" s="417"/>
      <c r="X106" s="417"/>
      <c r="Y106" s="417"/>
    </row>
    <row r="107" spans="6:25" ht="16.5" customHeight="1">
      <c r="F107" s="417"/>
      <c r="G107" s="417"/>
      <c r="H107" s="417"/>
      <c r="I107" s="417"/>
      <c r="J107" s="417"/>
      <c r="K107" s="417"/>
      <c r="L107" s="417"/>
      <c r="M107" s="417"/>
      <c r="N107" s="417"/>
      <c r="O107" s="417"/>
      <c r="P107" s="417"/>
      <c r="Q107" s="417"/>
      <c r="R107" s="417"/>
      <c r="S107" s="417"/>
      <c r="T107" s="417"/>
      <c r="U107" s="417"/>
      <c r="V107" s="417"/>
      <c r="W107" s="417"/>
      <c r="X107" s="417"/>
      <c r="Y107" s="417"/>
    </row>
    <row r="108" spans="6:25" ht="16.5" customHeight="1">
      <c r="F108" s="417"/>
      <c r="G108" s="417"/>
      <c r="H108" s="417"/>
      <c r="I108" s="417"/>
      <c r="J108" s="417"/>
      <c r="K108" s="417"/>
      <c r="L108" s="417"/>
      <c r="M108" s="417"/>
      <c r="N108" s="417"/>
      <c r="O108" s="417"/>
      <c r="P108" s="417"/>
      <c r="Q108" s="417"/>
      <c r="R108" s="417"/>
      <c r="S108" s="417"/>
      <c r="T108" s="417"/>
      <c r="U108" s="417"/>
      <c r="V108" s="417"/>
      <c r="W108" s="417"/>
      <c r="X108" s="417"/>
      <c r="Y108" s="417"/>
    </row>
    <row r="109" spans="6:25" ht="16.5" customHeight="1">
      <c r="F109" s="417"/>
      <c r="G109" s="417"/>
      <c r="H109" s="417"/>
      <c r="I109" s="417"/>
      <c r="J109" s="417"/>
      <c r="K109" s="417"/>
      <c r="L109" s="417"/>
      <c r="M109" s="417"/>
      <c r="N109" s="417"/>
      <c r="O109" s="417"/>
      <c r="P109" s="417"/>
      <c r="Q109" s="417"/>
      <c r="R109" s="417"/>
      <c r="S109" s="417"/>
      <c r="T109" s="417"/>
      <c r="U109" s="417"/>
      <c r="V109" s="417"/>
      <c r="W109" s="417"/>
      <c r="X109" s="417"/>
      <c r="Y109" s="417"/>
    </row>
    <row r="110" spans="6:25" ht="16.5" customHeight="1">
      <c r="F110" s="417"/>
      <c r="G110" s="417"/>
      <c r="H110" s="417"/>
      <c r="I110" s="417"/>
      <c r="J110" s="417"/>
      <c r="K110" s="417"/>
      <c r="L110" s="417"/>
      <c r="M110" s="417"/>
      <c r="N110" s="417"/>
      <c r="O110" s="417"/>
      <c r="P110" s="417"/>
      <c r="Q110" s="417"/>
      <c r="R110" s="417"/>
      <c r="S110" s="417"/>
      <c r="T110" s="417"/>
      <c r="U110" s="417"/>
      <c r="V110" s="417"/>
      <c r="W110" s="417"/>
      <c r="X110" s="417"/>
      <c r="Y110" s="417"/>
    </row>
    <row r="111" spans="6:25" ht="16.5" customHeight="1">
      <c r="F111" s="417"/>
      <c r="G111" s="417"/>
      <c r="H111" s="417"/>
      <c r="I111" s="417"/>
      <c r="J111" s="417"/>
      <c r="K111" s="417"/>
      <c r="L111" s="417"/>
      <c r="M111" s="417"/>
      <c r="N111" s="417"/>
      <c r="O111" s="417"/>
      <c r="P111" s="417"/>
      <c r="Q111" s="417"/>
      <c r="R111" s="417"/>
      <c r="S111" s="417"/>
      <c r="T111" s="417"/>
      <c r="U111" s="417"/>
      <c r="V111" s="417"/>
      <c r="W111" s="417"/>
      <c r="X111" s="417"/>
      <c r="Y111" s="417"/>
    </row>
    <row r="112" spans="6:25" ht="16.5" customHeight="1">
      <c r="F112" s="417"/>
      <c r="G112" s="417"/>
      <c r="H112" s="417"/>
      <c r="I112" s="417"/>
      <c r="J112" s="417"/>
      <c r="K112" s="417"/>
      <c r="L112" s="417"/>
      <c r="M112" s="417"/>
      <c r="N112" s="417"/>
      <c r="O112" s="417"/>
      <c r="P112" s="417"/>
      <c r="Q112" s="417"/>
      <c r="R112" s="417"/>
      <c r="S112" s="417"/>
      <c r="T112" s="417"/>
      <c r="U112" s="417"/>
      <c r="V112" s="417"/>
      <c r="W112" s="417"/>
      <c r="X112" s="417"/>
      <c r="Y112" s="417"/>
    </row>
    <row r="113" spans="6:25" ht="16.5" customHeight="1">
      <c r="F113" s="417"/>
      <c r="G113" s="417"/>
      <c r="H113" s="417"/>
      <c r="I113" s="417"/>
      <c r="J113" s="417"/>
      <c r="K113" s="417"/>
      <c r="L113" s="417"/>
      <c r="M113" s="417"/>
      <c r="N113" s="417"/>
      <c r="O113" s="417"/>
      <c r="P113" s="417"/>
      <c r="Q113" s="417"/>
      <c r="R113" s="417"/>
      <c r="S113" s="417"/>
      <c r="T113" s="417"/>
      <c r="U113" s="417"/>
      <c r="V113" s="417"/>
      <c r="W113" s="417"/>
      <c r="X113" s="417"/>
      <c r="Y113" s="417"/>
    </row>
    <row r="114" spans="6:25" ht="16.5" customHeight="1">
      <c r="F114" s="417"/>
      <c r="G114" s="417"/>
      <c r="H114" s="417"/>
      <c r="I114" s="417"/>
      <c r="J114" s="417"/>
      <c r="K114" s="417"/>
      <c r="L114" s="417"/>
      <c r="M114" s="417"/>
      <c r="N114" s="417"/>
      <c r="O114" s="417"/>
      <c r="P114" s="417"/>
      <c r="Q114" s="417"/>
      <c r="R114" s="417"/>
      <c r="S114" s="417"/>
      <c r="T114" s="417"/>
      <c r="U114" s="417"/>
      <c r="V114" s="417"/>
      <c r="W114" s="417"/>
      <c r="X114" s="417"/>
      <c r="Y114" s="417"/>
    </row>
    <row r="115" spans="6:25" ht="16.5" customHeight="1">
      <c r="F115" s="417"/>
      <c r="G115" s="417"/>
      <c r="H115" s="417"/>
      <c r="I115" s="417"/>
      <c r="J115" s="417"/>
      <c r="K115" s="417"/>
      <c r="L115" s="417"/>
      <c r="M115" s="417"/>
      <c r="N115" s="417"/>
      <c r="O115" s="417"/>
      <c r="P115" s="417"/>
      <c r="Q115" s="417"/>
      <c r="R115" s="417"/>
      <c r="S115" s="417"/>
      <c r="T115" s="417"/>
      <c r="U115" s="417"/>
      <c r="V115" s="417"/>
      <c r="W115" s="417"/>
      <c r="X115" s="417"/>
      <c r="Y115" s="417"/>
    </row>
    <row r="116" spans="6:25" ht="16.5" customHeight="1">
      <c r="F116" s="417"/>
      <c r="G116" s="417"/>
      <c r="H116" s="417"/>
      <c r="I116" s="417"/>
      <c r="J116" s="417"/>
      <c r="K116" s="417"/>
      <c r="L116" s="417"/>
      <c r="M116" s="417"/>
      <c r="N116" s="417"/>
      <c r="O116" s="417"/>
      <c r="P116" s="417"/>
      <c r="Q116" s="417"/>
      <c r="R116" s="417"/>
      <c r="S116" s="417"/>
      <c r="T116" s="417"/>
      <c r="U116" s="417"/>
      <c r="V116" s="417"/>
      <c r="W116" s="417"/>
      <c r="X116" s="417"/>
      <c r="Y116" s="417"/>
    </row>
    <row r="117" spans="6:25" ht="16.5" customHeight="1">
      <c r="F117" s="417"/>
      <c r="G117" s="417"/>
      <c r="H117" s="417"/>
      <c r="I117" s="417"/>
      <c r="J117" s="417"/>
      <c r="K117" s="417"/>
      <c r="L117" s="417"/>
      <c r="M117" s="417"/>
      <c r="N117" s="417"/>
      <c r="O117" s="417"/>
      <c r="P117" s="417"/>
      <c r="Q117" s="417"/>
      <c r="R117" s="417"/>
      <c r="S117" s="417"/>
      <c r="T117" s="417"/>
      <c r="U117" s="417"/>
      <c r="V117" s="417"/>
      <c r="W117" s="417"/>
      <c r="X117" s="417"/>
      <c r="Y117" s="417"/>
    </row>
    <row r="118" spans="6:25" ht="16.5" customHeight="1">
      <c r="F118" s="417"/>
      <c r="G118" s="417"/>
      <c r="H118" s="417"/>
      <c r="I118" s="417"/>
      <c r="J118" s="417"/>
      <c r="K118" s="417"/>
      <c r="L118" s="417"/>
      <c r="M118" s="417"/>
      <c r="N118" s="417"/>
      <c r="O118" s="417"/>
      <c r="P118" s="417"/>
      <c r="Q118" s="417"/>
      <c r="R118" s="417"/>
      <c r="S118" s="417"/>
      <c r="T118" s="417"/>
      <c r="U118" s="417"/>
      <c r="V118" s="417"/>
      <c r="W118" s="417"/>
      <c r="X118" s="417"/>
      <c r="Y118" s="417"/>
    </row>
    <row r="119" spans="6:25" ht="16.5" customHeight="1">
      <c r="F119" s="417"/>
      <c r="G119" s="417"/>
      <c r="H119" s="417"/>
      <c r="I119" s="417"/>
      <c r="J119" s="417"/>
      <c r="K119" s="417"/>
      <c r="L119" s="417"/>
      <c r="M119" s="417"/>
      <c r="N119" s="417"/>
      <c r="O119" s="417"/>
      <c r="P119" s="417"/>
      <c r="Q119" s="417"/>
      <c r="R119" s="417"/>
      <c r="S119" s="417"/>
      <c r="T119" s="417"/>
      <c r="U119" s="417"/>
      <c r="V119" s="417"/>
      <c r="W119" s="417"/>
      <c r="X119" s="417"/>
      <c r="Y119" s="417"/>
    </row>
    <row r="120" spans="6:25" ht="16.5" customHeight="1">
      <c r="F120" s="417"/>
      <c r="G120" s="417"/>
      <c r="H120" s="417"/>
      <c r="I120" s="417"/>
      <c r="J120" s="417"/>
      <c r="K120" s="417"/>
      <c r="L120" s="417"/>
      <c r="M120" s="417"/>
      <c r="N120" s="417"/>
      <c r="O120" s="417"/>
      <c r="P120" s="417"/>
      <c r="Q120" s="417"/>
      <c r="R120" s="417"/>
      <c r="S120" s="417"/>
      <c r="T120" s="417"/>
      <c r="U120" s="417"/>
      <c r="V120" s="417"/>
      <c r="W120" s="417"/>
      <c r="X120" s="417"/>
      <c r="Y120" s="417"/>
    </row>
    <row r="121" spans="6:25" ht="16.5" customHeight="1">
      <c r="F121" s="417"/>
      <c r="G121" s="417"/>
      <c r="H121" s="417"/>
      <c r="I121" s="417"/>
      <c r="J121" s="417"/>
      <c r="K121" s="417"/>
      <c r="L121" s="417"/>
      <c r="M121" s="417"/>
      <c r="N121" s="417"/>
      <c r="O121" s="417"/>
      <c r="P121" s="417"/>
      <c r="Q121" s="417"/>
      <c r="R121" s="417"/>
      <c r="S121" s="417"/>
      <c r="T121" s="417"/>
      <c r="U121" s="417"/>
      <c r="V121" s="417"/>
      <c r="W121" s="417"/>
      <c r="X121" s="417"/>
      <c r="Y121" s="417"/>
    </row>
    <row r="122" spans="6:25" ht="16.5" customHeight="1">
      <c r="F122" s="417"/>
      <c r="G122" s="417"/>
      <c r="H122" s="417"/>
      <c r="I122" s="417"/>
      <c r="J122" s="417"/>
      <c r="K122" s="417"/>
      <c r="L122" s="417"/>
      <c r="M122" s="417"/>
      <c r="N122" s="417"/>
      <c r="O122" s="417"/>
      <c r="P122" s="417"/>
      <c r="Q122" s="417"/>
      <c r="R122" s="417"/>
      <c r="S122" s="417"/>
      <c r="T122" s="417"/>
      <c r="U122" s="417"/>
      <c r="V122" s="417"/>
      <c r="W122" s="417"/>
      <c r="X122" s="417"/>
      <c r="Y122" s="417"/>
    </row>
    <row r="123" spans="6:25" ht="16.5" customHeight="1">
      <c r="F123" s="417"/>
      <c r="G123" s="417"/>
      <c r="H123" s="417"/>
      <c r="I123" s="417"/>
      <c r="J123" s="417"/>
      <c r="K123" s="417"/>
      <c r="L123" s="417"/>
      <c r="M123" s="417"/>
      <c r="N123" s="417"/>
      <c r="O123" s="417"/>
      <c r="P123" s="417"/>
      <c r="Q123" s="417"/>
      <c r="R123" s="417"/>
      <c r="S123" s="417"/>
      <c r="T123" s="417"/>
      <c r="U123" s="417"/>
      <c r="V123" s="417"/>
      <c r="W123" s="417"/>
      <c r="X123" s="417"/>
      <c r="Y123" s="417"/>
    </row>
    <row r="124" spans="6:25" ht="16.5" customHeight="1">
      <c r="F124" s="417"/>
      <c r="G124" s="417"/>
      <c r="H124" s="417"/>
      <c r="I124" s="417"/>
      <c r="J124" s="417"/>
      <c r="K124" s="417"/>
      <c r="L124" s="417"/>
      <c r="M124" s="417"/>
      <c r="N124" s="417"/>
      <c r="O124" s="417"/>
      <c r="P124" s="417"/>
      <c r="Q124" s="417"/>
      <c r="R124" s="417"/>
      <c r="S124" s="417"/>
      <c r="T124" s="417"/>
      <c r="U124" s="417"/>
      <c r="V124" s="417"/>
      <c r="W124" s="417"/>
      <c r="X124" s="417"/>
      <c r="Y124" s="417"/>
    </row>
    <row r="125" spans="6:25" ht="16.5" customHeight="1">
      <c r="F125" s="417"/>
      <c r="G125" s="417"/>
      <c r="H125" s="417"/>
      <c r="I125" s="417"/>
      <c r="J125" s="417"/>
      <c r="K125" s="417"/>
      <c r="L125" s="417"/>
      <c r="M125" s="417"/>
      <c r="N125" s="417"/>
      <c r="O125" s="417"/>
      <c r="P125" s="417"/>
      <c r="Q125" s="417"/>
      <c r="R125" s="417"/>
      <c r="S125" s="417"/>
      <c r="T125" s="417"/>
      <c r="U125" s="417"/>
      <c r="V125" s="417"/>
      <c r="W125" s="417"/>
      <c r="X125" s="417"/>
      <c r="Y125" s="417"/>
    </row>
    <row r="126" spans="6:25" ht="16.5" customHeight="1">
      <c r="F126" s="417"/>
      <c r="G126" s="417"/>
      <c r="H126" s="417"/>
      <c r="I126" s="417"/>
      <c r="J126" s="417"/>
      <c r="K126" s="417"/>
      <c r="L126" s="417"/>
      <c r="M126" s="417"/>
      <c r="N126" s="417"/>
      <c r="O126" s="417"/>
      <c r="P126" s="417"/>
      <c r="Q126" s="417"/>
      <c r="R126" s="417"/>
      <c r="S126" s="417"/>
      <c r="T126" s="417"/>
      <c r="U126" s="417"/>
      <c r="V126" s="417"/>
      <c r="W126" s="417"/>
      <c r="X126" s="417"/>
      <c r="Y126" s="417"/>
    </row>
    <row r="127" spans="6:25" ht="16.5" customHeight="1">
      <c r="F127" s="417"/>
      <c r="G127" s="417"/>
      <c r="H127" s="417"/>
      <c r="I127" s="417"/>
      <c r="J127" s="417"/>
      <c r="K127" s="417"/>
      <c r="L127" s="417"/>
      <c r="M127" s="417"/>
      <c r="N127" s="417"/>
      <c r="O127" s="417"/>
      <c r="P127" s="417"/>
      <c r="Q127" s="417"/>
      <c r="R127" s="417"/>
      <c r="S127" s="417"/>
      <c r="T127" s="417"/>
      <c r="U127" s="417"/>
      <c r="V127" s="417"/>
      <c r="W127" s="417"/>
      <c r="X127" s="417"/>
      <c r="Y127" s="417"/>
    </row>
    <row r="128" spans="6:25" ht="16.5" customHeight="1">
      <c r="F128" s="417"/>
      <c r="G128" s="417"/>
      <c r="H128" s="417"/>
      <c r="I128" s="417"/>
      <c r="J128" s="417"/>
      <c r="K128" s="417"/>
      <c r="L128" s="417"/>
      <c r="M128" s="417"/>
      <c r="N128" s="417"/>
      <c r="O128" s="417"/>
      <c r="P128" s="417"/>
      <c r="Q128" s="417"/>
      <c r="R128" s="417"/>
      <c r="S128" s="417"/>
      <c r="T128" s="417"/>
      <c r="U128" s="417"/>
      <c r="V128" s="417"/>
      <c r="W128" s="417"/>
      <c r="X128" s="417"/>
      <c r="Y128" s="417"/>
    </row>
    <row r="129" spans="6:25" ht="16.5" customHeight="1">
      <c r="F129" s="417"/>
      <c r="G129" s="417"/>
      <c r="H129" s="417"/>
      <c r="I129" s="417"/>
      <c r="J129" s="417"/>
      <c r="K129" s="417"/>
      <c r="L129" s="417"/>
      <c r="M129" s="417"/>
      <c r="N129" s="417"/>
      <c r="O129" s="417"/>
      <c r="P129" s="417"/>
      <c r="Q129" s="417"/>
      <c r="R129" s="417"/>
      <c r="S129" s="417"/>
      <c r="T129" s="417"/>
      <c r="U129" s="417"/>
      <c r="V129" s="417"/>
      <c r="W129" s="417"/>
      <c r="X129" s="417"/>
      <c r="Y129" s="417"/>
    </row>
    <row r="130" spans="6:25" ht="16.5" customHeight="1">
      <c r="F130" s="417"/>
      <c r="G130" s="417"/>
      <c r="H130" s="417"/>
      <c r="I130" s="417"/>
      <c r="J130" s="417"/>
      <c r="K130" s="417"/>
      <c r="L130" s="417"/>
      <c r="M130" s="417"/>
      <c r="N130" s="417"/>
      <c r="O130" s="417"/>
      <c r="P130" s="417"/>
      <c r="Q130" s="417"/>
      <c r="R130" s="417"/>
      <c r="S130" s="417"/>
      <c r="T130" s="417"/>
      <c r="U130" s="417"/>
      <c r="V130" s="417"/>
      <c r="W130" s="417"/>
      <c r="X130" s="417"/>
      <c r="Y130" s="417"/>
    </row>
    <row r="131" spans="6:25" ht="16.5" customHeight="1">
      <c r="F131" s="417"/>
      <c r="G131" s="417"/>
      <c r="H131" s="417"/>
      <c r="I131" s="417"/>
      <c r="J131" s="417"/>
      <c r="K131" s="417"/>
      <c r="L131" s="417"/>
      <c r="M131" s="417"/>
      <c r="N131" s="417"/>
      <c r="O131" s="417"/>
      <c r="P131" s="417"/>
      <c r="Q131" s="417"/>
      <c r="R131" s="417"/>
      <c r="S131" s="417"/>
      <c r="T131" s="417"/>
      <c r="U131" s="417"/>
      <c r="V131" s="417"/>
      <c r="W131" s="417"/>
      <c r="X131" s="417"/>
      <c r="Y131" s="417"/>
    </row>
    <row r="132" spans="6:25" ht="16.5" customHeight="1">
      <c r="F132" s="417"/>
      <c r="G132" s="417"/>
      <c r="H132" s="417"/>
      <c r="I132" s="417"/>
      <c r="J132" s="417"/>
      <c r="K132" s="417"/>
      <c r="L132" s="417"/>
      <c r="M132" s="417"/>
      <c r="N132" s="417"/>
      <c r="O132" s="417"/>
      <c r="P132" s="417"/>
      <c r="Q132" s="417"/>
      <c r="R132" s="417"/>
      <c r="S132" s="417"/>
      <c r="T132" s="417"/>
      <c r="U132" s="417"/>
      <c r="V132" s="417"/>
      <c r="W132" s="417"/>
      <c r="X132" s="417"/>
      <c r="Y132" s="417"/>
    </row>
    <row r="133" spans="6:25" ht="16.5" customHeight="1">
      <c r="F133" s="417"/>
      <c r="G133" s="417"/>
      <c r="H133" s="417"/>
      <c r="I133" s="417"/>
      <c r="J133" s="417"/>
      <c r="K133" s="417"/>
      <c r="L133" s="417"/>
      <c r="M133" s="417"/>
      <c r="N133" s="417"/>
      <c r="O133" s="417"/>
      <c r="P133" s="417"/>
      <c r="Q133" s="417"/>
      <c r="R133" s="417"/>
      <c r="S133" s="417"/>
      <c r="T133" s="417"/>
      <c r="U133" s="417"/>
      <c r="V133" s="417"/>
      <c r="W133" s="417"/>
      <c r="X133" s="417"/>
      <c r="Y133" s="417"/>
    </row>
    <row r="134" spans="6:25" ht="16.5" customHeight="1">
      <c r="F134" s="417"/>
      <c r="G134" s="417"/>
      <c r="H134" s="417"/>
      <c r="I134" s="417"/>
      <c r="J134" s="417"/>
      <c r="K134" s="417"/>
      <c r="L134" s="417"/>
      <c r="M134" s="417"/>
      <c r="N134" s="417"/>
      <c r="O134" s="417"/>
      <c r="P134" s="417"/>
      <c r="Q134" s="417"/>
      <c r="R134" s="417"/>
      <c r="S134" s="417"/>
      <c r="T134" s="417"/>
      <c r="U134" s="417"/>
      <c r="V134" s="417"/>
      <c r="W134" s="417"/>
      <c r="X134" s="417"/>
      <c r="Y134" s="417"/>
    </row>
    <row r="135" spans="6:25" ht="16.5" customHeight="1">
      <c r="F135" s="417"/>
      <c r="G135" s="417"/>
      <c r="H135" s="417"/>
      <c r="I135" s="417"/>
      <c r="J135" s="417"/>
      <c r="K135" s="417"/>
      <c r="L135" s="417"/>
      <c r="M135" s="417"/>
      <c r="N135" s="417"/>
      <c r="O135" s="417"/>
      <c r="P135" s="417"/>
      <c r="Q135" s="417"/>
      <c r="R135" s="417"/>
      <c r="S135" s="417"/>
      <c r="T135" s="417"/>
      <c r="U135" s="417"/>
      <c r="V135" s="417"/>
      <c r="W135" s="417"/>
      <c r="X135" s="417"/>
      <c r="Y135" s="417"/>
    </row>
    <row r="136" spans="6:25" ht="16.5" customHeight="1">
      <c r="F136" s="417"/>
      <c r="G136" s="417"/>
      <c r="H136" s="417"/>
      <c r="I136" s="417"/>
      <c r="J136" s="417"/>
      <c r="K136" s="417"/>
      <c r="L136" s="417"/>
      <c r="M136" s="417"/>
      <c r="N136" s="417"/>
      <c r="O136" s="417"/>
      <c r="P136" s="417"/>
      <c r="Q136" s="417"/>
      <c r="R136" s="417"/>
      <c r="S136" s="417"/>
      <c r="T136" s="417"/>
      <c r="U136" s="417"/>
      <c r="V136" s="417"/>
      <c r="W136" s="417"/>
      <c r="X136" s="417"/>
      <c r="Y136" s="417"/>
    </row>
    <row r="137" spans="6:25" ht="16.5" customHeight="1">
      <c r="F137" s="417"/>
      <c r="G137" s="417"/>
      <c r="H137" s="417"/>
      <c r="I137" s="417"/>
      <c r="J137" s="417"/>
      <c r="K137" s="417"/>
      <c r="L137" s="417"/>
      <c r="M137" s="417"/>
      <c r="N137" s="417"/>
      <c r="O137" s="417"/>
      <c r="P137" s="417"/>
      <c r="Q137" s="417"/>
      <c r="R137" s="417"/>
      <c r="S137" s="417"/>
      <c r="T137" s="417"/>
      <c r="U137" s="417"/>
      <c r="V137" s="417"/>
      <c r="W137" s="417"/>
      <c r="X137" s="417"/>
      <c r="Y137" s="417"/>
    </row>
    <row r="138" spans="6:25" ht="16.5" customHeight="1">
      <c r="F138" s="417"/>
      <c r="G138" s="417"/>
      <c r="H138" s="417"/>
      <c r="I138" s="417"/>
      <c r="J138" s="417"/>
      <c r="K138" s="417"/>
      <c r="L138" s="417"/>
      <c r="M138" s="417"/>
      <c r="N138" s="417"/>
      <c r="O138" s="417"/>
      <c r="P138" s="417"/>
      <c r="Q138" s="417"/>
      <c r="R138" s="417"/>
      <c r="S138" s="417"/>
      <c r="T138" s="417"/>
      <c r="U138" s="417"/>
      <c r="V138" s="417"/>
      <c r="W138" s="417"/>
      <c r="X138" s="417"/>
      <c r="Y138" s="417"/>
    </row>
    <row r="139" spans="6:25" ht="16.5" customHeight="1">
      <c r="F139" s="417"/>
      <c r="G139" s="417"/>
      <c r="H139" s="417"/>
      <c r="I139" s="417"/>
      <c r="J139" s="417"/>
      <c r="K139" s="417"/>
      <c r="L139" s="417"/>
      <c r="M139" s="417"/>
      <c r="N139" s="417"/>
      <c r="O139" s="417"/>
      <c r="P139" s="417"/>
      <c r="Q139" s="417"/>
      <c r="R139" s="417"/>
      <c r="S139" s="417"/>
      <c r="T139" s="417"/>
      <c r="U139" s="417"/>
      <c r="V139" s="417"/>
      <c r="W139" s="417"/>
      <c r="X139" s="417"/>
      <c r="Y139" s="417"/>
    </row>
    <row r="140" spans="6:25" ht="16.5" customHeight="1">
      <c r="F140" s="417"/>
      <c r="G140" s="417"/>
      <c r="H140" s="417"/>
      <c r="I140" s="417"/>
      <c r="J140" s="417"/>
      <c r="K140" s="417"/>
      <c r="L140" s="417"/>
      <c r="M140" s="417"/>
      <c r="N140" s="417"/>
      <c r="O140" s="417"/>
      <c r="P140" s="417"/>
      <c r="Q140" s="417"/>
      <c r="R140" s="417"/>
      <c r="S140" s="417"/>
      <c r="T140" s="417"/>
      <c r="U140" s="417"/>
      <c r="V140" s="417"/>
      <c r="W140" s="417"/>
      <c r="X140" s="417"/>
      <c r="Y140" s="417"/>
    </row>
    <row r="141" spans="6:25" ht="16.5" customHeight="1">
      <c r="F141" s="417"/>
      <c r="G141" s="417"/>
      <c r="H141" s="417"/>
      <c r="I141" s="417"/>
      <c r="J141" s="417"/>
      <c r="K141" s="417"/>
      <c r="L141" s="417"/>
      <c r="M141" s="417"/>
      <c r="N141" s="417"/>
      <c r="O141" s="417"/>
      <c r="P141" s="417"/>
      <c r="Q141" s="417"/>
      <c r="R141" s="417"/>
      <c r="S141" s="417"/>
      <c r="T141" s="417"/>
      <c r="U141" s="417"/>
      <c r="V141" s="417"/>
      <c r="W141" s="417"/>
      <c r="X141" s="417"/>
      <c r="Y141" s="417"/>
    </row>
    <row r="142" spans="6:25" ht="16.5" customHeight="1">
      <c r="F142" s="417"/>
      <c r="G142" s="417"/>
      <c r="H142" s="417"/>
      <c r="I142" s="417"/>
      <c r="J142" s="417"/>
      <c r="K142" s="417"/>
      <c r="L142" s="417"/>
      <c r="M142" s="417"/>
      <c r="N142" s="417"/>
      <c r="O142" s="417"/>
      <c r="P142" s="417"/>
      <c r="Q142" s="417"/>
      <c r="R142" s="417"/>
      <c r="S142" s="417"/>
      <c r="T142" s="417"/>
      <c r="U142" s="417"/>
      <c r="V142" s="417"/>
      <c r="W142" s="417"/>
      <c r="X142" s="417"/>
      <c r="Y142" s="417"/>
    </row>
    <row r="143" spans="6:25" ht="16.5" customHeight="1">
      <c r="F143" s="417"/>
      <c r="G143" s="417"/>
      <c r="H143" s="417"/>
      <c r="I143" s="417"/>
      <c r="J143" s="417"/>
      <c r="K143" s="417"/>
      <c r="L143" s="417"/>
      <c r="M143" s="417"/>
      <c r="N143" s="417"/>
      <c r="O143" s="417"/>
      <c r="P143" s="417"/>
      <c r="Q143" s="417"/>
      <c r="R143" s="417"/>
      <c r="S143" s="417"/>
      <c r="T143" s="417"/>
      <c r="U143" s="417"/>
      <c r="V143" s="417"/>
      <c r="W143" s="417"/>
      <c r="X143" s="417"/>
      <c r="Y143" s="417"/>
    </row>
    <row r="144" spans="6:25" ht="16.5" customHeight="1">
      <c r="F144" s="417"/>
      <c r="G144" s="417"/>
      <c r="H144" s="417"/>
      <c r="I144" s="417"/>
      <c r="J144" s="417"/>
      <c r="K144" s="417"/>
      <c r="L144" s="417"/>
      <c r="M144" s="417"/>
      <c r="N144" s="417"/>
      <c r="O144" s="417"/>
      <c r="P144" s="417"/>
      <c r="Q144" s="417"/>
      <c r="R144" s="417"/>
      <c r="S144" s="417"/>
      <c r="T144" s="417"/>
      <c r="U144" s="417"/>
      <c r="V144" s="417"/>
      <c r="W144" s="417"/>
      <c r="X144" s="417"/>
      <c r="Y144" s="417"/>
    </row>
    <row r="145" spans="6:25" ht="16.5" customHeight="1">
      <c r="F145" s="417"/>
      <c r="G145" s="417"/>
      <c r="H145" s="417"/>
      <c r="I145" s="417"/>
      <c r="J145" s="417"/>
      <c r="K145" s="417"/>
      <c r="L145" s="417"/>
      <c r="M145" s="417"/>
      <c r="N145" s="417"/>
      <c r="O145" s="417"/>
      <c r="P145" s="417"/>
      <c r="Q145" s="417"/>
      <c r="R145" s="417"/>
      <c r="S145" s="417"/>
      <c r="T145" s="417"/>
      <c r="U145" s="417"/>
      <c r="V145" s="417"/>
      <c r="W145" s="417"/>
      <c r="X145" s="417"/>
      <c r="Y145" s="417"/>
    </row>
    <row r="146" spans="6:25" ht="16.5" customHeight="1">
      <c r="F146" s="417"/>
      <c r="G146" s="417"/>
      <c r="H146" s="417"/>
      <c r="I146" s="417"/>
      <c r="J146" s="417"/>
      <c r="K146" s="417"/>
      <c r="L146" s="417"/>
      <c r="M146" s="417"/>
      <c r="N146" s="417"/>
      <c r="O146" s="417"/>
      <c r="P146" s="417"/>
      <c r="Q146" s="417"/>
      <c r="R146" s="417"/>
      <c r="S146" s="417"/>
      <c r="T146" s="417"/>
      <c r="U146" s="417"/>
      <c r="V146" s="417"/>
      <c r="W146" s="417"/>
      <c r="X146" s="417"/>
      <c r="Y146" s="417"/>
    </row>
    <row r="147" spans="6:25" ht="16.5" customHeight="1">
      <c r="F147" s="417"/>
      <c r="G147" s="417"/>
      <c r="H147" s="417"/>
      <c r="I147" s="417"/>
      <c r="J147" s="417"/>
      <c r="K147" s="417"/>
      <c r="L147" s="417"/>
      <c r="M147" s="417"/>
      <c r="N147" s="417"/>
      <c r="O147" s="417"/>
      <c r="P147" s="417"/>
      <c r="Q147" s="417"/>
      <c r="R147" s="417"/>
      <c r="S147" s="417"/>
      <c r="T147" s="417"/>
      <c r="U147" s="417"/>
      <c r="V147" s="417"/>
      <c r="W147" s="417"/>
      <c r="X147" s="417"/>
      <c r="Y147" s="417"/>
    </row>
    <row r="148" spans="6:25" ht="16.5" customHeight="1">
      <c r="F148" s="417"/>
      <c r="G148" s="417"/>
      <c r="H148" s="417"/>
      <c r="I148" s="417"/>
      <c r="J148" s="417"/>
      <c r="K148" s="417"/>
      <c r="L148" s="417"/>
      <c r="M148" s="417"/>
      <c r="N148" s="417"/>
      <c r="O148" s="417"/>
      <c r="P148" s="417"/>
      <c r="Q148" s="417"/>
      <c r="R148" s="417"/>
      <c r="S148" s="417"/>
      <c r="T148" s="417"/>
      <c r="U148" s="417"/>
      <c r="V148" s="417"/>
      <c r="W148" s="417"/>
      <c r="X148" s="417"/>
      <c r="Y148" s="417"/>
    </row>
    <row r="149" spans="6:25" ht="16.5" customHeight="1">
      <c r="F149" s="417"/>
      <c r="G149" s="417"/>
      <c r="H149" s="417"/>
      <c r="I149" s="417"/>
      <c r="J149" s="417"/>
      <c r="K149" s="417"/>
      <c r="L149" s="417"/>
      <c r="M149" s="417"/>
      <c r="N149" s="417"/>
      <c r="O149" s="417"/>
      <c r="P149" s="417"/>
      <c r="Q149" s="417"/>
      <c r="R149" s="417"/>
      <c r="S149" s="417"/>
      <c r="T149" s="417"/>
      <c r="U149" s="417"/>
      <c r="V149" s="417"/>
      <c r="W149" s="417"/>
      <c r="X149" s="417"/>
      <c r="Y149" s="417"/>
    </row>
    <row r="150" spans="6:25" ht="16.5" customHeight="1">
      <c r="F150" s="417"/>
      <c r="G150" s="417"/>
      <c r="H150" s="417"/>
      <c r="I150" s="417"/>
      <c r="J150" s="417"/>
      <c r="K150" s="417"/>
      <c r="L150" s="417"/>
      <c r="M150" s="417"/>
      <c r="N150" s="417"/>
      <c r="O150" s="417"/>
      <c r="P150" s="417"/>
      <c r="Q150" s="417"/>
      <c r="R150" s="417"/>
      <c r="S150" s="417"/>
      <c r="T150" s="417"/>
      <c r="U150" s="417"/>
      <c r="V150" s="417"/>
      <c r="W150" s="417"/>
      <c r="X150" s="417"/>
      <c r="Y150" s="417"/>
    </row>
    <row r="151" spans="6:25" ht="16.5" customHeight="1">
      <c r="F151" s="417"/>
      <c r="G151" s="417"/>
      <c r="H151" s="417"/>
      <c r="I151" s="417"/>
      <c r="J151" s="417"/>
      <c r="K151" s="417"/>
      <c r="L151" s="417"/>
      <c r="M151" s="417"/>
      <c r="N151" s="417"/>
      <c r="O151" s="417"/>
      <c r="P151" s="417"/>
      <c r="Q151" s="417"/>
      <c r="R151" s="417"/>
      <c r="S151" s="417"/>
      <c r="T151" s="417"/>
      <c r="U151" s="417"/>
      <c r="V151" s="417"/>
      <c r="W151" s="417"/>
      <c r="X151" s="417"/>
      <c r="Y151" s="417"/>
    </row>
    <row r="152" spans="6:25" ht="16.5" customHeight="1">
      <c r="F152" s="417"/>
      <c r="G152" s="417"/>
      <c r="H152" s="417"/>
      <c r="I152" s="417"/>
      <c r="J152" s="417"/>
      <c r="K152" s="417"/>
      <c r="L152" s="417"/>
      <c r="M152" s="417"/>
      <c r="N152" s="417"/>
      <c r="O152" s="417"/>
      <c r="P152" s="417"/>
      <c r="Q152" s="417"/>
      <c r="R152" s="417"/>
      <c r="S152" s="417"/>
      <c r="T152" s="417"/>
      <c r="U152" s="417"/>
      <c r="V152" s="417"/>
      <c r="W152" s="417"/>
      <c r="X152" s="417"/>
      <c r="Y152" s="417"/>
    </row>
    <row r="153" spans="6:25" ht="16.5" customHeight="1">
      <c r="F153" s="417"/>
      <c r="G153" s="417"/>
      <c r="H153" s="417"/>
      <c r="I153" s="417"/>
      <c r="J153" s="417"/>
      <c r="K153" s="417"/>
      <c r="L153" s="417"/>
      <c r="M153" s="417"/>
      <c r="N153" s="417"/>
      <c r="O153" s="417"/>
      <c r="P153" s="417"/>
      <c r="Q153" s="417"/>
      <c r="R153" s="417"/>
      <c r="S153" s="417"/>
      <c r="T153" s="417"/>
      <c r="U153" s="417"/>
      <c r="V153" s="417"/>
      <c r="W153" s="417"/>
      <c r="X153" s="417"/>
      <c r="Y153" s="417"/>
    </row>
    <row r="154" spans="6:25" ht="16.5" customHeight="1">
      <c r="F154" s="417"/>
      <c r="G154" s="417"/>
      <c r="H154" s="417"/>
      <c r="I154" s="417"/>
      <c r="J154" s="417"/>
      <c r="K154" s="417"/>
      <c r="L154" s="417"/>
      <c r="M154" s="417"/>
      <c r="N154" s="417"/>
      <c r="O154" s="417"/>
      <c r="P154" s="417"/>
      <c r="Q154" s="417"/>
      <c r="R154" s="417"/>
      <c r="S154" s="417"/>
      <c r="T154" s="417"/>
      <c r="U154" s="417"/>
      <c r="V154" s="417"/>
      <c r="W154" s="417"/>
      <c r="X154" s="417"/>
      <c r="Y154" s="417"/>
    </row>
    <row r="155" spans="6:25" ht="16.5" customHeight="1">
      <c r="F155" s="417"/>
      <c r="G155" s="417"/>
      <c r="H155" s="417"/>
      <c r="I155" s="417"/>
      <c r="J155" s="417"/>
      <c r="K155" s="417"/>
      <c r="L155" s="417"/>
      <c r="M155" s="417"/>
      <c r="N155" s="417"/>
      <c r="O155" s="417"/>
      <c r="P155" s="417"/>
      <c r="Q155" s="417"/>
      <c r="R155" s="417"/>
      <c r="S155" s="417"/>
      <c r="T155" s="417"/>
      <c r="U155" s="417"/>
      <c r="V155" s="417"/>
      <c r="W155" s="417"/>
      <c r="X155" s="417"/>
      <c r="Y155" s="417"/>
    </row>
    <row r="156" spans="6:25" ht="16.5" customHeight="1">
      <c r="F156" s="417"/>
      <c r="G156" s="417"/>
      <c r="H156" s="417"/>
      <c r="I156" s="417"/>
      <c r="J156" s="417"/>
      <c r="K156" s="417"/>
      <c r="L156" s="417"/>
      <c r="M156" s="417"/>
      <c r="N156" s="417"/>
      <c r="O156" s="417"/>
      <c r="P156" s="417"/>
      <c r="Q156" s="417"/>
      <c r="R156" s="417"/>
      <c r="S156" s="417"/>
      <c r="T156" s="417"/>
      <c r="U156" s="417"/>
      <c r="V156" s="417"/>
      <c r="W156" s="417"/>
      <c r="X156" s="417"/>
      <c r="Y156" s="417"/>
    </row>
    <row r="157" spans="6:25" ht="16.5" customHeight="1">
      <c r="F157" s="417"/>
      <c r="G157" s="417"/>
      <c r="H157" s="417"/>
      <c r="I157" s="417"/>
      <c r="J157" s="417"/>
      <c r="K157" s="417"/>
      <c r="L157" s="417"/>
      <c r="M157" s="417"/>
      <c r="N157" s="417"/>
      <c r="O157" s="417"/>
      <c r="P157" s="417"/>
      <c r="Q157" s="417"/>
      <c r="R157" s="417"/>
      <c r="S157" s="417"/>
      <c r="T157" s="417"/>
      <c r="U157" s="417"/>
      <c r="V157" s="417"/>
      <c r="W157" s="417"/>
      <c r="X157" s="417"/>
      <c r="Y157" s="417"/>
    </row>
    <row r="158" spans="6:25" ht="16.5" customHeight="1">
      <c r="F158" s="417"/>
      <c r="G158" s="417"/>
      <c r="H158" s="417"/>
      <c r="I158" s="417"/>
      <c r="J158" s="417"/>
      <c r="K158" s="417"/>
      <c r="L158" s="417"/>
      <c r="M158" s="417"/>
      <c r="N158" s="417"/>
      <c r="O158" s="417"/>
      <c r="P158" s="417"/>
      <c r="Q158" s="417"/>
      <c r="R158" s="417"/>
      <c r="S158" s="417"/>
      <c r="T158" s="417"/>
      <c r="U158" s="417"/>
      <c r="V158" s="417"/>
      <c r="W158" s="417"/>
      <c r="X158" s="417"/>
      <c r="Y158" s="417"/>
    </row>
    <row r="159" spans="6:25" ht="16.5" customHeight="1">
      <c r="F159" s="417"/>
      <c r="G159" s="417"/>
      <c r="H159" s="417"/>
      <c r="I159" s="417"/>
      <c r="J159" s="417"/>
      <c r="K159" s="417"/>
      <c r="L159" s="417"/>
      <c r="M159" s="417"/>
      <c r="N159" s="417"/>
      <c r="O159" s="417"/>
      <c r="P159" s="417"/>
      <c r="Q159" s="417"/>
      <c r="R159" s="417"/>
      <c r="S159" s="417"/>
      <c r="T159" s="417"/>
      <c r="U159" s="417"/>
      <c r="V159" s="417"/>
      <c r="W159" s="417"/>
      <c r="X159" s="417"/>
      <c r="Y159" s="417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4"/>
  <headerFooter alignWithMargins="0">
    <oddFooter>&amp;L&amp;"Times New Roman,Normal"&amp;8&amp;F-&amp;A</oddFooter>
  </headerFooter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Y159"/>
  <sheetViews>
    <sheetView zoomScale="70" zoomScaleNormal="70" zoomScalePageLayoutView="0" workbookViewId="0" topLeftCell="A1">
      <selection activeCell="N51" sqref="N51"/>
    </sheetView>
  </sheetViews>
  <sheetFormatPr defaultColWidth="11.421875" defaultRowHeight="16.5" customHeight="1"/>
  <cols>
    <col min="1" max="2" width="4.140625" style="9" customWidth="1"/>
    <col min="3" max="3" width="5.421875" style="9" customWidth="1"/>
    <col min="4" max="5" width="13.57421875" style="9" customWidth="1"/>
    <col min="6" max="6" width="30.7109375" style="9" customWidth="1"/>
    <col min="7" max="7" width="40.7109375" style="9" customWidth="1"/>
    <col min="8" max="8" width="9.7109375" style="9" customWidth="1"/>
    <col min="9" max="9" width="5.7109375" style="9" hidden="1" customWidth="1"/>
    <col min="10" max="11" width="15.7109375" style="9" customWidth="1"/>
    <col min="12" max="14" width="9.7109375" style="9" customWidth="1"/>
    <col min="15" max="15" width="6.421875" style="9" customWidth="1"/>
    <col min="16" max="16" width="4.00390625" style="9" hidden="1" customWidth="1"/>
    <col min="17" max="17" width="12.8515625" style="9" hidden="1" customWidth="1"/>
    <col min="18" max="19" width="6.00390625" style="9" hidden="1" customWidth="1"/>
    <col min="20" max="20" width="11.7109375" style="9" hidden="1" customWidth="1"/>
    <col min="21" max="21" width="9.7109375" style="9" customWidth="1"/>
    <col min="22" max="22" width="15.7109375" style="9" customWidth="1"/>
    <col min="23" max="23" width="4.140625" style="9" customWidth="1"/>
    <col min="24" max="16384" width="11.421875" style="9" customWidth="1"/>
  </cols>
  <sheetData>
    <row r="1" s="3" customFormat="1" ht="26.25">
      <c r="W1" s="5"/>
    </row>
    <row r="2" spans="1:23" s="3" customFormat="1" ht="26.25">
      <c r="A2" s="88"/>
      <c r="B2" s="2" t="str">
        <f>+'TOT-0912'!B2</f>
        <v>ANEXO IV al Memorándum  D.T.E.E.  N° 295 / 2014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8" customFormat="1" ht="12.75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23" s="8" customFormat="1" ht="13.5" thickTop="1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460"/>
    </row>
    <row r="8" spans="2:23" s="18" customFormat="1" ht="20.25">
      <c r="B8" s="95"/>
      <c r="C8" s="23"/>
      <c r="D8" s="23"/>
      <c r="E8" s="23"/>
      <c r="F8" s="461" t="s">
        <v>23</v>
      </c>
      <c r="N8" s="287"/>
      <c r="O8" s="287"/>
      <c r="P8" s="289"/>
      <c r="Q8" s="23"/>
      <c r="R8" s="23"/>
      <c r="S8" s="23"/>
      <c r="T8" s="23"/>
      <c r="U8" s="23"/>
      <c r="V8" s="23"/>
      <c r="W8" s="462"/>
    </row>
    <row r="9" spans="2:23" s="8" customFormat="1" ht="12.75">
      <c r="B9" s="55"/>
      <c r="C9" s="11"/>
      <c r="D9" s="11"/>
      <c r="E9" s="11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11"/>
      <c r="R9" s="11"/>
      <c r="S9" s="11"/>
      <c r="T9" s="11"/>
      <c r="U9" s="11"/>
      <c r="V9" s="11"/>
      <c r="W9" s="60"/>
    </row>
    <row r="10" spans="2:23" s="18" customFormat="1" ht="20.25">
      <c r="B10" s="95"/>
      <c r="C10" s="23"/>
      <c r="D10" s="23"/>
      <c r="E10" s="23"/>
      <c r="F10" s="463" t="s">
        <v>65</v>
      </c>
      <c r="G10" s="464"/>
      <c r="H10" s="287"/>
      <c r="I10" s="465"/>
      <c r="K10" s="465"/>
      <c r="L10" s="465"/>
      <c r="M10" s="465"/>
      <c r="N10" s="465"/>
      <c r="O10" s="465"/>
      <c r="P10" s="465"/>
      <c r="Q10" s="23"/>
      <c r="R10" s="23"/>
      <c r="S10" s="23"/>
      <c r="T10" s="23"/>
      <c r="U10" s="23"/>
      <c r="V10" s="23"/>
      <c r="W10" s="462"/>
    </row>
    <row r="11" spans="2:23" s="8" customFormat="1" ht="13.5">
      <c r="B11" s="55"/>
      <c r="C11" s="11"/>
      <c r="D11" s="11"/>
      <c r="E11" s="11"/>
      <c r="F11" s="466"/>
      <c r="G11" s="466"/>
      <c r="H11" s="89"/>
      <c r="I11" s="467"/>
      <c r="J11" s="67"/>
      <c r="K11" s="467"/>
      <c r="L11" s="467"/>
      <c r="M11" s="467"/>
      <c r="N11" s="467"/>
      <c r="O11" s="467"/>
      <c r="P11" s="467"/>
      <c r="Q11" s="11"/>
      <c r="R11" s="11"/>
      <c r="S11" s="11"/>
      <c r="T11" s="11"/>
      <c r="U11" s="11"/>
      <c r="V11" s="11"/>
      <c r="W11" s="60"/>
    </row>
    <row r="12" spans="2:23" s="18" customFormat="1" ht="20.25">
      <c r="B12" s="95"/>
      <c r="C12" s="23"/>
      <c r="D12" s="23"/>
      <c r="E12" s="23"/>
      <c r="F12" s="463" t="s">
        <v>66</v>
      </c>
      <c r="G12" s="464"/>
      <c r="H12" s="287"/>
      <c r="I12" s="465"/>
      <c r="K12" s="465"/>
      <c r="L12" s="465"/>
      <c r="M12" s="465"/>
      <c r="N12" s="465"/>
      <c r="O12" s="465"/>
      <c r="P12" s="465"/>
      <c r="Q12" s="23"/>
      <c r="R12" s="23"/>
      <c r="S12" s="23"/>
      <c r="T12" s="23"/>
      <c r="U12" s="23"/>
      <c r="V12" s="23"/>
      <c r="W12" s="462"/>
    </row>
    <row r="13" spans="2:23" s="8" customFormat="1" ht="13.5">
      <c r="B13" s="55"/>
      <c r="C13" s="11"/>
      <c r="D13" s="11"/>
      <c r="E13" s="11"/>
      <c r="F13" s="466"/>
      <c r="G13" s="466"/>
      <c r="H13" s="89"/>
      <c r="I13" s="467"/>
      <c r="J13" s="67"/>
      <c r="K13" s="467"/>
      <c r="L13" s="467"/>
      <c r="M13" s="467"/>
      <c r="N13" s="467"/>
      <c r="O13" s="467"/>
      <c r="P13" s="467"/>
      <c r="Q13" s="11"/>
      <c r="R13" s="11"/>
      <c r="S13" s="11"/>
      <c r="T13" s="11"/>
      <c r="U13" s="11"/>
      <c r="V13" s="11"/>
      <c r="W13" s="60"/>
    </row>
    <row r="14" spans="2:23" s="8" customFormat="1" ht="19.5">
      <c r="B14" s="35" t="str">
        <f>'TOT-0912'!B14</f>
        <v>Desde el 01 al 30 de septiembre de 2012</v>
      </c>
      <c r="C14" s="39"/>
      <c r="D14" s="39"/>
      <c r="E14" s="39"/>
      <c r="F14" s="39"/>
      <c r="G14" s="39"/>
      <c r="H14" s="39"/>
      <c r="I14" s="468"/>
      <c r="J14" s="468"/>
      <c r="K14" s="468"/>
      <c r="L14" s="468"/>
      <c r="M14" s="468"/>
      <c r="N14" s="468"/>
      <c r="O14" s="468"/>
      <c r="P14" s="468"/>
      <c r="Q14" s="39"/>
      <c r="R14" s="39"/>
      <c r="S14" s="39"/>
      <c r="T14" s="39"/>
      <c r="U14" s="39"/>
      <c r="V14" s="39"/>
      <c r="W14" s="469"/>
    </row>
    <row r="15" spans="2:23" s="8" customFormat="1" ht="14.25" thickBot="1">
      <c r="B15" s="470"/>
      <c r="C15" s="471"/>
      <c r="D15" s="471"/>
      <c r="E15" s="471"/>
      <c r="F15" s="471"/>
      <c r="G15" s="471"/>
      <c r="H15" s="471"/>
      <c r="I15" s="472"/>
      <c r="J15" s="472"/>
      <c r="K15" s="472"/>
      <c r="L15" s="472"/>
      <c r="M15" s="472"/>
      <c r="N15" s="472"/>
      <c r="O15" s="472"/>
      <c r="P15" s="472"/>
      <c r="Q15" s="471"/>
      <c r="R15" s="471"/>
      <c r="S15" s="471"/>
      <c r="T15" s="471"/>
      <c r="U15" s="471"/>
      <c r="V15" s="471"/>
      <c r="W15" s="473"/>
    </row>
    <row r="16" spans="2:23" s="8" customFormat="1" ht="15" thickBot="1" thickTop="1">
      <c r="B16" s="55"/>
      <c r="C16" s="11"/>
      <c r="D16" s="11"/>
      <c r="E16" s="11"/>
      <c r="F16" s="474"/>
      <c r="G16" s="474"/>
      <c r="H16" s="475" t="s">
        <v>67</v>
      </c>
      <c r="I16" s="11"/>
      <c r="J16" s="6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60"/>
    </row>
    <row r="17" spans="2:23" s="8" customFormat="1" ht="16.5" customHeight="1" thickBot="1" thickTop="1">
      <c r="B17" s="55"/>
      <c r="C17" s="11"/>
      <c r="D17" s="11"/>
      <c r="E17" s="11"/>
      <c r="F17" s="476" t="s">
        <v>68</v>
      </c>
      <c r="G17" s="477">
        <v>138.215</v>
      </c>
      <c r="H17" s="478">
        <v>200</v>
      </c>
      <c r="V17" s="109"/>
      <c r="W17" s="60"/>
    </row>
    <row r="18" spans="2:23" s="8" customFormat="1" ht="16.5" customHeight="1" thickBot="1" thickTop="1">
      <c r="B18" s="55"/>
      <c r="C18" s="11"/>
      <c r="D18" s="11"/>
      <c r="E18" s="11"/>
      <c r="F18" s="479" t="s">
        <v>69</v>
      </c>
      <c r="G18" s="480">
        <v>124.376</v>
      </c>
      <c r="H18" s="478">
        <v>100</v>
      </c>
      <c r="O18" s="11"/>
      <c r="P18" s="11"/>
      <c r="Q18" s="11"/>
      <c r="R18" s="11"/>
      <c r="S18" s="11"/>
      <c r="T18" s="11"/>
      <c r="U18" s="11"/>
      <c r="V18" s="11"/>
      <c r="W18" s="60"/>
    </row>
    <row r="19" spans="2:23" s="8" customFormat="1" ht="16.5" customHeight="1" thickBot="1" thickTop="1">
      <c r="B19" s="55"/>
      <c r="C19" s="11"/>
      <c r="D19" s="11"/>
      <c r="E19" s="11"/>
      <c r="F19" s="481" t="s">
        <v>70</v>
      </c>
      <c r="G19" s="480">
        <v>110.573</v>
      </c>
      <c r="H19" s="478">
        <v>40</v>
      </c>
      <c r="K19" s="107"/>
      <c r="L19" s="108"/>
      <c r="M19" s="11"/>
      <c r="O19" s="11"/>
      <c r="Q19" s="11"/>
      <c r="R19" s="11"/>
      <c r="S19" s="11"/>
      <c r="T19" s="11"/>
      <c r="U19" s="11"/>
      <c r="V19" s="11"/>
      <c r="W19" s="60"/>
    </row>
    <row r="20" spans="2:23" s="8" customFormat="1" ht="16.5" customHeight="1" thickBot="1" thickTop="1">
      <c r="B20" s="55"/>
      <c r="C20" s="110">
        <v>3</v>
      </c>
      <c r="D20" s="110">
        <v>4</v>
      </c>
      <c r="E20" s="110">
        <v>5</v>
      </c>
      <c r="F20" s="110">
        <v>6</v>
      </c>
      <c r="G20" s="110">
        <v>7</v>
      </c>
      <c r="H20" s="110">
        <v>8</v>
      </c>
      <c r="I20" s="110">
        <v>9</v>
      </c>
      <c r="J20" s="110">
        <v>10</v>
      </c>
      <c r="K20" s="110">
        <v>11</v>
      </c>
      <c r="L20" s="110">
        <v>12</v>
      </c>
      <c r="M20" s="110">
        <v>13</v>
      </c>
      <c r="N20" s="110">
        <v>14</v>
      </c>
      <c r="O20" s="110">
        <v>15</v>
      </c>
      <c r="P20" s="110">
        <v>16</v>
      </c>
      <c r="Q20" s="110">
        <v>17</v>
      </c>
      <c r="R20" s="110">
        <v>18</v>
      </c>
      <c r="S20" s="110">
        <v>19</v>
      </c>
      <c r="T20" s="110">
        <v>20</v>
      </c>
      <c r="U20" s="110">
        <v>21</v>
      </c>
      <c r="V20" s="110">
        <v>22</v>
      </c>
      <c r="W20" s="60"/>
    </row>
    <row r="21" spans="2:23" s="8" customFormat="1" ht="33.75" customHeight="1" thickBot="1" thickTop="1">
      <c r="B21" s="55"/>
      <c r="C21" s="321" t="s">
        <v>28</v>
      </c>
      <c r="D21" s="111" t="s">
        <v>29</v>
      </c>
      <c r="E21" s="111" t="s">
        <v>30</v>
      </c>
      <c r="F21" s="114" t="s">
        <v>58</v>
      </c>
      <c r="G21" s="482" t="s">
        <v>59</v>
      </c>
      <c r="H21" s="483" t="s">
        <v>31</v>
      </c>
      <c r="I21" s="326" t="s">
        <v>35</v>
      </c>
      <c r="J21" s="112" t="s">
        <v>36</v>
      </c>
      <c r="K21" s="482" t="s">
        <v>37</v>
      </c>
      <c r="L21" s="484" t="s">
        <v>38</v>
      </c>
      <c r="M21" s="484" t="s">
        <v>39</v>
      </c>
      <c r="N21" s="119" t="s">
        <v>254</v>
      </c>
      <c r="O21" s="118" t="s">
        <v>42</v>
      </c>
      <c r="P21" s="485" t="s">
        <v>34</v>
      </c>
      <c r="Q21" s="486" t="s">
        <v>71</v>
      </c>
      <c r="R21" s="487" t="s">
        <v>72</v>
      </c>
      <c r="S21" s="488"/>
      <c r="T21" s="489" t="s">
        <v>47</v>
      </c>
      <c r="U21" s="130" t="s">
        <v>49</v>
      </c>
      <c r="V21" s="325" t="s">
        <v>50</v>
      </c>
      <c r="W21" s="60"/>
    </row>
    <row r="22" spans="2:23" s="8" customFormat="1" ht="16.5" customHeight="1" thickTop="1">
      <c r="B22" s="55"/>
      <c r="C22" s="335"/>
      <c r="D22" s="335"/>
      <c r="E22" s="335"/>
      <c r="F22" s="490"/>
      <c r="G22" s="490"/>
      <c r="H22" s="490"/>
      <c r="I22" s="273"/>
      <c r="J22" s="490"/>
      <c r="K22" s="490"/>
      <c r="L22" s="490"/>
      <c r="M22" s="490"/>
      <c r="N22" s="490"/>
      <c r="O22" s="490"/>
      <c r="P22" s="491"/>
      <c r="Q22" s="492"/>
      <c r="R22" s="493"/>
      <c r="S22" s="494"/>
      <c r="T22" s="495"/>
      <c r="U22" s="490"/>
      <c r="V22" s="496">
        <f>'SA-09 (1)'!V45</f>
        <v>141219.49</v>
      </c>
      <c r="W22" s="60"/>
    </row>
    <row r="23" spans="2:23" s="8" customFormat="1" ht="16.5" customHeight="1">
      <c r="B23" s="55"/>
      <c r="C23" s="150"/>
      <c r="D23" s="150"/>
      <c r="E23" s="150"/>
      <c r="F23" s="497"/>
      <c r="G23" s="497"/>
      <c r="H23" s="497"/>
      <c r="I23" s="498"/>
      <c r="J23" s="497"/>
      <c r="K23" s="497"/>
      <c r="L23" s="497"/>
      <c r="M23" s="497"/>
      <c r="N23" s="497"/>
      <c r="O23" s="497"/>
      <c r="P23" s="499"/>
      <c r="Q23" s="500"/>
      <c r="R23" s="501"/>
      <c r="S23" s="502"/>
      <c r="T23" s="503"/>
      <c r="U23" s="497"/>
      <c r="V23" s="504"/>
      <c r="W23" s="60"/>
    </row>
    <row r="24" spans="2:23" s="8" customFormat="1" ht="16.5" customHeight="1">
      <c r="B24" s="55"/>
      <c r="C24" s="150">
        <v>78</v>
      </c>
      <c r="D24" s="150">
        <v>251620</v>
      </c>
      <c r="E24" s="169">
        <v>3804</v>
      </c>
      <c r="F24" s="505" t="s">
        <v>277</v>
      </c>
      <c r="G24" s="505" t="s">
        <v>298</v>
      </c>
      <c r="H24" s="506">
        <v>132</v>
      </c>
      <c r="I24" s="507">
        <f aca="true" t="shared" si="0" ref="I24:I43">IF(H24=500,$G$17,IF(H24=220,$G$18,$G$19))</f>
        <v>110.573</v>
      </c>
      <c r="J24" s="508">
        <v>41166.36875</v>
      </c>
      <c r="K24" s="509">
        <v>41166.697222222225</v>
      </c>
      <c r="L24" s="510">
        <f aca="true" t="shared" si="1" ref="L24:L43">IF(F24="","",(K24-J24)*24)</f>
        <v>7.883333333360497</v>
      </c>
      <c r="M24" s="511">
        <f aca="true" t="shared" si="2" ref="M24:M43">IF(F24="","",ROUND((K24-J24)*24*60,0))</f>
        <v>473</v>
      </c>
      <c r="N24" s="178" t="s">
        <v>259</v>
      </c>
      <c r="O24" s="180" t="str">
        <f aca="true" t="shared" si="3" ref="O24:O43">IF(F24="","",IF(N24="P","--","NO"))</f>
        <v>--</v>
      </c>
      <c r="P24" s="512">
        <f aca="true" t="shared" si="4" ref="P24:P43">IF(H24=500,$H$17,IF(H24=220,$H$18,$H$19))</f>
        <v>40</v>
      </c>
      <c r="Q24" s="513">
        <f aca="true" t="shared" si="5" ref="Q24:Q43">IF(N24="P",I24*P24*ROUND(M24/60,2)*0.1,"--")</f>
        <v>3485.2609600000005</v>
      </c>
      <c r="R24" s="501" t="str">
        <f aca="true" t="shared" si="6" ref="R24:R43">IF(AND(N24="F",O24="NO"),I24*P24,"--")</f>
        <v>--</v>
      </c>
      <c r="S24" s="502" t="str">
        <f aca="true" t="shared" si="7" ref="S24:S43">IF(N24="F",I24*P24*ROUND(M24/60,2),"--")</f>
        <v>--</v>
      </c>
      <c r="T24" s="503" t="str">
        <f aca="true" t="shared" si="8" ref="T24:T43">IF(N24="RF",I24*P24*ROUND(M24/60,2),"--")</f>
        <v>--</v>
      </c>
      <c r="U24" s="180" t="s">
        <v>79</v>
      </c>
      <c r="V24" s="514">
        <f aca="true" t="shared" si="9" ref="V24:V42">IF(F24="","",SUM(Q24:T24)*IF(U24="SI",1,2))</f>
        <v>3485.2609600000005</v>
      </c>
      <c r="W24" s="60"/>
    </row>
    <row r="25" spans="2:23" s="8" customFormat="1" ht="16.5" customHeight="1">
      <c r="B25" s="55"/>
      <c r="C25" s="150">
        <v>79</v>
      </c>
      <c r="D25" s="150">
        <v>251621</v>
      </c>
      <c r="E25" s="150">
        <v>3805</v>
      </c>
      <c r="F25" s="505" t="s">
        <v>277</v>
      </c>
      <c r="G25" s="505" t="s">
        <v>299</v>
      </c>
      <c r="H25" s="506">
        <v>132</v>
      </c>
      <c r="I25" s="507">
        <f t="shared" si="0"/>
        <v>110.573</v>
      </c>
      <c r="J25" s="508">
        <v>41166.36875</v>
      </c>
      <c r="K25" s="509">
        <v>41166.697916666664</v>
      </c>
      <c r="L25" s="510">
        <f t="shared" si="1"/>
        <v>7.899999999906868</v>
      </c>
      <c r="M25" s="511">
        <f t="shared" si="2"/>
        <v>474</v>
      </c>
      <c r="N25" s="178" t="s">
        <v>259</v>
      </c>
      <c r="O25" s="180" t="str">
        <f t="shared" si="3"/>
        <v>--</v>
      </c>
      <c r="P25" s="512">
        <f t="shared" si="4"/>
        <v>40</v>
      </c>
      <c r="Q25" s="513">
        <f t="shared" si="5"/>
        <v>3494.1068</v>
      </c>
      <c r="R25" s="501" t="str">
        <f t="shared" si="6"/>
        <v>--</v>
      </c>
      <c r="S25" s="502" t="str">
        <f t="shared" si="7"/>
        <v>--</v>
      </c>
      <c r="T25" s="503" t="str">
        <f t="shared" si="8"/>
        <v>--</v>
      </c>
      <c r="U25" s="180" t="s">
        <v>79</v>
      </c>
      <c r="V25" s="514">
        <f t="shared" si="9"/>
        <v>3494.1068</v>
      </c>
      <c r="W25" s="60"/>
    </row>
    <row r="26" spans="2:23" s="8" customFormat="1" ht="16.5" customHeight="1">
      <c r="B26" s="55"/>
      <c r="C26" s="150">
        <v>80</v>
      </c>
      <c r="D26" s="150">
        <v>251623</v>
      </c>
      <c r="E26" s="169">
        <v>141</v>
      </c>
      <c r="F26" s="505" t="s">
        <v>280</v>
      </c>
      <c r="G26" s="505" t="s">
        <v>302</v>
      </c>
      <c r="H26" s="506">
        <v>132</v>
      </c>
      <c r="I26" s="507">
        <f t="shared" si="0"/>
        <v>110.573</v>
      </c>
      <c r="J26" s="508">
        <v>41166.37222222222</v>
      </c>
      <c r="K26" s="509">
        <v>41166.50069444445</v>
      </c>
      <c r="L26" s="510">
        <f t="shared" si="1"/>
        <v>3.083333333430346</v>
      </c>
      <c r="M26" s="511">
        <f t="shared" si="2"/>
        <v>185</v>
      </c>
      <c r="N26" s="178" t="s">
        <v>259</v>
      </c>
      <c r="O26" s="180" t="str">
        <f t="shared" si="3"/>
        <v>--</v>
      </c>
      <c r="P26" s="512">
        <f t="shared" si="4"/>
        <v>40</v>
      </c>
      <c r="Q26" s="513">
        <f t="shared" si="5"/>
        <v>1362.25936</v>
      </c>
      <c r="R26" s="501" t="str">
        <f t="shared" si="6"/>
        <v>--</v>
      </c>
      <c r="S26" s="502" t="str">
        <f t="shared" si="7"/>
        <v>--</v>
      </c>
      <c r="T26" s="503" t="str">
        <f t="shared" si="8"/>
        <v>--</v>
      </c>
      <c r="U26" s="180" t="s">
        <v>79</v>
      </c>
      <c r="V26" s="514">
        <v>0</v>
      </c>
      <c r="W26" s="60"/>
    </row>
    <row r="27" spans="2:23" s="8" customFormat="1" ht="16.5" customHeight="1">
      <c r="B27" s="55"/>
      <c r="C27" s="150">
        <v>81</v>
      </c>
      <c r="D27" s="150">
        <v>251624</v>
      </c>
      <c r="E27" s="150">
        <v>143</v>
      </c>
      <c r="F27" s="505" t="s">
        <v>280</v>
      </c>
      <c r="G27" s="505" t="s">
        <v>301</v>
      </c>
      <c r="H27" s="506">
        <v>132</v>
      </c>
      <c r="I27" s="507">
        <f t="shared" si="0"/>
        <v>110.573</v>
      </c>
      <c r="J27" s="508">
        <v>41166.38402777778</v>
      </c>
      <c r="K27" s="509">
        <v>41166.709027777775</v>
      </c>
      <c r="L27" s="510">
        <f t="shared" si="1"/>
        <v>7.799999999930151</v>
      </c>
      <c r="M27" s="511">
        <f t="shared" si="2"/>
        <v>468</v>
      </c>
      <c r="N27" s="178" t="s">
        <v>259</v>
      </c>
      <c r="O27" s="180" t="str">
        <f t="shared" si="3"/>
        <v>--</v>
      </c>
      <c r="P27" s="512">
        <f t="shared" si="4"/>
        <v>40</v>
      </c>
      <c r="Q27" s="513">
        <f t="shared" si="5"/>
        <v>3449.8776</v>
      </c>
      <c r="R27" s="501" t="str">
        <f t="shared" si="6"/>
        <v>--</v>
      </c>
      <c r="S27" s="502" t="str">
        <f t="shared" si="7"/>
        <v>--</v>
      </c>
      <c r="T27" s="503" t="str">
        <f t="shared" si="8"/>
        <v>--</v>
      </c>
      <c r="U27" s="180" t="s">
        <v>79</v>
      </c>
      <c r="V27" s="514">
        <f t="shared" si="9"/>
        <v>3449.8776</v>
      </c>
      <c r="W27" s="60"/>
    </row>
    <row r="28" spans="2:23" s="8" customFormat="1" ht="16.5" customHeight="1">
      <c r="B28" s="55"/>
      <c r="C28" s="150">
        <v>82</v>
      </c>
      <c r="D28" s="150">
        <v>251629</v>
      </c>
      <c r="E28" s="169">
        <v>3266</v>
      </c>
      <c r="F28" s="505" t="s">
        <v>303</v>
      </c>
      <c r="G28" s="505" t="s">
        <v>304</v>
      </c>
      <c r="H28" s="506">
        <v>132</v>
      </c>
      <c r="I28" s="507">
        <f t="shared" si="0"/>
        <v>110.573</v>
      </c>
      <c r="J28" s="508">
        <v>41167.35763888889</v>
      </c>
      <c r="K28" s="509">
        <v>41167.71944444445</v>
      </c>
      <c r="L28" s="510">
        <f t="shared" si="1"/>
        <v>8.683333333348855</v>
      </c>
      <c r="M28" s="511">
        <f t="shared" si="2"/>
        <v>521</v>
      </c>
      <c r="N28" s="178" t="s">
        <v>259</v>
      </c>
      <c r="O28" s="180" t="str">
        <f t="shared" si="3"/>
        <v>--</v>
      </c>
      <c r="P28" s="512">
        <f t="shared" si="4"/>
        <v>40</v>
      </c>
      <c r="Q28" s="513">
        <f t="shared" si="5"/>
        <v>3839.09456</v>
      </c>
      <c r="R28" s="501" t="str">
        <f t="shared" si="6"/>
        <v>--</v>
      </c>
      <c r="S28" s="502" t="str">
        <f t="shared" si="7"/>
        <v>--</v>
      </c>
      <c r="T28" s="503" t="str">
        <f t="shared" si="8"/>
        <v>--</v>
      </c>
      <c r="U28" s="180" t="s">
        <v>79</v>
      </c>
      <c r="V28" s="514">
        <f t="shared" si="9"/>
        <v>3839.09456</v>
      </c>
      <c r="W28" s="60"/>
    </row>
    <row r="29" spans="2:23" s="8" customFormat="1" ht="16.5" customHeight="1">
      <c r="B29" s="55"/>
      <c r="C29" s="150">
        <v>83</v>
      </c>
      <c r="D29" s="150">
        <v>251631</v>
      </c>
      <c r="E29" s="150">
        <v>3663</v>
      </c>
      <c r="F29" s="505" t="s">
        <v>305</v>
      </c>
      <c r="G29" s="505" t="s">
        <v>306</v>
      </c>
      <c r="H29" s="506">
        <v>132</v>
      </c>
      <c r="I29" s="507">
        <f t="shared" si="0"/>
        <v>110.573</v>
      </c>
      <c r="J29" s="508">
        <v>41168.34652777778</v>
      </c>
      <c r="K29" s="509">
        <v>41168.73888888889</v>
      </c>
      <c r="L29" s="510">
        <f t="shared" si="1"/>
        <v>9.416666666627862</v>
      </c>
      <c r="M29" s="511">
        <f t="shared" si="2"/>
        <v>565</v>
      </c>
      <c r="N29" s="178" t="s">
        <v>259</v>
      </c>
      <c r="O29" s="180" t="str">
        <f t="shared" si="3"/>
        <v>--</v>
      </c>
      <c r="P29" s="512">
        <f t="shared" si="4"/>
        <v>40</v>
      </c>
      <c r="Q29" s="513">
        <f t="shared" si="5"/>
        <v>4166.3906400000005</v>
      </c>
      <c r="R29" s="501" t="str">
        <f t="shared" si="6"/>
        <v>--</v>
      </c>
      <c r="S29" s="502" t="str">
        <f t="shared" si="7"/>
        <v>--</v>
      </c>
      <c r="T29" s="503" t="str">
        <f t="shared" si="8"/>
        <v>--</v>
      </c>
      <c r="U29" s="180" t="s">
        <v>79</v>
      </c>
      <c r="V29" s="514">
        <f t="shared" si="9"/>
        <v>4166.3906400000005</v>
      </c>
      <c r="W29" s="60"/>
    </row>
    <row r="30" spans="2:23" s="8" customFormat="1" ht="16.5" customHeight="1">
      <c r="B30" s="55"/>
      <c r="C30" s="150">
        <v>84</v>
      </c>
      <c r="D30" s="150">
        <v>251634</v>
      </c>
      <c r="E30" s="169">
        <v>3267</v>
      </c>
      <c r="F30" s="505" t="s">
        <v>303</v>
      </c>
      <c r="G30" s="505" t="s">
        <v>307</v>
      </c>
      <c r="H30" s="506">
        <v>132</v>
      </c>
      <c r="I30" s="507">
        <f t="shared" si="0"/>
        <v>110.573</v>
      </c>
      <c r="J30" s="508">
        <v>41168.361805555556</v>
      </c>
      <c r="K30" s="509">
        <v>41168.6625</v>
      </c>
      <c r="L30" s="510">
        <f t="shared" si="1"/>
        <v>7.21666666661622</v>
      </c>
      <c r="M30" s="511">
        <f t="shared" si="2"/>
        <v>433</v>
      </c>
      <c r="N30" s="178" t="s">
        <v>259</v>
      </c>
      <c r="O30" s="180" t="str">
        <f t="shared" si="3"/>
        <v>--</v>
      </c>
      <c r="P30" s="512">
        <f t="shared" si="4"/>
        <v>40</v>
      </c>
      <c r="Q30" s="513">
        <f t="shared" si="5"/>
        <v>3193.3482400000003</v>
      </c>
      <c r="R30" s="501" t="str">
        <f t="shared" si="6"/>
        <v>--</v>
      </c>
      <c r="S30" s="502" t="str">
        <f t="shared" si="7"/>
        <v>--</v>
      </c>
      <c r="T30" s="503" t="str">
        <f t="shared" si="8"/>
        <v>--</v>
      </c>
      <c r="U30" s="180" t="s">
        <v>79</v>
      </c>
      <c r="V30" s="514">
        <f t="shared" si="9"/>
        <v>3193.3482400000003</v>
      </c>
      <c r="W30" s="60"/>
    </row>
    <row r="31" spans="2:23" s="8" customFormat="1" ht="16.5" customHeight="1">
      <c r="B31" s="55"/>
      <c r="C31" s="150">
        <v>85</v>
      </c>
      <c r="D31" s="150">
        <v>251635</v>
      </c>
      <c r="E31" s="150">
        <v>3777</v>
      </c>
      <c r="F31" s="505" t="s">
        <v>305</v>
      </c>
      <c r="G31" s="505" t="s">
        <v>308</v>
      </c>
      <c r="H31" s="506">
        <v>132</v>
      </c>
      <c r="I31" s="507">
        <f t="shared" si="0"/>
        <v>110.573</v>
      </c>
      <c r="J31" s="508">
        <v>41168.37777777778</v>
      </c>
      <c r="K31" s="509">
        <v>41168.447222222225</v>
      </c>
      <c r="L31" s="510">
        <f t="shared" si="1"/>
        <v>1.6666666666860692</v>
      </c>
      <c r="M31" s="511">
        <f t="shared" si="2"/>
        <v>100</v>
      </c>
      <c r="N31" s="178" t="s">
        <v>259</v>
      </c>
      <c r="O31" s="180" t="str">
        <f t="shared" si="3"/>
        <v>--</v>
      </c>
      <c r="P31" s="512">
        <f t="shared" si="4"/>
        <v>40</v>
      </c>
      <c r="Q31" s="513">
        <f t="shared" si="5"/>
        <v>738.62764</v>
      </c>
      <c r="R31" s="501" t="str">
        <f t="shared" si="6"/>
        <v>--</v>
      </c>
      <c r="S31" s="502" t="str">
        <f t="shared" si="7"/>
        <v>--</v>
      </c>
      <c r="T31" s="503" t="str">
        <f t="shared" si="8"/>
        <v>--</v>
      </c>
      <c r="U31" s="180" t="s">
        <v>79</v>
      </c>
      <c r="V31" s="514">
        <f t="shared" si="9"/>
        <v>738.62764</v>
      </c>
      <c r="W31" s="60"/>
    </row>
    <row r="32" spans="2:23" s="8" customFormat="1" ht="16.5" customHeight="1">
      <c r="B32" s="55"/>
      <c r="C32" s="150">
        <v>86</v>
      </c>
      <c r="D32" s="150">
        <v>251846</v>
      </c>
      <c r="E32" s="169">
        <v>1598</v>
      </c>
      <c r="F32" s="505" t="s">
        <v>309</v>
      </c>
      <c r="G32" s="505" t="s">
        <v>310</v>
      </c>
      <c r="H32" s="506">
        <v>132</v>
      </c>
      <c r="I32" s="507">
        <f t="shared" si="0"/>
        <v>110.573</v>
      </c>
      <c r="J32" s="508">
        <v>41172.325</v>
      </c>
      <c r="K32" s="509">
        <v>41173.76458333333</v>
      </c>
      <c r="L32" s="510">
        <f t="shared" si="1"/>
        <v>34.54999999998836</v>
      </c>
      <c r="M32" s="511">
        <f t="shared" si="2"/>
        <v>2073</v>
      </c>
      <c r="N32" s="178" t="s">
        <v>259</v>
      </c>
      <c r="O32" s="180" t="str">
        <f t="shared" si="3"/>
        <v>--</v>
      </c>
      <c r="P32" s="512">
        <f t="shared" si="4"/>
        <v>40</v>
      </c>
      <c r="Q32" s="513">
        <f t="shared" si="5"/>
        <v>15281.188600000001</v>
      </c>
      <c r="R32" s="501" t="str">
        <f t="shared" si="6"/>
        <v>--</v>
      </c>
      <c r="S32" s="502" t="str">
        <f t="shared" si="7"/>
        <v>--</v>
      </c>
      <c r="T32" s="503" t="str">
        <f t="shared" si="8"/>
        <v>--</v>
      </c>
      <c r="U32" s="180" t="s">
        <v>79</v>
      </c>
      <c r="V32" s="514">
        <f t="shared" si="9"/>
        <v>15281.188600000001</v>
      </c>
      <c r="W32" s="60"/>
    </row>
    <row r="33" spans="2:23" s="8" customFormat="1" ht="16.5" customHeight="1">
      <c r="B33" s="55"/>
      <c r="C33" s="150">
        <v>87</v>
      </c>
      <c r="D33" s="150">
        <v>251848</v>
      </c>
      <c r="E33" s="150">
        <v>147</v>
      </c>
      <c r="F33" s="505" t="s">
        <v>311</v>
      </c>
      <c r="G33" s="505" t="s">
        <v>312</v>
      </c>
      <c r="H33" s="506">
        <v>132</v>
      </c>
      <c r="I33" s="507">
        <f t="shared" si="0"/>
        <v>110.573</v>
      </c>
      <c r="J33" s="508">
        <v>41172.36736111111</v>
      </c>
      <c r="K33" s="509">
        <v>41172.64375</v>
      </c>
      <c r="L33" s="510">
        <f t="shared" si="1"/>
        <v>6.633333333476912</v>
      </c>
      <c r="M33" s="511">
        <f t="shared" si="2"/>
        <v>398</v>
      </c>
      <c r="N33" s="178" t="s">
        <v>259</v>
      </c>
      <c r="O33" s="180" t="str">
        <f t="shared" si="3"/>
        <v>--</v>
      </c>
      <c r="P33" s="512">
        <f t="shared" si="4"/>
        <v>40</v>
      </c>
      <c r="Q33" s="513">
        <f t="shared" si="5"/>
        <v>2932.39596</v>
      </c>
      <c r="R33" s="501" t="str">
        <f t="shared" si="6"/>
        <v>--</v>
      </c>
      <c r="S33" s="502" t="str">
        <f t="shared" si="7"/>
        <v>--</v>
      </c>
      <c r="T33" s="503" t="str">
        <f t="shared" si="8"/>
        <v>--</v>
      </c>
      <c r="U33" s="180" t="s">
        <v>79</v>
      </c>
      <c r="V33" s="514">
        <v>0</v>
      </c>
      <c r="W33" s="60"/>
    </row>
    <row r="34" spans="2:23" s="8" customFormat="1" ht="16.5" customHeight="1">
      <c r="B34" s="55"/>
      <c r="C34" s="150">
        <v>88</v>
      </c>
      <c r="D34" s="150">
        <v>251855</v>
      </c>
      <c r="E34" s="169">
        <v>97</v>
      </c>
      <c r="F34" s="505" t="s">
        <v>287</v>
      </c>
      <c r="G34" s="505" t="s">
        <v>313</v>
      </c>
      <c r="H34" s="506">
        <v>500</v>
      </c>
      <c r="I34" s="507">
        <f t="shared" si="0"/>
        <v>138.215</v>
      </c>
      <c r="J34" s="508">
        <v>41174.34375</v>
      </c>
      <c r="K34" s="509">
        <v>41174.71527777778</v>
      </c>
      <c r="L34" s="510">
        <f t="shared" si="1"/>
        <v>8.916666666744277</v>
      </c>
      <c r="M34" s="511">
        <f t="shared" si="2"/>
        <v>535</v>
      </c>
      <c r="N34" s="178" t="s">
        <v>259</v>
      </c>
      <c r="O34" s="180" t="str">
        <f t="shared" si="3"/>
        <v>--</v>
      </c>
      <c r="P34" s="512">
        <f t="shared" si="4"/>
        <v>200</v>
      </c>
      <c r="Q34" s="513">
        <f t="shared" si="5"/>
        <v>24657.556</v>
      </c>
      <c r="R34" s="501" t="str">
        <f t="shared" si="6"/>
        <v>--</v>
      </c>
      <c r="S34" s="502" t="str">
        <f t="shared" si="7"/>
        <v>--</v>
      </c>
      <c r="T34" s="503" t="str">
        <f t="shared" si="8"/>
        <v>--</v>
      </c>
      <c r="U34" s="180" t="s">
        <v>79</v>
      </c>
      <c r="V34" s="514">
        <f t="shared" si="9"/>
        <v>24657.556</v>
      </c>
      <c r="W34" s="60"/>
    </row>
    <row r="35" spans="2:23" s="8" customFormat="1" ht="16.5" customHeight="1">
      <c r="B35" s="55"/>
      <c r="C35" s="150">
        <v>89</v>
      </c>
      <c r="D35" s="150">
        <v>251854</v>
      </c>
      <c r="E35" s="150">
        <v>2867</v>
      </c>
      <c r="F35" s="505" t="s">
        <v>291</v>
      </c>
      <c r="G35" s="505" t="s">
        <v>314</v>
      </c>
      <c r="H35" s="506">
        <v>132</v>
      </c>
      <c r="I35" s="507">
        <f t="shared" si="0"/>
        <v>110.573</v>
      </c>
      <c r="J35" s="508">
        <v>41174.37291666667</v>
      </c>
      <c r="K35" s="509">
        <v>41174.58611111111</v>
      </c>
      <c r="L35" s="510">
        <f t="shared" si="1"/>
        <v>5.116666666581295</v>
      </c>
      <c r="M35" s="511">
        <f t="shared" si="2"/>
        <v>307</v>
      </c>
      <c r="N35" s="178" t="s">
        <v>259</v>
      </c>
      <c r="O35" s="180" t="str">
        <f t="shared" si="3"/>
        <v>--</v>
      </c>
      <c r="P35" s="512">
        <f t="shared" si="4"/>
        <v>40</v>
      </c>
      <c r="Q35" s="513">
        <f t="shared" si="5"/>
        <v>2264.53504</v>
      </c>
      <c r="R35" s="501" t="str">
        <f t="shared" si="6"/>
        <v>--</v>
      </c>
      <c r="S35" s="502" t="str">
        <f t="shared" si="7"/>
        <v>--</v>
      </c>
      <c r="T35" s="503" t="str">
        <f t="shared" si="8"/>
        <v>--</v>
      </c>
      <c r="U35" s="180" t="s">
        <v>79</v>
      </c>
      <c r="V35" s="514">
        <v>0</v>
      </c>
      <c r="W35" s="60"/>
    </row>
    <row r="36" spans="2:23" s="8" customFormat="1" ht="16.5" customHeight="1">
      <c r="B36" s="55"/>
      <c r="C36" s="150">
        <v>90</v>
      </c>
      <c r="D36" s="150">
        <v>251860</v>
      </c>
      <c r="E36" s="169">
        <v>97</v>
      </c>
      <c r="F36" s="505" t="s">
        <v>287</v>
      </c>
      <c r="G36" s="505" t="s">
        <v>313</v>
      </c>
      <c r="H36" s="506">
        <v>500</v>
      </c>
      <c r="I36" s="507">
        <f t="shared" si="0"/>
        <v>138.215</v>
      </c>
      <c r="J36" s="508">
        <v>41175.34305555555</v>
      </c>
      <c r="K36" s="509">
        <v>41175.70625</v>
      </c>
      <c r="L36" s="510">
        <f t="shared" si="1"/>
        <v>8.716666666790843</v>
      </c>
      <c r="M36" s="511">
        <f t="shared" si="2"/>
        <v>523</v>
      </c>
      <c r="N36" s="178" t="s">
        <v>259</v>
      </c>
      <c r="O36" s="180" t="str">
        <f t="shared" si="3"/>
        <v>--</v>
      </c>
      <c r="P36" s="512">
        <f t="shared" si="4"/>
        <v>200</v>
      </c>
      <c r="Q36" s="513">
        <f t="shared" si="5"/>
        <v>24104.696000000004</v>
      </c>
      <c r="R36" s="501" t="str">
        <f t="shared" si="6"/>
        <v>--</v>
      </c>
      <c r="S36" s="502" t="str">
        <f t="shared" si="7"/>
        <v>--</v>
      </c>
      <c r="T36" s="503" t="str">
        <f t="shared" si="8"/>
        <v>--</v>
      </c>
      <c r="U36" s="180" t="s">
        <v>79</v>
      </c>
      <c r="V36" s="514">
        <f t="shared" si="9"/>
        <v>24104.696000000004</v>
      </c>
      <c r="W36" s="60"/>
    </row>
    <row r="37" spans="2:23" s="8" customFormat="1" ht="16.5" customHeight="1">
      <c r="B37" s="55"/>
      <c r="C37" s="150">
        <v>91</v>
      </c>
      <c r="D37" s="150">
        <v>252042</v>
      </c>
      <c r="E37" s="150">
        <v>3663</v>
      </c>
      <c r="F37" s="505" t="s">
        <v>305</v>
      </c>
      <c r="G37" s="505" t="s">
        <v>306</v>
      </c>
      <c r="H37" s="506">
        <v>132</v>
      </c>
      <c r="I37" s="507">
        <f t="shared" si="0"/>
        <v>110.573</v>
      </c>
      <c r="J37" s="508">
        <v>41176.33819444444</v>
      </c>
      <c r="K37" s="509">
        <v>41176.586805555555</v>
      </c>
      <c r="L37" s="510">
        <f t="shared" si="1"/>
        <v>5.966666666732635</v>
      </c>
      <c r="M37" s="511">
        <f t="shared" si="2"/>
        <v>358</v>
      </c>
      <c r="N37" s="178" t="s">
        <v>259</v>
      </c>
      <c r="O37" s="180" t="str">
        <f t="shared" si="3"/>
        <v>--</v>
      </c>
      <c r="P37" s="512">
        <f t="shared" si="4"/>
        <v>40</v>
      </c>
      <c r="Q37" s="513">
        <f t="shared" si="5"/>
        <v>2640.48324</v>
      </c>
      <c r="R37" s="501" t="str">
        <f t="shared" si="6"/>
        <v>--</v>
      </c>
      <c r="S37" s="502" t="str">
        <f t="shared" si="7"/>
        <v>--</v>
      </c>
      <c r="T37" s="503" t="str">
        <f t="shared" si="8"/>
        <v>--</v>
      </c>
      <c r="U37" s="180" t="s">
        <v>79</v>
      </c>
      <c r="V37" s="514">
        <f t="shared" si="9"/>
        <v>2640.48324</v>
      </c>
      <c r="W37" s="60"/>
    </row>
    <row r="38" spans="2:23" s="8" customFormat="1" ht="16.5" customHeight="1">
      <c r="B38" s="55"/>
      <c r="C38" s="150">
        <v>92</v>
      </c>
      <c r="D38" s="150">
        <v>252043</v>
      </c>
      <c r="E38" s="169">
        <v>123</v>
      </c>
      <c r="F38" s="505" t="s">
        <v>315</v>
      </c>
      <c r="G38" s="505" t="s">
        <v>316</v>
      </c>
      <c r="H38" s="506">
        <v>500</v>
      </c>
      <c r="I38" s="507">
        <f t="shared" si="0"/>
        <v>138.215</v>
      </c>
      <c r="J38" s="508">
        <v>41176.375</v>
      </c>
      <c r="K38" s="509">
        <v>41176.791666666664</v>
      </c>
      <c r="L38" s="510">
        <f t="shared" si="1"/>
        <v>9.999999999941792</v>
      </c>
      <c r="M38" s="511">
        <f t="shared" si="2"/>
        <v>600</v>
      </c>
      <c r="N38" s="178" t="s">
        <v>259</v>
      </c>
      <c r="O38" s="180" t="str">
        <f t="shared" si="3"/>
        <v>--</v>
      </c>
      <c r="P38" s="512">
        <f t="shared" si="4"/>
        <v>200</v>
      </c>
      <c r="Q38" s="513">
        <f t="shared" si="5"/>
        <v>27643</v>
      </c>
      <c r="R38" s="501" t="str">
        <f t="shared" si="6"/>
        <v>--</v>
      </c>
      <c r="S38" s="502" t="str">
        <f t="shared" si="7"/>
        <v>--</v>
      </c>
      <c r="T38" s="503" t="str">
        <f t="shared" si="8"/>
        <v>--</v>
      </c>
      <c r="U38" s="180" t="s">
        <v>79</v>
      </c>
      <c r="V38" s="514">
        <v>0</v>
      </c>
      <c r="W38" s="60"/>
    </row>
    <row r="39" spans="2:23" s="8" customFormat="1" ht="16.5" customHeight="1">
      <c r="B39" s="55"/>
      <c r="C39" s="150">
        <v>93</v>
      </c>
      <c r="D39" s="150">
        <v>252044</v>
      </c>
      <c r="E39" s="150">
        <v>97</v>
      </c>
      <c r="F39" s="505" t="s">
        <v>287</v>
      </c>
      <c r="G39" s="505" t="s">
        <v>313</v>
      </c>
      <c r="H39" s="506">
        <v>500</v>
      </c>
      <c r="I39" s="507">
        <f t="shared" si="0"/>
        <v>138.215</v>
      </c>
      <c r="J39" s="508">
        <v>41176.39791666667</v>
      </c>
      <c r="K39" s="509">
        <v>41176.73055555556</v>
      </c>
      <c r="L39" s="510">
        <f t="shared" si="1"/>
        <v>7.983333333337214</v>
      </c>
      <c r="M39" s="511">
        <f t="shared" si="2"/>
        <v>479</v>
      </c>
      <c r="N39" s="178" t="s">
        <v>259</v>
      </c>
      <c r="O39" s="180" t="str">
        <f t="shared" si="3"/>
        <v>--</v>
      </c>
      <c r="P39" s="512">
        <f t="shared" si="4"/>
        <v>200</v>
      </c>
      <c r="Q39" s="513">
        <f t="shared" si="5"/>
        <v>22059.114</v>
      </c>
      <c r="R39" s="501" t="str">
        <f t="shared" si="6"/>
        <v>--</v>
      </c>
      <c r="S39" s="502" t="str">
        <f t="shared" si="7"/>
        <v>--</v>
      </c>
      <c r="T39" s="503" t="str">
        <f t="shared" si="8"/>
        <v>--</v>
      </c>
      <c r="U39" s="180" t="s">
        <v>79</v>
      </c>
      <c r="V39" s="514">
        <f t="shared" si="9"/>
        <v>22059.114</v>
      </c>
      <c r="W39" s="60"/>
    </row>
    <row r="40" spans="2:23" s="8" customFormat="1" ht="16.5" customHeight="1">
      <c r="B40" s="55"/>
      <c r="C40" s="150">
        <v>94</v>
      </c>
      <c r="D40" s="150">
        <v>252048</v>
      </c>
      <c r="E40" s="169">
        <v>5234</v>
      </c>
      <c r="F40" s="505" t="s">
        <v>366</v>
      </c>
      <c r="G40" s="505" t="s">
        <v>367</v>
      </c>
      <c r="H40" s="619">
        <v>500</v>
      </c>
      <c r="I40" s="507">
        <f t="shared" si="0"/>
        <v>138.215</v>
      </c>
      <c r="J40" s="508">
        <v>41178.407638888886</v>
      </c>
      <c r="K40" s="509">
        <v>41178.82430555556</v>
      </c>
      <c r="L40" s="510">
        <f t="shared" si="1"/>
        <v>10.000000000116415</v>
      </c>
      <c r="M40" s="511">
        <f t="shared" si="2"/>
        <v>600</v>
      </c>
      <c r="N40" s="178" t="s">
        <v>259</v>
      </c>
      <c r="O40" s="180" t="str">
        <f t="shared" si="3"/>
        <v>--</v>
      </c>
      <c r="P40" s="512">
        <f t="shared" si="4"/>
        <v>200</v>
      </c>
      <c r="Q40" s="513">
        <f t="shared" si="5"/>
        <v>27643</v>
      </c>
      <c r="R40" s="501" t="str">
        <f t="shared" si="6"/>
        <v>--</v>
      </c>
      <c r="S40" s="502" t="str">
        <f t="shared" si="7"/>
        <v>--</v>
      </c>
      <c r="T40" s="503" t="str">
        <f t="shared" si="8"/>
        <v>--</v>
      </c>
      <c r="U40" s="180" t="s">
        <v>79</v>
      </c>
      <c r="V40" s="514">
        <v>0</v>
      </c>
      <c r="W40" s="60"/>
    </row>
    <row r="41" spans="2:23" s="8" customFormat="1" ht="16.5" customHeight="1">
      <c r="B41" s="55"/>
      <c r="C41" s="150">
        <v>95</v>
      </c>
      <c r="D41" s="150">
        <v>252050</v>
      </c>
      <c r="E41" s="150">
        <v>131</v>
      </c>
      <c r="F41" s="505" t="s">
        <v>291</v>
      </c>
      <c r="G41" s="505" t="s">
        <v>317</v>
      </c>
      <c r="H41" s="506">
        <v>132</v>
      </c>
      <c r="I41" s="507">
        <f t="shared" si="0"/>
        <v>110.573</v>
      </c>
      <c r="J41" s="508">
        <v>41179.31319444445</v>
      </c>
      <c r="K41" s="509">
        <v>41179.518055555556</v>
      </c>
      <c r="L41" s="510">
        <f t="shared" si="1"/>
        <v>4.916666666627862</v>
      </c>
      <c r="M41" s="511">
        <f t="shared" si="2"/>
        <v>295</v>
      </c>
      <c r="N41" s="178" t="s">
        <v>259</v>
      </c>
      <c r="O41" s="180" t="str">
        <f t="shared" si="3"/>
        <v>--</v>
      </c>
      <c r="P41" s="512">
        <f t="shared" si="4"/>
        <v>40</v>
      </c>
      <c r="Q41" s="513">
        <f t="shared" si="5"/>
        <v>2176.07664</v>
      </c>
      <c r="R41" s="501" t="str">
        <f t="shared" si="6"/>
        <v>--</v>
      </c>
      <c r="S41" s="502" t="str">
        <f t="shared" si="7"/>
        <v>--</v>
      </c>
      <c r="T41" s="503" t="str">
        <f t="shared" si="8"/>
        <v>--</v>
      </c>
      <c r="U41" s="180" t="s">
        <v>79</v>
      </c>
      <c r="V41" s="514">
        <v>0</v>
      </c>
      <c r="W41" s="60"/>
    </row>
    <row r="42" spans="2:23" s="8" customFormat="1" ht="16.5" customHeight="1">
      <c r="B42" s="55"/>
      <c r="C42" s="150">
        <v>96</v>
      </c>
      <c r="D42" s="150">
        <v>252053</v>
      </c>
      <c r="E42" s="169">
        <v>2600</v>
      </c>
      <c r="F42" s="505" t="s">
        <v>318</v>
      </c>
      <c r="G42" s="505" t="s">
        <v>319</v>
      </c>
      <c r="H42" s="506">
        <v>500</v>
      </c>
      <c r="I42" s="507">
        <f t="shared" si="0"/>
        <v>138.215</v>
      </c>
      <c r="J42" s="508">
        <v>41180.388194444444</v>
      </c>
      <c r="K42" s="509">
        <v>41180.66805555556</v>
      </c>
      <c r="L42" s="510">
        <f t="shared" si="1"/>
        <v>6.716666666732635</v>
      </c>
      <c r="M42" s="511">
        <f t="shared" si="2"/>
        <v>403</v>
      </c>
      <c r="N42" s="178" t="s">
        <v>259</v>
      </c>
      <c r="O42" s="180" t="str">
        <f t="shared" si="3"/>
        <v>--</v>
      </c>
      <c r="P42" s="512">
        <f t="shared" si="4"/>
        <v>200</v>
      </c>
      <c r="Q42" s="513">
        <f t="shared" si="5"/>
        <v>18576.096</v>
      </c>
      <c r="R42" s="501" t="str">
        <f t="shared" si="6"/>
        <v>--</v>
      </c>
      <c r="S42" s="502" t="str">
        <f t="shared" si="7"/>
        <v>--</v>
      </c>
      <c r="T42" s="503" t="str">
        <f t="shared" si="8"/>
        <v>--</v>
      </c>
      <c r="U42" s="180" t="s">
        <v>79</v>
      </c>
      <c r="V42" s="514">
        <f t="shared" si="9"/>
        <v>18576.096</v>
      </c>
      <c r="W42" s="60"/>
    </row>
    <row r="43" spans="2:23" s="8" customFormat="1" ht="16.5" customHeight="1">
      <c r="B43" s="55"/>
      <c r="C43" s="150">
        <v>97</v>
      </c>
      <c r="D43" s="150">
        <v>252055</v>
      </c>
      <c r="E43" s="150">
        <v>3455</v>
      </c>
      <c r="F43" s="505" t="s">
        <v>291</v>
      </c>
      <c r="G43" s="505" t="s">
        <v>320</v>
      </c>
      <c r="H43" s="506">
        <v>132</v>
      </c>
      <c r="I43" s="507">
        <f t="shared" si="0"/>
        <v>110.573</v>
      </c>
      <c r="J43" s="508">
        <v>41181.34027777778</v>
      </c>
      <c r="K43" s="509">
        <v>41181.56458333333</v>
      </c>
      <c r="L43" s="510">
        <f t="shared" si="1"/>
        <v>5.383333333244082</v>
      </c>
      <c r="M43" s="511">
        <f t="shared" si="2"/>
        <v>323</v>
      </c>
      <c r="N43" s="178" t="s">
        <v>259</v>
      </c>
      <c r="O43" s="180" t="str">
        <f t="shared" si="3"/>
        <v>--</v>
      </c>
      <c r="P43" s="512">
        <f t="shared" si="4"/>
        <v>40</v>
      </c>
      <c r="Q43" s="513">
        <f t="shared" si="5"/>
        <v>2379.53096</v>
      </c>
      <c r="R43" s="501" t="str">
        <f t="shared" si="6"/>
        <v>--</v>
      </c>
      <c r="S43" s="502" t="str">
        <f t="shared" si="7"/>
        <v>--</v>
      </c>
      <c r="T43" s="503" t="str">
        <f t="shared" si="8"/>
        <v>--</v>
      </c>
      <c r="U43" s="180" t="s">
        <v>79</v>
      </c>
      <c r="V43" s="514">
        <v>0</v>
      </c>
      <c r="W43" s="60"/>
    </row>
    <row r="44" spans="2:23" s="8" customFormat="1" ht="16.5" customHeight="1" thickBot="1">
      <c r="B44" s="55"/>
      <c r="C44" s="208"/>
      <c r="D44" s="208"/>
      <c r="E44" s="208"/>
      <c r="F44" s="208"/>
      <c r="G44" s="208"/>
      <c r="H44" s="208"/>
      <c r="I44" s="386"/>
      <c r="J44" s="515"/>
      <c r="K44" s="515"/>
      <c r="L44" s="516"/>
      <c r="M44" s="516"/>
      <c r="N44" s="515"/>
      <c r="O44" s="215"/>
      <c r="P44" s="517"/>
      <c r="Q44" s="518"/>
      <c r="R44" s="519"/>
      <c r="S44" s="520"/>
      <c r="T44" s="521"/>
      <c r="U44" s="215"/>
      <c r="V44" s="522"/>
      <c r="W44" s="60"/>
    </row>
    <row r="45" spans="2:23" s="8" customFormat="1" ht="16.5" customHeight="1" thickBot="1" thickTop="1">
      <c r="B45" s="55"/>
      <c r="C45" s="229" t="s">
        <v>255</v>
      </c>
      <c r="D45" s="271"/>
      <c r="E45" s="229"/>
      <c r="F45" s="231"/>
      <c r="G45" s="9"/>
      <c r="H45" s="11"/>
      <c r="I45" s="11"/>
      <c r="J45" s="11"/>
      <c r="K45" s="11"/>
      <c r="L45" s="11"/>
      <c r="M45" s="11"/>
      <c r="N45" s="11"/>
      <c r="O45" s="11"/>
      <c r="P45" s="11"/>
      <c r="Q45" s="523">
        <f>SUM(Q22:Q44)</f>
        <v>196086.63824000003</v>
      </c>
      <c r="R45" s="524">
        <f>SUM(R22:R44)</f>
        <v>0</v>
      </c>
      <c r="S45" s="525">
        <f>SUM(S22:S44)</f>
        <v>0</v>
      </c>
      <c r="T45" s="526">
        <f>SUM(T22:T44)</f>
        <v>0</v>
      </c>
      <c r="U45" s="527"/>
      <c r="V45" s="528">
        <f>ROUND(SUM(V22:V44),2)</f>
        <v>270905.33</v>
      </c>
      <c r="W45" s="60"/>
    </row>
    <row r="46" spans="2:23" s="8" customFormat="1" ht="16.5" customHeight="1" thickBot="1" thickTop="1">
      <c r="B46" s="245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7"/>
    </row>
    <row r="47" spans="23:25" ht="16.5" customHeight="1" thickTop="1">
      <c r="W47" s="417"/>
      <c r="X47" s="417"/>
      <c r="Y47" s="417"/>
    </row>
    <row r="48" spans="23:25" ht="16.5" customHeight="1">
      <c r="W48" s="417"/>
      <c r="X48" s="417"/>
      <c r="Y48" s="417"/>
    </row>
    <row r="49" spans="23:25" ht="16.5" customHeight="1">
      <c r="W49" s="417"/>
      <c r="X49" s="417"/>
      <c r="Y49" s="417"/>
    </row>
    <row r="50" spans="23:25" ht="16.5" customHeight="1">
      <c r="W50" s="417"/>
      <c r="X50" s="417"/>
      <c r="Y50" s="417"/>
    </row>
    <row r="51" spans="23:25" ht="16.5" customHeight="1">
      <c r="W51" s="417"/>
      <c r="X51" s="417"/>
      <c r="Y51" s="417"/>
    </row>
    <row r="52" spans="6:25" ht="16.5" customHeight="1">
      <c r="F52" s="417"/>
      <c r="G52" s="417"/>
      <c r="H52" s="417"/>
      <c r="I52" s="417"/>
      <c r="J52" s="417"/>
      <c r="K52" s="417"/>
      <c r="L52" s="417"/>
      <c r="M52" s="417"/>
      <c r="N52" s="417"/>
      <c r="O52" s="417"/>
      <c r="P52" s="417"/>
      <c r="Q52" s="417"/>
      <c r="R52" s="417"/>
      <c r="S52" s="417"/>
      <c r="T52" s="417"/>
      <c r="U52" s="417"/>
      <c r="V52" s="417"/>
      <c r="W52" s="417"/>
      <c r="X52" s="417"/>
      <c r="Y52" s="417"/>
    </row>
    <row r="53" spans="6:25" ht="16.5" customHeight="1"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7"/>
      <c r="Q53" s="417"/>
      <c r="R53" s="417"/>
      <c r="S53" s="417"/>
      <c r="T53" s="417"/>
      <c r="U53" s="417"/>
      <c r="V53" s="417"/>
      <c r="W53" s="417"/>
      <c r="X53" s="417"/>
      <c r="Y53" s="417"/>
    </row>
    <row r="54" spans="6:25" ht="16.5" customHeight="1">
      <c r="F54" s="417"/>
      <c r="G54" s="417"/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417"/>
      <c r="S54" s="417"/>
      <c r="T54" s="417"/>
      <c r="U54" s="417"/>
      <c r="V54" s="417"/>
      <c r="W54" s="417"/>
      <c r="X54" s="417"/>
      <c r="Y54" s="417"/>
    </row>
    <row r="55" spans="6:25" ht="16.5" customHeight="1">
      <c r="F55" s="417"/>
      <c r="G55" s="417"/>
      <c r="H55" s="417"/>
      <c r="I55" s="417"/>
      <c r="J55" s="417"/>
      <c r="K55" s="417"/>
      <c r="L55" s="417"/>
      <c r="M55" s="417"/>
      <c r="N55" s="417"/>
      <c r="O55" s="417"/>
      <c r="P55" s="417"/>
      <c r="Q55" s="417"/>
      <c r="R55" s="417"/>
      <c r="S55" s="417"/>
      <c r="T55" s="417"/>
      <c r="U55" s="417"/>
      <c r="V55" s="417"/>
      <c r="W55" s="417"/>
      <c r="X55" s="417"/>
      <c r="Y55" s="417"/>
    </row>
    <row r="56" spans="6:25" ht="16.5" customHeight="1">
      <c r="F56" s="417"/>
      <c r="G56" s="417"/>
      <c r="H56" s="417"/>
      <c r="I56" s="417"/>
      <c r="J56" s="417"/>
      <c r="K56" s="417"/>
      <c r="L56" s="417"/>
      <c r="M56" s="417"/>
      <c r="N56" s="417"/>
      <c r="O56" s="417"/>
      <c r="P56" s="417"/>
      <c r="Q56" s="417"/>
      <c r="R56" s="417"/>
      <c r="S56" s="417"/>
      <c r="T56" s="417"/>
      <c r="U56" s="417"/>
      <c r="V56" s="417"/>
      <c r="W56" s="417"/>
      <c r="X56" s="417"/>
      <c r="Y56" s="417"/>
    </row>
    <row r="57" spans="6:25" ht="16.5" customHeight="1">
      <c r="F57" s="417"/>
      <c r="G57" s="417"/>
      <c r="H57" s="417"/>
      <c r="I57" s="417"/>
      <c r="J57" s="417"/>
      <c r="K57" s="417"/>
      <c r="L57" s="417"/>
      <c r="M57" s="417"/>
      <c r="N57" s="417"/>
      <c r="O57" s="417"/>
      <c r="P57" s="417"/>
      <c r="Q57" s="417"/>
      <c r="R57" s="417"/>
      <c r="S57" s="417"/>
      <c r="T57" s="417"/>
      <c r="U57" s="417"/>
      <c r="V57" s="417"/>
      <c r="W57" s="417"/>
      <c r="X57" s="417"/>
      <c r="Y57" s="417"/>
    </row>
    <row r="58" spans="6:25" ht="16.5" customHeight="1">
      <c r="F58" s="417"/>
      <c r="G58" s="417"/>
      <c r="H58" s="417"/>
      <c r="I58" s="417"/>
      <c r="J58" s="417"/>
      <c r="K58" s="417"/>
      <c r="L58" s="417"/>
      <c r="M58" s="417"/>
      <c r="N58" s="417"/>
      <c r="O58" s="417"/>
      <c r="P58" s="417"/>
      <c r="Q58" s="417"/>
      <c r="R58" s="417"/>
      <c r="S58" s="417"/>
      <c r="T58" s="417"/>
      <c r="U58" s="417"/>
      <c r="V58" s="417"/>
      <c r="W58" s="417"/>
      <c r="X58" s="417"/>
      <c r="Y58" s="417"/>
    </row>
    <row r="59" spans="6:25" ht="16.5" customHeight="1"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7"/>
      <c r="W59" s="417"/>
      <c r="X59" s="417"/>
      <c r="Y59" s="417"/>
    </row>
    <row r="60" spans="6:25" ht="16.5" customHeight="1">
      <c r="F60" s="417"/>
      <c r="G60" s="417"/>
      <c r="H60" s="417"/>
      <c r="I60" s="417"/>
      <c r="J60" s="417"/>
      <c r="K60" s="417"/>
      <c r="L60" s="417"/>
      <c r="M60" s="417"/>
      <c r="N60" s="417"/>
      <c r="O60" s="417"/>
      <c r="P60" s="417"/>
      <c r="Q60" s="417"/>
      <c r="R60" s="417"/>
      <c r="S60" s="417"/>
      <c r="T60" s="417"/>
      <c r="U60" s="417"/>
      <c r="V60" s="417"/>
      <c r="W60" s="417"/>
      <c r="X60" s="417"/>
      <c r="Y60" s="417"/>
    </row>
    <row r="61" spans="6:25" ht="16.5" customHeight="1">
      <c r="F61" s="417"/>
      <c r="G61" s="417"/>
      <c r="H61" s="417"/>
      <c r="I61" s="417"/>
      <c r="J61" s="417"/>
      <c r="K61" s="417"/>
      <c r="L61" s="417"/>
      <c r="M61" s="417"/>
      <c r="N61" s="417"/>
      <c r="O61" s="417"/>
      <c r="P61" s="417"/>
      <c r="Q61" s="417"/>
      <c r="R61" s="417"/>
      <c r="S61" s="417"/>
      <c r="T61" s="417"/>
      <c r="U61" s="417"/>
      <c r="V61" s="417"/>
      <c r="W61" s="417"/>
      <c r="X61" s="417"/>
      <c r="Y61" s="417"/>
    </row>
    <row r="62" spans="6:25" ht="16.5" customHeight="1">
      <c r="F62" s="417"/>
      <c r="G62" s="417"/>
      <c r="H62" s="417"/>
      <c r="I62" s="417"/>
      <c r="J62" s="417"/>
      <c r="K62" s="417"/>
      <c r="L62" s="417"/>
      <c r="M62" s="417"/>
      <c r="N62" s="417"/>
      <c r="O62" s="417"/>
      <c r="P62" s="417"/>
      <c r="Q62" s="417"/>
      <c r="R62" s="417"/>
      <c r="S62" s="417"/>
      <c r="T62" s="417"/>
      <c r="U62" s="417"/>
      <c r="V62" s="417"/>
      <c r="W62" s="417"/>
      <c r="X62" s="417"/>
      <c r="Y62" s="417"/>
    </row>
    <row r="63" spans="6:25" ht="16.5" customHeight="1">
      <c r="F63" s="417"/>
      <c r="G63" s="417"/>
      <c r="H63" s="417"/>
      <c r="I63" s="417"/>
      <c r="J63" s="417"/>
      <c r="K63" s="417"/>
      <c r="L63" s="417"/>
      <c r="M63" s="417"/>
      <c r="N63" s="417"/>
      <c r="O63" s="417"/>
      <c r="P63" s="417"/>
      <c r="Q63" s="417"/>
      <c r="R63" s="417"/>
      <c r="S63" s="417"/>
      <c r="T63" s="417"/>
      <c r="U63" s="417"/>
      <c r="V63" s="417"/>
      <c r="W63" s="417"/>
      <c r="X63" s="417"/>
      <c r="Y63" s="417"/>
    </row>
    <row r="64" spans="6:25" ht="16.5" customHeight="1">
      <c r="F64" s="417"/>
      <c r="G64" s="417"/>
      <c r="H64" s="417"/>
      <c r="I64" s="417"/>
      <c r="J64" s="417"/>
      <c r="K64" s="417"/>
      <c r="L64" s="417"/>
      <c r="M64" s="417"/>
      <c r="N64" s="417"/>
      <c r="O64" s="417"/>
      <c r="P64" s="417"/>
      <c r="Q64" s="417"/>
      <c r="R64" s="417"/>
      <c r="S64" s="417"/>
      <c r="T64" s="417"/>
      <c r="U64" s="417"/>
      <c r="V64" s="417"/>
      <c r="W64" s="417"/>
      <c r="X64" s="417"/>
      <c r="Y64" s="417"/>
    </row>
    <row r="65" spans="6:25" ht="16.5" customHeight="1">
      <c r="F65" s="417"/>
      <c r="G65" s="417"/>
      <c r="H65" s="417"/>
      <c r="I65" s="417"/>
      <c r="J65" s="417"/>
      <c r="K65" s="417"/>
      <c r="L65" s="417"/>
      <c r="M65" s="417"/>
      <c r="N65" s="417"/>
      <c r="O65" s="417"/>
      <c r="P65" s="417"/>
      <c r="Q65" s="417"/>
      <c r="R65" s="417"/>
      <c r="S65" s="417"/>
      <c r="T65" s="417"/>
      <c r="U65" s="417"/>
      <c r="V65" s="417"/>
      <c r="W65" s="417"/>
      <c r="X65" s="417"/>
      <c r="Y65" s="417"/>
    </row>
    <row r="66" spans="6:25" ht="16.5" customHeight="1">
      <c r="F66" s="417"/>
      <c r="G66" s="417"/>
      <c r="H66" s="417"/>
      <c r="I66" s="417"/>
      <c r="J66" s="417"/>
      <c r="K66" s="417"/>
      <c r="L66" s="417"/>
      <c r="M66" s="417"/>
      <c r="N66" s="417"/>
      <c r="O66" s="417"/>
      <c r="P66" s="417"/>
      <c r="Q66" s="417"/>
      <c r="R66" s="417"/>
      <c r="S66" s="417"/>
      <c r="T66" s="417"/>
      <c r="U66" s="417"/>
      <c r="V66" s="417"/>
      <c r="W66" s="417"/>
      <c r="X66" s="417"/>
      <c r="Y66" s="417"/>
    </row>
    <row r="67" spans="6:25" ht="16.5" customHeight="1">
      <c r="F67" s="417"/>
      <c r="G67" s="417"/>
      <c r="H67" s="417"/>
      <c r="I67" s="417"/>
      <c r="J67" s="417"/>
      <c r="K67" s="417"/>
      <c r="L67" s="417"/>
      <c r="M67" s="417"/>
      <c r="N67" s="417"/>
      <c r="O67" s="417"/>
      <c r="P67" s="417"/>
      <c r="Q67" s="417"/>
      <c r="R67" s="417"/>
      <c r="S67" s="417"/>
      <c r="T67" s="417"/>
      <c r="U67" s="417"/>
      <c r="V67" s="417"/>
      <c r="W67" s="417"/>
      <c r="X67" s="417"/>
      <c r="Y67" s="417"/>
    </row>
    <row r="68" spans="6:25" ht="16.5" customHeight="1">
      <c r="F68" s="417"/>
      <c r="G68" s="417"/>
      <c r="H68" s="417"/>
      <c r="I68" s="417"/>
      <c r="J68" s="417"/>
      <c r="K68" s="417"/>
      <c r="L68" s="417"/>
      <c r="M68" s="417"/>
      <c r="N68" s="417"/>
      <c r="O68" s="417"/>
      <c r="P68" s="417"/>
      <c r="Q68" s="417"/>
      <c r="R68" s="417"/>
      <c r="S68" s="417"/>
      <c r="T68" s="417"/>
      <c r="U68" s="417"/>
      <c r="V68" s="417"/>
      <c r="W68" s="417"/>
      <c r="X68" s="417"/>
      <c r="Y68" s="417"/>
    </row>
    <row r="69" spans="6:25" ht="16.5" customHeight="1">
      <c r="F69" s="417"/>
      <c r="G69" s="417"/>
      <c r="H69" s="417"/>
      <c r="I69" s="417"/>
      <c r="J69" s="417"/>
      <c r="K69" s="417"/>
      <c r="L69" s="417"/>
      <c r="M69" s="417"/>
      <c r="N69" s="417"/>
      <c r="O69" s="417"/>
      <c r="P69" s="417"/>
      <c r="Q69" s="417"/>
      <c r="R69" s="417"/>
      <c r="S69" s="417"/>
      <c r="T69" s="417"/>
      <c r="U69" s="417"/>
      <c r="V69" s="417"/>
      <c r="W69" s="417"/>
      <c r="X69" s="417"/>
      <c r="Y69" s="417"/>
    </row>
    <row r="70" spans="6:25" ht="16.5" customHeight="1">
      <c r="F70" s="417"/>
      <c r="G70" s="417"/>
      <c r="H70" s="417"/>
      <c r="I70" s="417"/>
      <c r="J70" s="417"/>
      <c r="K70" s="417"/>
      <c r="L70" s="417"/>
      <c r="M70" s="417"/>
      <c r="N70" s="417"/>
      <c r="O70" s="417"/>
      <c r="P70" s="417"/>
      <c r="Q70" s="417"/>
      <c r="R70" s="417"/>
      <c r="S70" s="417"/>
      <c r="T70" s="417"/>
      <c r="U70" s="417"/>
      <c r="V70" s="417"/>
      <c r="W70" s="417"/>
      <c r="X70" s="417"/>
      <c r="Y70" s="417"/>
    </row>
    <row r="71" spans="6:25" ht="16.5" customHeight="1">
      <c r="F71" s="417"/>
      <c r="G71" s="417"/>
      <c r="H71" s="417"/>
      <c r="I71" s="417"/>
      <c r="J71" s="417"/>
      <c r="K71" s="417"/>
      <c r="L71" s="417"/>
      <c r="M71" s="417"/>
      <c r="N71" s="417"/>
      <c r="O71" s="417"/>
      <c r="P71" s="417"/>
      <c r="Q71" s="417"/>
      <c r="R71" s="417"/>
      <c r="S71" s="417"/>
      <c r="T71" s="417"/>
      <c r="U71" s="417"/>
      <c r="V71" s="417"/>
      <c r="W71" s="417"/>
      <c r="X71" s="417"/>
      <c r="Y71" s="417"/>
    </row>
    <row r="72" spans="6:25" ht="16.5" customHeight="1">
      <c r="F72" s="417"/>
      <c r="G72" s="417"/>
      <c r="H72" s="417"/>
      <c r="I72" s="417"/>
      <c r="J72" s="417"/>
      <c r="K72" s="417"/>
      <c r="L72" s="417"/>
      <c r="M72" s="417"/>
      <c r="N72" s="417"/>
      <c r="O72" s="417"/>
      <c r="P72" s="417"/>
      <c r="Q72" s="417"/>
      <c r="R72" s="417"/>
      <c r="S72" s="417"/>
      <c r="T72" s="417"/>
      <c r="U72" s="417"/>
      <c r="V72" s="417"/>
      <c r="W72" s="417"/>
      <c r="X72" s="417"/>
      <c r="Y72" s="417"/>
    </row>
    <row r="73" spans="6:25" ht="16.5" customHeight="1">
      <c r="F73" s="417"/>
      <c r="G73" s="417"/>
      <c r="H73" s="417"/>
      <c r="I73" s="417"/>
      <c r="J73" s="417"/>
      <c r="K73" s="417"/>
      <c r="L73" s="417"/>
      <c r="M73" s="417"/>
      <c r="N73" s="417"/>
      <c r="O73" s="417"/>
      <c r="P73" s="417"/>
      <c r="Q73" s="417"/>
      <c r="R73" s="417"/>
      <c r="S73" s="417"/>
      <c r="T73" s="417"/>
      <c r="U73" s="417"/>
      <c r="V73" s="417"/>
      <c r="W73" s="417"/>
      <c r="X73" s="417"/>
      <c r="Y73" s="417"/>
    </row>
    <row r="74" spans="6:25" ht="16.5" customHeight="1">
      <c r="F74" s="417"/>
      <c r="G74" s="417"/>
      <c r="H74" s="417"/>
      <c r="I74" s="417"/>
      <c r="J74" s="417"/>
      <c r="K74" s="417"/>
      <c r="L74" s="417"/>
      <c r="M74" s="417"/>
      <c r="N74" s="417"/>
      <c r="O74" s="417"/>
      <c r="P74" s="417"/>
      <c r="Q74" s="417"/>
      <c r="R74" s="417"/>
      <c r="S74" s="417"/>
      <c r="T74" s="417"/>
      <c r="U74" s="417"/>
      <c r="V74" s="417"/>
      <c r="W74" s="417"/>
      <c r="X74" s="417"/>
      <c r="Y74" s="417"/>
    </row>
    <row r="75" spans="6:25" ht="16.5" customHeight="1">
      <c r="F75" s="417"/>
      <c r="G75" s="417"/>
      <c r="H75" s="417"/>
      <c r="I75" s="417"/>
      <c r="J75" s="417"/>
      <c r="K75" s="417"/>
      <c r="L75" s="417"/>
      <c r="M75" s="417"/>
      <c r="N75" s="417"/>
      <c r="O75" s="417"/>
      <c r="P75" s="417"/>
      <c r="Q75" s="417"/>
      <c r="R75" s="417"/>
      <c r="S75" s="417"/>
      <c r="T75" s="417"/>
      <c r="U75" s="417"/>
      <c r="V75" s="417"/>
      <c r="W75" s="417"/>
      <c r="X75" s="417"/>
      <c r="Y75" s="417"/>
    </row>
    <row r="76" spans="6:25" ht="16.5" customHeight="1">
      <c r="F76" s="417"/>
      <c r="G76" s="417"/>
      <c r="H76" s="417"/>
      <c r="I76" s="417"/>
      <c r="J76" s="417"/>
      <c r="K76" s="417"/>
      <c r="L76" s="417"/>
      <c r="M76" s="417"/>
      <c r="N76" s="417"/>
      <c r="O76" s="417"/>
      <c r="P76" s="417"/>
      <c r="Q76" s="417"/>
      <c r="R76" s="417"/>
      <c r="S76" s="417"/>
      <c r="T76" s="417"/>
      <c r="U76" s="417"/>
      <c r="V76" s="417"/>
      <c r="W76" s="417"/>
      <c r="X76" s="417"/>
      <c r="Y76" s="417"/>
    </row>
    <row r="77" spans="6:25" ht="16.5" customHeight="1">
      <c r="F77" s="417"/>
      <c r="G77" s="417"/>
      <c r="H77" s="417"/>
      <c r="I77" s="417"/>
      <c r="J77" s="417"/>
      <c r="K77" s="417"/>
      <c r="L77" s="417"/>
      <c r="M77" s="417"/>
      <c r="N77" s="417"/>
      <c r="O77" s="417"/>
      <c r="P77" s="417"/>
      <c r="Q77" s="417"/>
      <c r="R77" s="417"/>
      <c r="S77" s="417"/>
      <c r="T77" s="417"/>
      <c r="U77" s="417"/>
      <c r="V77" s="417"/>
      <c r="W77" s="417"/>
      <c r="X77" s="417"/>
      <c r="Y77" s="417"/>
    </row>
    <row r="78" spans="6:25" ht="16.5" customHeight="1">
      <c r="F78" s="417"/>
      <c r="G78" s="417"/>
      <c r="H78" s="417"/>
      <c r="I78" s="417"/>
      <c r="J78" s="417"/>
      <c r="K78" s="417"/>
      <c r="L78" s="417"/>
      <c r="M78" s="417"/>
      <c r="N78" s="417"/>
      <c r="O78" s="417"/>
      <c r="P78" s="417"/>
      <c r="Q78" s="417"/>
      <c r="R78" s="417"/>
      <c r="S78" s="417"/>
      <c r="T78" s="417"/>
      <c r="U78" s="417"/>
      <c r="V78" s="417"/>
      <c r="W78" s="417"/>
      <c r="X78" s="417"/>
      <c r="Y78" s="417"/>
    </row>
    <row r="79" spans="6:25" ht="16.5" customHeight="1">
      <c r="F79" s="417"/>
      <c r="G79" s="417"/>
      <c r="H79" s="417"/>
      <c r="I79" s="417"/>
      <c r="J79" s="417"/>
      <c r="K79" s="417"/>
      <c r="L79" s="417"/>
      <c r="M79" s="417"/>
      <c r="N79" s="417"/>
      <c r="O79" s="417"/>
      <c r="P79" s="417"/>
      <c r="Q79" s="417"/>
      <c r="R79" s="417"/>
      <c r="S79" s="417"/>
      <c r="T79" s="417"/>
      <c r="U79" s="417"/>
      <c r="V79" s="417"/>
      <c r="W79" s="417"/>
      <c r="X79" s="417"/>
      <c r="Y79" s="417"/>
    </row>
    <row r="80" spans="6:25" ht="16.5" customHeight="1">
      <c r="F80" s="417"/>
      <c r="G80" s="417"/>
      <c r="H80" s="417"/>
      <c r="I80" s="417"/>
      <c r="J80" s="417"/>
      <c r="K80" s="417"/>
      <c r="L80" s="417"/>
      <c r="M80" s="417"/>
      <c r="N80" s="417"/>
      <c r="O80" s="417"/>
      <c r="P80" s="417"/>
      <c r="Q80" s="417"/>
      <c r="R80" s="417"/>
      <c r="S80" s="417"/>
      <c r="T80" s="417"/>
      <c r="U80" s="417"/>
      <c r="V80" s="417"/>
      <c r="W80" s="417"/>
      <c r="X80" s="417"/>
      <c r="Y80" s="417"/>
    </row>
    <row r="81" spans="6:25" ht="16.5" customHeight="1">
      <c r="F81" s="417"/>
      <c r="G81" s="417"/>
      <c r="H81" s="417"/>
      <c r="I81" s="417"/>
      <c r="J81" s="417"/>
      <c r="K81" s="417"/>
      <c r="L81" s="417"/>
      <c r="M81" s="417"/>
      <c r="N81" s="417"/>
      <c r="O81" s="417"/>
      <c r="P81" s="417"/>
      <c r="Q81" s="417"/>
      <c r="R81" s="417"/>
      <c r="S81" s="417"/>
      <c r="T81" s="417"/>
      <c r="U81" s="417"/>
      <c r="V81" s="417"/>
      <c r="W81" s="417"/>
      <c r="X81" s="417"/>
      <c r="Y81" s="417"/>
    </row>
    <row r="82" spans="6:25" ht="16.5" customHeight="1">
      <c r="F82" s="417"/>
      <c r="G82" s="417"/>
      <c r="H82" s="417"/>
      <c r="I82" s="417"/>
      <c r="J82" s="417"/>
      <c r="K82" s="417"/>
      <c r="L82" s="417"/>
      <c r="M82" s="417"/>
      <c r="N82" s="417"/>
      <c r="O82" s="417"/>
      <c r="P82" s="417"/>
      <c r="Q82" s="417"/>
      <c r="R82" s="417"/>
      <c r="S82" s="417"/>
      <c r="T82" s="417"/>
      <c r="U82" s="417"/>
      <c r="V82" s="417"/>
      <c r="W82" s="417"/>
      <c r="X82" s="417"/>
      <c r="Y82" s="417"/>
    </row>
    <row r="83" spans="6:25" ht="16.5" customHeight="1">
      <c r="F83" s="417"/>
      <c r="G83" s="417"/>
      <c r="H83" s="417"/>
      <c r="I83" s="417"/>
      <c r="J83" s="417"/>
      <c r="K83" s="417"/>
      <c r="L83" s="417"/>
      <c r="M83" s="417"/>
      <c r="N83" s="417"/>
      <c r="O83" s="417"/>
      <c r="P83" s="417"/>
      <c r="Q83" s="417"/>
      <c r="R83" s="417"/>
      <c r="S83" s="417"/>
      <c r="T83" s="417"/>
      <c r="U83" s="417"/>
      <c r="V83" s="417"/>
      <c r="W83" s="417"/>
      <c r="X83" s="417"/>
      <c r="Y83" s="417"/>
    </row>
    <row r="84" spans="6:25" ht="16.5" customHeight="1">
      <c r="F84" s="417"/>
      <c r="G84" s="417"/>
      <c r="H84" s="417"/>
      <c r="I84" s="417"/>
      <c r="J84" s="417"/>
      <c r="K84" s="417"/>
      <c r="L84" s="417"/>
      <c r="M84" s="417"/>
      <c r="N84" s="417"/>
      <c r="O84" s="417"/>
      <c r="P84" s="417"/>
      <c r="Q84" s="417"/>
      <c r="R84" s="417"/>
      <c r="S84" s="417"/>
      <c r="T84" s="417"/>
      <c r="U84" s="417"/>
      <c r="V84" s="417"/>
      <c r="W84" s="417"/>
      <c r="X84" s="417"/>
      <c r="Y84" s="417"/>
    </row>
    <row r="85" spans="6:25" ht="16.5" customHeight="1">
      <c r="F85" s="417"/>
      <c r="G85" s="417"/>
      <c r="H85" s="417"/>
      <c r="I85" s="417"/>
      <c r="J85" s="417"/>
      <c r="K85" s="417"/>
      <c r="L85" s="417"/>
      <c r="M85" s="417"/>
      <c r="N85" s="417"/>
      <c r="O85" s="417"/>
      <c r="P85" s="417"/>
      <c r="Q85" s="417"/>
      <c r="R85" s="417"/>
      <c r="S85" s="417"/>
      <c r="T85" s="417"/>
      <c r="U85" s="417"/>
      <c r="V85" s="417"/>
      <c r="W85" s="417"/>
      <c r="X85" s="417"/>
      <c r="Y85" s="417"/>
    </row>
    <row r="86" spans="6:25" ht="16.5" customHeight="1">
      <c r="F86" s="417"/>
      <c r="G86" s="417"/>
      <c r="H86" s="417"/>
      <c r="I86" s="417"/>
      <c r="J86" s="417"/>
      <c r="K86" s="417"/>
      <c r="L86" s="417"/>
      <c r="M86" s="417"/>
      <c r="N86" s="417"/>
      <c r="O86" s="417"/>
      <c r="P86" s="417"/>
      <c r="Q86" s="417"/>
      <c r="R86" s="417"/>
      <c r="S86" s="417"/>
      <c r="T86" s="417"/>
      <c r="U86" s="417"/>
      <c r="V86" s="417"/>
      <c r="W86" s="417"/>
      <c r="X86" s="417"/>
      <c r="Y86" s="417"/>
    </row>
    <row r="87" spans="6:25" ht="16.5" customHeight="1">
      <c r="F87" s="417"/>
      <c r="G87" s="417"/>
      <c r="H87" s="417"/>
      <c r="I87" s="417"/>
      <c r="J87" s="417"/>
      <c r="K87" s="417"/>
      <c r="L87" s="417"/>
      <c r="M87" s="417"/>
      <c r="N87" s="417"/>
      <c r="O87" s="417"/>
      <c r="P87" s="417"/>
      <c r="Q87" s="417"/>
      <c r="R87" s="417"/>
      <c r="S87" s="417"/>
      <c r="T87" s="417"/>
      <c r="U87" s="417"/>
      <c r="V87" s="417"/>
      <c r="W87" s="417"/>
      <c r="X87" s="417"/>
      <c r="Y87" s="417"/>
    </row>
    <row r="88" spans="6:25" ht="16.5" customHeight="1">
      <c r="F88" s="417"/>
      <c r="G88" s="417"/>
      <c r="H88" s="417"/>
      <c r="I88" s="417"/>
      <c r="J88" s="417"/>
      <c r="K88" s="417"/>
      <c r="L88" s="417"/>
      <c r="M88" s="417"/>
      <c r="N88" s="417"/>
      <c r="O88" s="417"/>
      <c r="P88" s="417"/>
      <c r="Q88" s="417"/>
      <c r="R88" s="417"/>
      <c r="S88" s="417"/>
      <c r="T88" s="417"/>
      <c r="U88" s="417"/>
      <c r="V88" s="417"/>
      <c r="W88" s="417"/>
      <c r="X88" s="417"/>
      <c r="Y88" s="417"/>
    </row>
    <row r="89" spans="6:25" ht="16.5" customHeight="1">
      <c r="F89" s="417"/>
      <c r="G89" s="417"/>
      <c r="H89" s="417"/>
      <c r="I89" s="417"/>
      <c r="J89" s="417"/>
      <c r="K89" s="417"/>
      <c r="L89" s="417"/>
      <c r="M89" s="417"/>
      <c r="N89" s="417"/>
      <c r="O89" s="417"/>
      <c r="P89" s="417"/>
      <c r="Q89" s="417"/>
      <c r="R89" s="417"/>
      <c r="S89" s="417"/>
      <c r="T89" s="417"/>
      <c r="U89" s="417"/>
      <c r="V89" s="417"/>
      <c r="W89" s="417"/>
      <c r="X89" s="417"/>
      <c r="Y89" s="417"/>
    </row>
    <row r="90" spans="6:25" ht="16.5" customHeight="1">
      <c r="F90" s="417"/>
      <c r="G90" s="417"/>
      <c r="H90" s="417"/>
      <c r="I90" s="417"/>
      <c r="J90" s="417"/>
      <c r="K90" s="417"/>
      <c r="L90" s="417"/>
      <c r="M90" s="417"/>
      <c r="N90" s="417"/>
      <c r="O90" s="417"/>
      <c r="P90" s="417"/>
      <c r="Q90" s="417"/>
      <c r="R90" s="417"/>
      <c r="S90" s="417"/>
      <c r="T90" s="417"/>
      <c r="U90" s="417"/>
      <c r="V90" s="417"/>
      <c r="W90" s="417"/>
      <c r="X90" s="417"/>
      <c r="Y90" s="417"/>
    </row>
    <row r="91" spans="6:25" ht="16.5" customHeight="1">
      <c r="F91" s="417"/>
      <c r="G91" s="417"/>
      <c r="H91" s="417"/>
      <c r="I91" s="417"/>
      <c r="J91" s="417"/>
      <c r="K91" s="417"/>
      <c r="L91" s="417"/>
      <c r="M91" s="417"/>
      <c r="N91" s="417"/>
      <c r="O91" s="417"/>
      <c r="P91" s="417"/>
      <c r="Q91" s="417"/>
      <c r="R91" s="417"/>
      <c r="S91" s="417"/>
      <c r="T91" s="417"/>
      <c r="U91" s="417"/>
      <c r="V91" s="417"/>
      <c r="W91" s="417"/>
      <c r="X91" s="417"/>
      <c r="Y91" s="417"/>
    </row>
    <row r="92" spans="6:25" ht="16.5" customHeight="1">
      <c r="F92" s="417"/>
      <c r="G92" s="417"/>
      <c r="H92" s="417"/>
      <c r="I92" s="417"/>
      <c r="J92" s="417"/>
      <c r="K92" s="417"/>
      <c r="L92" s="417"/>
      <c r="M92" s="417"/>
      <c r="N92" s="417"/>
      <c r="O92" s="417"/>
      <c r="P92" s="417"/>
      <c r="Q92" s="417"/>
      <c r="R92" s="417"/>
      <c r="S92" s="417"/>
      <c r="T92" s="417"/>
      <c r="U92" s="417"/>
      <c r="V92" s="417"/>
      <c r="W92" s="417"/>
      <c r="X92" s="417"/>
      <c r="Y92" s="417"/>
    </row>
    <row r="93" spans="6:25" ht="16.5" customHeight="1">
      <c r="F93" s="417"/>
      <c r="G93" s="417"/>
      <c r="H93" s="417"/>
      <c r="I93" s="417"/>
      <c r="J93" s="417"/>
      <c r="K93" s="417"/>
      <c r="L93" s="417"/>
      <c r="M93" s="417"/>
      <c r="N93" s="417"/>
      <c r="O93" s="417"/>
      <c r="P93" s="417"/>
      <c r="Q93" s="417"/>
      <c r="R93" s="417"/>
      <c r="S93" s="417"/>
      <c r="T93" s="417"/>
      <c r="U93" s="417"/>
      <c r="V93" s="417"/>
      <c r="W93" s="417"/>
      <c r="X93" s="417"/>
      <c r="Y93" s="417"/>
    </row>
    <row r="94" spans="6:25" ht="16.5" customHeight="1">
      <c r="F94" s="417"/>
      <c r="G94" s="417"/>
      <c r="H94" s="417"/>
      <c r="I94" s="417"/>
      <c r="J94" s="417"/>
      <c r="K94" s="417"/>
      <c r="L94" s="417"/>
      <c r="M94" s="417"/>
      <c r="N94" s="417"/>
      <c r="O94" s="417"/>
      <c r="P94" s="417"/>
      <c r="Q94" s="417"/>
      <c r="R94" s="417"/>
      <c r="S94" s="417"/>
      <c r="T94" s="417"/>
      <c r="U94" s="417"/>
      <c r="V94" s="417"/>
      <c r="W94" s="417"/>
      <c r="X94" s="417"/>
      <c r="Y94" s="417"/>
    </row>
    <row r="95" spans="6:25" ht="16.5" customHeight="1">
      <c r="F95" s="417"/>
      <c r="G95" s="417"/>
      <c r="H95" s="417"/>
      <c r="I95" s="417"/>
      <c r="J95" s="417"/>
      <c r="K95" s="417"/>
      <c r="L95" s="417"/>
      <c r="M95" s="417"/>
      <c r="N95" s="417"/>
      <c r="O95" s="417"/>
      <c r="P95" s="417"/>
      <c r="Q95" s="417"/>
      <c r="R95" s="417"/>
      <c r="S95" s="417"/>
      <c r="T95" s="417"/>
      <c r="U95" s="417"/>
      <c r="V95" s="417"/>
      <c r="W95" s="417"/>
      <c r="X95" s="417"/>
      <c r="Y95" s="417"/>
    </row>
    <row r="96" spans="6:25" ht="16.5" customHeight="1">
      <c r="F96" s="417"/>
      <c r="G96" s="417"/>
      <c r="H96" s="417"/>
      <c r="I96" s="417"/>
      <c r="J96" s="417"/>
      <c r="K96" s="417"/>
      <c r="L96" s="417"/>
      <c r="M96" s="417"/>
      <c r="N96" s="417"/>
      <c r="O96" s="417"/>
      <c r="P96" s="417"/>
      <c r="Q96" s="417"/>
      <c r="R96" s="417"/>
      <c r="S96" s="417"/>
      <c r="T96" s="417"/>
      <c r="U96" s="417"/>
      <c r="V96" s="417"/>
      <c r="W96" s="417"/>
      <c r="X96" s="417"/>
      <c r="Y96" s="417"/>
    </row>
    <row r="97" spans="6:25" ht="16.5" customHeight="1">
      <c r="F97" s="417"/>
      <c r="G97" s="417"/>
      <c r="H97" s="417"/>
      <c r="I97" s="417"/>
      <c r="J97" s="417"/>
      <c r="K97" s="417"/>
      <c r="L97" s="417"/>
      <c r="M97" s="417"/>
      <c r="N97" s="417"/>
      <c r="O97" s="417"/>
      <c r="P97" s="417"/>
      <c r="Q97" s="417"/>
      <c r="R97" s="417"/>
      <c r="S97" s="417"/>
      <c r="T97" s="417"/>
      <c r="U97" s="417"/>
      <c r="V97" s="417"/>
      <c r="W97" s="417"/>
      <c r="X97" s="417"/>
      <c r="Y97" s="417"/>
    </row>
    <row r="98" spans="6:25" ht="16.5" customHeight="1">
      <c r="F98" s="417"/>
      <c r="G98" s="417"/>
      <c r="H98" s="417"/>
      <c r="I98" s="417"/>
      <c r="J98" s="417"/>
      <c r="K98" s="417"/>
      <c r="L98" s="417"/>
      <c r="M98" s="417"/>
      <c r="N98" s="417"/>
      <c r="O98" s="417"/>
      <c r="P98" s="417"/>
      <c r="Q98" s="417"/>
      <c r="R98" s="417"/>
      <c r="S98" s="417"/>
      <c r="T98" s="417"/>
      <c r="U98" s="417"/>
      <c r="V98" s="417"/>
      <c r="W98" s="417"/>
      <c r="X98" s="417"/>
      <c r="Y98" s="417"/>
    </row>
    <row r="99" spans="6:25" ht="16.5" customHeight="1">
      <c r="F99" s="417"/>
      <c r="G99" s="417"/>
      <c r="H99" s="417"/>
      <c r="I99" s="417"/>
      <c r="J99" s="417"/>
      <c r="K99" s="417"/>
      <c r="L99" s="417"/>
      <c r="M99" s="417"/>
      <c r="N99" s="417"/>
      <c r="O99" s="417"/>
      <c r="P99" s="417"/>
      <c r="Q99" s="417"/>
      <c r="R99" s="417"/>
      <c r="S99" s="417"/>
      <c r="T99" s="417"/>
      <c r="U99" s="417"/>
      <c r="V99" s="417"/>
      <c r="W99" s="417"/>
      <c r="X99" s="417"/>
      <c r="Y99" s="417"/>
    </row>
    <row r="100" spans="6:25" ht="16.5" customHeight="1">
      <c r="F100" s="417"/>
      <c r="G100" s="417"/>
      <c r="H100" s="417"/>
      <c r="I100" s="417"/>
      <c r="J100" s="417"/>
      <c r="K100" s="417"/>
      <c r="L100" s="417"/>
      <c r="M100" s="417"/>
      <c r="N100" s="417"/>
      <c r="O100" s="417"/>
      <c r="P100" s="417"/>
      <c r="Q100" s="417"/>
      <c r="R100" s="417"/>
      <c r="S100" s="417"/>
      <c r="T100" s="417"/>
      <c r="U100" s="417"/>
      <c r="V100" s="417"/>
      <c r="W100" s="417"/>
      <c r="X100" s="417"/>
      <c r="Y100" s="417"/>
    </row>
    <row r="101" spans="6:25" ht="16.5" customHeight="1">
      <c r="F101" s="417"/>
      <c r="G101" s="417"/>
      <c r="H101" s="417"/>
      <c r="I101" s="417"/>
      <c r="J101" s="417"/>
      <c r="K101" s="417"/>
      <c r="L101" s="417"/>
      <c r="M101" s="417"/>
      <c r="N101" s="417"/>
      <c r="O101" s="417"/>
      <c r="P101" s="417"/>
      <c r="Q101" s="417"/>
      <c r="R101" s="417"/>
      <c r="S101" s="417"/>
      <c r="T101" s="417"/>
      <c r="U101" s="417"/>
      <c r="V101" s="417"/>
      <c r="W101" s="417"/>
      <c r="X101" s="417"/>
      <c r="Y101" s="417"/>
    </row>
    <row r="102" spans="6:25" ht="16.5" customHeight="1">
      <c r="F102" s="417"/>
      <c r="G102" s="417"/>
      <c r="H102" s="417"/>
      <c r="I102" s="417"/>
      <c r="J102" s="417"/>
      <c r="K102" s="417"/>
      <c r="L102" s="417"/>
      <c r="M102" s="417"/>
      <c r="N102" s="417"/>
      <c r="O102" s="417"/>
      <c r="P102" s="417"/>
      <c r="Q102" s="417"/>
      <c r="R102" s="417"/>
      <c r="S102" s="417"/>
      <c r="T102" s="417"/>
      <c r="U102" s="417"/>
      <c r="V102" s="417"/>
      <c r="W102" s="417"/>
      <c r="X102" s="417"/>
      <c r="Y102" s="417"/>
    </row>
    <row r="103" spans="6:25" ht="16.5" customHeight="1">
      <c r="F103" s="417"/>
      <c r="G103" s="417"/>
      <c r="H103" s="417"/>
      <c r="I103" s="417"/>
      <c r="J103" s="417"/>
      <c r="K103" s="417"/>
      <c r="L103" s="417"/>
      <c r="M103" s="417"/>
      <c r="N103" s="417"/>
      <c r="O103" s="417"/>
      <c r="P103" s="417"/>
      <c r="Q103" s="417"/>
      <c r="R103" s="417"/>
      <c r="S103" s="417"/>
      <c r="T103" s="417"/>
      <c r="U103" s="417"/>
      <c r="V103" s="417"/>
      <c r="W103" s="417"/>
      <c r="X103" s="417"/>
      <c r="Y103" s="417"/>
    </row>
    <row r="104" spans="6:25" ht="16.5" customHeight="1">
      <c r="F104" s="417"/>
      <c r="G104" s="417"/>
      <c r="H104" s="417"/>
      <c r="I104" s="417"/>
      <c r="J104" s="417"/>
      <c r="K104" s="417"/>
      <c r="L104" s="417"/>
      <c r="M104" s="417"/>
      <c r="N104" s="417"/>
      <c r="O104" s="417"/>
      <c r="P104" s="417"/>
      <c r="Q104" s="417"/>
      <c r="R104" s="417"/>
      <c r="S104" s="417"/>
      <c r="T104" s="417"/>
      <c r="U104" s="417"/>
      <c r="V104" s="417"/>
      <c r="W104" s="417"/>
      <c r="X104" s="417"/>
      <c r="Y104" s="417"/>
    </row>
    <row r="105" spans="6:25" ht="16.5" customHeight="1">
      <c r="F105" s="417"/>
      <c r="G105" s="417"/>
      <c r="H105" s="417"/>
      <c r="I105" s="417"/>
      <c r="J105" s="417"/>
      <c r="K105" s="417"/>
      <c r="L105" s="417"/>
      <c r="M105" s="417"/>
      <c r="N105" s="417"/>
      <c r="O105" s="417"/>
      <c r="P105" s="417"/>
      <c r="Q105" s="417"/>
      <c r="R105" s="417"/>
      <c r="S105" s="417"/>
      <c r="T105" s="417"/>
      <c r="U105" s="417"/>
      <c r="V105" s="417"/>
      <c r="W105" s="417"/>
      <c r="X105" s="417"/>
      <c r="Y105" s="417"/>
    </row>
    <row r="106" spans="6:25" ht="16.5" customHeight="1">
      <c r="F106" s="417"/>
      <c r="G106" s="417"/>
      <c r="H106" s="417"/>
      <c r="I106" s="417"/>
      <c r="J106" s="417"/>
      <c r="K106" s="417"/>
      <c r="L106" s="417"/>
      <c r="M106" s="417"/>
      <c r="N106" s="417"/>
      <c r="O106" s="417"/>
      <c r="P106" s="417"/>
      <c r="Q106" s="417"/>
      <c r="R106" s="417"/>
      <c r="S106" s="417"/>
      <c r="T106" s="417"/>
      <c r="U106" s="417"/>
      <c r="V106" s="417"/>
      <c r="W106" s="417"/>
      <c r="X106" s="417"/>
      <c r="Y106" s="417"/>
    </row>
    <row r="107" spans="6:25" ht="16.5" customHeight="1">
      <c r="F107" s="417"/>
      <c r="G107" s="417"/>
      <c r="H107" s="417"/>
      <c r="I107" s="417"/>
      <c r="J107" s="417"/>
      <c r="K107" s="417"/>
      <c r="L107" s="417"/>
      <c r="M107" s="417"/>
      <c r="N107" s="417"/>
      <c r="O107" s="417"/>
      <c r="P107" s="417"/>
      <c r="Q107" s="417"/>
      <c r="R107" s="417"/>
      <c r="S107" s="417"/>
      <c r="T107" s="417"/>
      <c r="U107" s="417"/>
      <c r="V107" s="417"/>
      <c r="W107" s="417"/>
      <c r="X107" s="417"/>
      <c r="Y107" s="417"/>
    </row>
    <row r="108" spans="6:25" ht="16.5" customHeight="1">
      <c r="F108" s="417"/>
      <c r="G108" s="417"/>
      <c r="H108" s="417"/>
      <c r="I108" s="417"/>
      <c r="J108" s="417"/>
      <c r="K108" s="417"/>
      <c r="L108" s="417"/>
      <c r="M108" s="417"/>
      <c r="N108" s="417"/>
      <c r="O108" s="417"/>
      <c r="P108" s="417"/>
      <c r="Q108" s="417"/>
      <c r="R108" s="417"/>
      <c r="S108" s="417"/>
      <c r="T108" s="417"/>
      <c r="U108" s="417"/>
      <c r="V108" s="417"/>
      <c r="W108" s="417"/>
      <c r="X108" s="417"/>
      <c r="Y108" s="417"/>
    </row>
    <row r="109" spans="6:25" ht="16.5" customHeight="1">
      <c r="F109" s="417"/>
      <c r="G109" s="417"/>
      <c r="H109" s="417"/>
      <c r="I109" s="417"/>
      <c r="J109" s="417"/>
      <c r="K109" s="417"/>
      <c r="L109" s="417"/>
      <c r="M109" s="417"/>
      <c r="N109" s="417"/>
      <c r="O109" s="417"/>
      <c r="P109" s="417"/>
      <c r="Q109" s="417"/>
      <c r="R109" s="417"/>
      <c r="S109" s="417"/>
      <c r="T109" s="417"/>
      <c r="U109" s="417"/>
      <c r="V109" s="417"/>
      <c r="W109" s="417"/>
      <c r="X109" s="417"/>
      <c r="Y109" s="417"/>
    </row>
    <row r="110" spans="6:25" ht="16.5" customHeight="1">
      <c r="F110" s="417"/>
      <c r="G110" s="417"/>
      <c r="H110" s="417"/>
      <c r="I110" s="417"/>
      <c r="J110" s="417"/>
      <c r="K110" s="417"/>
      <c r="L110" s="417"/>
      <c r="M110" s="417"/>
      <c r="N110" s="417"/>
      <c r="O110" s="417"/>
      <c r="P110" s="417"/>
      <c r="Q110" s="417"/>
      <c r="R110" s="417"/>
      <c r="S110" s="417"/>
      <c r="T110" s="417"/>
      <c r="U110" s="417"/>
      <c r="V110" s="417"/>
      <c r="W110" s="417"/>
      <c r="X110" s="417"/>
      <c r="Y110" s="417"/>
    </row>
    <row r="111" spans="6:25" ht="16.5" customHeight="1">
      <c r="F111" s="417"/>
      <c r="G111" s="417"/>
      <c r="H111" s="417"/>
      <c r="I111" s="417"/>
      <c r="J111" s="417"/>
      <c r="K111" s="417"/>
      <c r="L111" s="417"/>
      <c r="M111" s="417"/>
      <c r="N111" s="417"/>
      <c r="O111" s="417"/>
      <c r="P111" s="417"/>
      <c r="Q111" s="417"/>
      <c r="R111" s="417"/>
      <c r="S111" s="417"/>
      <c r="T111" s="417"/>
      <c r="U111" s="417"/>
      <c r="V111" s="417"/>
      <c r="W111" s="417"/>
      <c r="X111" s="417"/>
      <c r="Y111" s="417"/>
    </row>
    <row r="112" spans="6:25" ht="16.5" customHeight="1">
      <c r="F112" s="417"/>
      <c r="G112" s="417"/>
      <c r="H112" s="417"/>
      <c r="I112" s="417"/>
      <c r="J112" s="417"/>
      <c r="K112" s="417"/>
      <c r="L112" s="417"/>
      <c r="M112" s="417"/>
      <c r="N112" s="417"/>
      <c r="O112" s="417"/>
      <c r="P112" s="417"/>
      <c r="Q112" s="417"/>
      <c r="R112" s="417"/>
      <c r="S112" s="417"/>
      <c r="T112" s="417"/>
      <c r="U112" s="417"/>
      <c r="V112" s="417"/>
      <c r="W112" s="417"/>
      <c r="X112" s="417"/>
      <c r="Y112" s="417"/>
    </row>
    <row r="113" spans="6:25" ht="16.5" customHeight="1">
      <c r="F113" s="417"/>
      <c r="G113" s="417"/>
      <c r="H113" s="417"/>
      <c r="I113" s="417"/>
      <c r="J113" s="417"/>
      <c r="K113" s="417"/>
      <c r="L113" s="417"/>
      <c r="M113" s="417"/>
      <c r="N113" s="417"/>
      <c r="O113" s="417"/>
      <c r="P113" s="417"/>
      <c r="Q113" s="417"/>
      <c r="R113" s="417"/>
      <c r="S113" s="417"/>
      <c r="T113" s="417"/>
      <c r="U113" s="417"/>
      <c r="V113" s="417"/>
      <c r="W113" s="417"/>
      <c r="X113" s="417"/>
      <c r="Y113" s="417"/>
    </row>
    <row r="114" spans="6:25" ht="16.5" customHeight="1">
      <c r="F114" s="417"/>
      <c r="G114" s="417"/>
      <c r="H114" s="417"/>
      <c r="I114" s="417"/>
      <c r="J114" s="417"/>
      <c r="K114" s="417"/>
      <c r="L114" s="417"/>
      <c r="M114" s="417"/>
      <c r="N114" s="417"/>
      <c r="O114" s="417"/>
      <c r="P114" s="417"/>
      <c r="Q114" s="417"/>
      <c r="R114" s="417"/>
      <c r="S114" s="417"/>
      <c r="T114" s="417"/>
      <c r="U114" s="417"/>
      <c r="V114" s="417"/>
      <c r="W114" s="417"/>
      <c r="X114" s="417"/>
      <c r="Y114" s="417"/>
    </row>
    <row r="115" spans="6:25" ht="16.5" customHeight="1">
      <c r="F115" s="417"/>
      <c r="G115" s="417"/>
      <c r="H115" s="417"/>
      <c r="I115" s="417"/>
      <c r="J115" s="417"/>
      <c r="K115" s="417"/>
      <c r="L115" s="417"/>
      <c r="M115" s="417"/>
      <c r="N115" s="417"/>
      <c r="O115" s="417"/>
      <c r="P115" s="417"/>
      <c r="Q115" s="417"/>
      <c r="R115" s="417"/>
      <c r="S115" s="417"/>
      <c r="T115" s="417"/>
      <c r="U115" s="417"/>
      <c r="V115" s="417"/>
      <c r="W115" s="417"/>
      <c r="X115" s="417"/>
      <c r="Y115" s="417"/>
    </row>
    <row r="116" spans="6:25" ht="16.5" customHeight="1">
      <c r="F116" s="417"/>
      <c r="G116" s="417"/>
      <c r="H116" s="417"/>
      <c r="I116" s="417"/>
      <c r="J116" s="417"/>
      <c r="K116" s="417"/>
      <c r="L116" s="417"/>
      <c r="M116" s="417"/>
      <c r="N116" s="417"/>
      <c r="O116" s="417"/>
      <c r="P116" s="417"/>
      <c r="Q116" s="417"/>
      <c r="R116" s="417"/>
      <c r="S116" s="417"/>
      <c r="T116" s="417"/>
      <c r="U116" s="417"/>
      <c r="V116" s="417"/>
      <c r="W116" s="417"/>
      <c r="X116" s="417"/>
      <c r="Y116" s="417"/>
    </row>
    <row r="117" spans="6:25" ht="16.5" customHeight="1">
      <c r="F117" s="417"/>
      <c r="G117" s="417"/>
      <c r="H117" s="417"/>
      <c r="I117" s="417"/>
      <c r="J117" s="417"/>
      <c r="K117" s="417"/>
      <c r="L117" s="417"/>
      <c r="M117" s="417"/>
      <c r="N117" s="417"/>
      <c r="O117" s="417"/>
      <c r="P117" s="417"/>
      <c r="Q117" s="417"/>
      <c r="R117" s="417"/>
      <c r="S117" s="417"/>
      <c r="T117" s="417"/>
      <c r="U117" s="417"/>
      <c r="V117" s="417"/>
      <c r="W117" s="417"/>
      <c r="X117" s="417"/>
      <c r="Y117" s="417"/>
    </row>
    <row r="118" spans="6:25" ht="16.5" customHeight="1">
      <c r="F118" s="417"/>
      <c r="G118" s="417"/>
      <c r="H118" s="417"/>
      <c r="I118" s="417"/>
      <c r="J118" s="417"/>
      <c r="K118" s="417"/>
      <c r="L118" s="417"/>
      <c r="M118" s="417"/>
      <c r="N118" s="417"/>
      <c r="O118" s="417"/>
      <c r="P118" s="417"/>
      <c r="Q118" s="417"/>
      <c r="R118" s="417"/>
      <c r="S118" s="417"/>
      <c r="T118" s="417"/>
      <c r="U118" s="417"/>
      <c r="V118" s="417"/>
      <c r="W118" s="417"/>
      <c r="X118" s="417"/>
      <c r="Y118" s="417"/>
    </row>
    <row r="119" spans="6:25" ht="16.5" customHeight="1">
      <c r="F119" s="417"/>
      <c r="G119" s="417"/>
      <c r="H119" s="417"/>
      <c r="I119" s="417"/>
      <c r="J119" s="417"/>
      <c r="K119" s="417"/>
      <c r="L119" s="417"/>
      <c r="M119" s="417"/>
      <c r="N119" s="417"/>
      <c r="O119" s="417"/>
      <c r="P119" s="417"/>
      <c r="Q119" s="417"/>
      <c r="R119" s="417"/>
      <c r="S119" s="417"/>
      <c r="T119" s="417"/>
      <c r="U119" s="417"/>
      <c r="V119" s="417"/>
      <c r="W119" s="417"/>
      <c r="X119" s="417"/>
      <c r="Y119" s="417"/>
    </row>
    <row r="120" spans="6:25" ht="16.5" customHeight="1">
      <c r="F120" s="417"/>
      <c r="G120" s="417"/>
      <c r="H120" s="417"/>
      <c r="I120" s="417"/>
      <c r="J120" s="417"/>
      <c r="K120" s="417"/>
      <c r="L120" s="417"/>
      <c r="M120" s="417"/>
      <c r="N120" s="417"/>
      <c r="O120" s="417"/>
      <c r="P120" s="417"/>
      <c r="Q120" s="417"/>
      <c r="R120" s="417"/>
      <c r="S120" s="417"/>
      <c r="T120" s="417"/>
      <c r="U120" s="417"/>
      <c r="V120" s="417"/>
      <c r="W120" s="417"/>
      <c r="X120" s="417"/>
      <c r="Y120" s="417"/>
    </row>
    <row r="121" spans="6:25" ht="16.5" customHeight="1">
      <c r="F121" s="417"/>
      <c r="G121" s="417"/>
      <c r="H121" s="417"/>
      <c r="I121" s="417"/>
      <c r="J121" s="417"/>
      <c r="K121" s="417"/>
      <c r="L121" s="417"/>
      <c r="M121" s="417"/>
      <c r="N121" s="417"/>
      <c r="O121" s="417"/>
      <c r="P121" s="417"/>
      <c r="Q121" s="417"/>
      <c r="R121" s="417"/>
      <c r="S121" s="417"/>
      <c r="T121" s="417"/>
      <c r="U121" s="417"/>
      <c r="V121" s="417"/>
      <c r="W121" s="417"/>
      <c r="X121" s="417"/>
      <c r="Y121" s="417"/>
    </row>
    <row r="122" spans="6:25" ht="16.5" customHeight="1">
      <c r="F122" s="417"/>
      <c r="G122" s="417"/>
      <c r="H122" s="417"/>
      <c r="I122" s="417"/>
      <c r="J122" s="417"/>
      <c r="K122" s="417"/>
      <c r="L122" s="417"/>
      <c r="M122" s="417"/>
      <c r="N122" s="417"/>
      <c r="O122" s="417"/>
      <c r="P122" s="417"/>
      <c r="Q122" s="417"/>
      <c r="R122" s="417"/>
      <c r="S122" s="417"/>
      <c r="T122" s="417"/>
      <c r="U122" s="417"/>
      <c r="V122" s="417"/>
      <c r="W122" s="417"/>
      <c r="X122" s="417"/>
      <c r="Y122" s="417"/>
    </row>
    <row r="123" spans="6:25" ht="16.5" customHeight="1">
      <c r="F123" s="417"/>
      <c r="G123" s="417"/>
      <c r="H123" s="417"/>
      <c r="I123" s="417"/>
      <c r="J123" s="417"/>
      <c r="K123" s="417"/>
      <c r="L123" s="417"/>
      <c r="M123" s="417"/>
      <c r="N123" s="417"/>
      <c r="O123" s="417"/>
      <c r="P123" s="417"/>
      <c r="Q123" s="417"/>
      <c r="R123" s="417"/>
      <c r="S123" s="417"/>
      <c r="T123" s="417"/>
      <c r="U123" s="417"/>
      <c r="V123" s="417"/>
      <c r="W123" s="417"/>
      <c r="X123" s="417"/>
      <c r="Y123" s="417"/>
    </row>
    <row r="124" spans="6:25" ht="16.5" customHeight="1">
      <c r="F124" s="417"/>
      <c r="G124" s="417"/>
      <c r="H124" s="417"/>
      <c r="I124" s="417"/>
      <c r="J124" s="417"/>
      <c r="K124" s="417"/>
      <c r="L124" s="417"/>
      <c r="M124" s="417"/>
      <c r="N124" s="417"/>
      <c r="O124" s="417"/>
      <c r="P124" s="417"/>
      <c r="Q124" s="417"/>
      <c r="R124" s="417"/>
      <c r="S124" s="417"/>
      <c r="T124" s="417"/>
      <c r="U124" s="417"/>
      <c r="V124" s="417"/>
      <c r="W124" s="417"/>
      <c r="X124" s="417"/>
      <c r="Y124" s="417"/>
    </row>
    <row r="125" spans="6:25" ht="16.5" customHeight="1">
      <c r="F125" s="417"/>
      <c r="G125" s="417"/>
      <c r="H125" s="417"/>
      <c r="I125" s="417"/>
      <c r="J125" s="417"/>
      <c r="K125" s="417"/>
      <c r="L125" s="417"/>
      <c r="M125" s="417"/>
      <c r="N125" s="417"/>
      <c r="O125" s="417"/>
      <c r="P125" s="417"/>
      <c r="Q125" s="417"/>
      <c r="R125" s="417"/>
      <c r="S125" s="417"/>
      <c r="T125" s="417"/>
      <c r="U125" s="417"/>
      <c r="V125" s="417"/>
      <c r="W125" s="417"/>
      <c r="X125" s="417"/>
      <c r="Y125" s="417"/>
    </row>
    <row r="126" spans="6:25" ht="16.5" customHeight="1">
      <c r="F126" s="417"/>
      <c r="G126" s="417"/>
      <c r="H126" s="417"/>
      <c r="I126" s="417"/>
      <c r="J126" s="417"/>
      <c r="K126" s="417"/>
      <c r="L126" s="417"/>
      <c r="M126" s="417"/>
      <c r="N126" s="417"/>
      <c r="O126" s="417"/>
      <c r="P126" s="417"/>
      <c r="Q126" s="417"/>
      <c r="R126" s="417"/>
      <c r="S126" s="417"/>
      <c r="T126" s="417"/>
      <c r="U126" s="417"/>
      <c r="V126" s="417"/>
      <c r="W126" s="417"/>
      <c r="X126" s="417"/>
      <c r="Y126" s="417"/>
    </row>
    <row r="127" spans="6:25" ht="16.5" customHeight="1">
      <c r="F127" s="417"/>
      <c r="G127" s="417"/>
      <c r="H127" s="417"/>
      <c r="I127" s="417"/>
      <c r="J127" s="417"/>
      <c r="K127" s="417"/>
      <c r="L127" s="417"/>
      <c r="M127" s="417"/>
      <c r="N127" s="417"/>
      <c r="O127" s="417"/>
      <c r="P127" s="417"/>
      <c r="Q127" s="417"/>
      <c r="R127" s="417"/>
      <c r="S127" s="417"/>
      <c r="T127" s="417"/>
      <c r="U127" s="417"/>
      <c r="V127" s="417"/>
      <c r="W127" s="417"/>
      <c r="X127" s="417"/>
      <c r="Y127" s="417"/>
    </row>
    <row r="128" spans="6:25" ht="16.5" customHeight="1">
      <c r="F128" s="417"/>
      <c r="G128" s="417"/>
      <c r="H128" s="417"/>
      <c r="I128" s="417"/>
      <c r="J128" s="417"/>
      <c r="K128" s="417"/>
      <c r="L128" s="417"/>
      <c r="M128" s="417"/>
      <c r="N128" s="417"/>
      <c r="O128" s="417"/>
      <c r="P128" s="417"/>
      <c r="Q128" s="417"/>
      <c r="R128" s="417"/>
      <c r="S128" s="417"/>
      <c r="T128" s="417"/>
      <c r="U128" s="417"/>
      <c r="V128" s="417"/>
      <c r="W128" s="417"/>
      <c r="X128" s="417"/>
      <c r="Y128" s="417"/>
    </row>
    <row r="129" spans="6:25" ht="16.5" customHeight="1">
      <c r="F129" s="417"/>
      <c r="G129" s="417"/>
      <c r="H129" s="417"/>
      <c r="I129" s="417"/>
      <c r="J129" s="417"/>
      <c r="K129" s="417"/>
      <c r="L129" s="417"/>
      <c r="M129" s="417"/>
      <c r="N129" s="417"/>
      <c r="O129" s="417"/>
      <c r="P129" s="417"/>
      <c r="Q129" s="417"/>
      <c r="R129" s="417"/>
      <c r="S129" s="417"/>
      <c r="T129" s="417"/>
      <c r="U129" s="417"/>
      <c r="V129" s="417"/>
      <c r="W129" s="417"/>
      <c r="X129" s="417"/>
      <c r="Y129" s="417"/>
    </row>
    <row r="130" spans="6:25" ht="16.5" customHeight="1">
      <c r="F130" s="417"/>
      <c r="G130" s="417"/>
      <c r="H130" s="417"/>
      <c r="I130" s="417"/>
      <c r="J130" s="417"/>
      <c r="K130" s="417"/>
      <c r="L130" s="417"/>
      <c r="M130" s="417"/>
      <c r="N130" s="417"/>
      <c r="O130" s="417"/>
      <c r="P130" s="417"/>
      <c r="Q130" s="417"/>
      <c r="R130" s="417"/>
      <c r="S130" s="417"/>
      <c r="T130" s="417"/>
      <c r="U130" s="417"/>
      <c r="V130" s="417"/>
      <c r="W130" s="417"/>
      <c r="X130" s="417"/>
      <c r="Y130" s="417"/>
    </row>
    <row r="131" spans="6:25" ht="16.5" customHeight="1">
      <c r="F131" s="417"/>
      <c r="G131" s="417"/>
      <c r="H131" s="417"/>
      <c r="I131" s="417"/>
      <c r="J131" s="417"/>
      <c r="K131" s="417"/>
      <c r="L131" s="417"/>
      <c r="M131" s="417"/>
      <c r="N131" s="417"/>
      <c r="O131" s="417"/>
      <c r="P131" s="417"/>
      <c r="Q131" s="417"/>
      <c r="R131" s="417"/>
      <c r="S131" s="417"/>
      <c r="T131" s="417"/>
      <c r="U131" s="417"/>
      <c r="V131" s="417"/>
      <c r="W131" s="417"/>
      <c r="X131" s="417"/>
      <c r="Y131" s="417"/>
    </row>
    <row r="132" spans="6:25" ht="16.5" customHeight="1">
      <c r="F132" s="417"/>
      <c r="G132" s="417"/>
      <c r="H132" s="417"/>
      <c r="I132" s="417"/>
      <c r="J132" s="417"/>
      <c r="K132" s="417"/>
      <c r="L132" s="417"/>
      <c r="M132" s="417"/>
      <c r="N132" s="417"/>
      <c r="O132" s="417"/>
      <c r="P132" s="417"/>
      <c r="Q132" s="417"/>
      <c r="R132" s="417"/>
      <c r="S132" s="417"/>
      <c r="T132" s="417"/>
      <c r="U132" s="417"/>
      <c r="V132" s="417"/>
      <c r="W132" s="417"/>
      <c r="X132" s="417"/>
      <c r="Y132" s="417"/>
    </row>
    <row r="133" spans="6:25" ht="16.5" customHeight="1">
      <c r="F133" s="417"/>
      <c r="G133" s="417"/>
      <c r="H133" s="417"/>
      <c r="I133" s="417"/>
      <c r="J133" s="417"/>
      <c r="K133" s="417"/>
      <c r="L133" s="417"/>
      <c r="M133" s="417"/>
      <c r="N133" s="417"/>
      <c r="O133" s="417"/>
      <c r="P133" s="417"/>
      <c r="Q133" s="417"/>
      <c r="R133" s="417"/>
      <c r="S133" s="417"/>
      <c r="T133" s="417"/>
      <c r="U133" s="417"/>
      <c r="V133" s="417"/>
      <c r="W133" s="417"/>
      <c r="X133" s="417"/>
      <c r="Y133" s="417"/>
    </row>
    <row r="134" spans="6:25" ht="16.5" customHeight="1">
      <c r="F134" s="417"/>
      <c r="G134" s="417"/>
      <c r="H134" s="417"/>
      <c r="I134" s="417"/>
      <c r="J134" s="417"/>
      <c r="K134" s="417"/>
      <c r="L134" s="417"/>
      <c r="M134" s="417"/>
      <c r="N134" s="417"/>
      <c r="O134" s="417"/>
      <c r="P134" s="417"/>
      <c r="Q134" s="417"/>
      <c r="R134" s="417"/>
      <c r="S134" s="417"/>
      <c r="T134" s="417"/>
      <c r="U134" s="417"/>
      <c r="V134" s="417"/>
      <c r="W134" s="417"/>
      <c r="X134" s="417"/>
      <c r="Y134" s="417"/>
    </row>
    <row r="135" spans="6:25" ht="16.5" customHeight="1">
      <c r="F135" s="417"/>
      <c r="G135" s="417"/>
      <c r="H135" s="417"/>
      <c r="I135" s="417"/>
      <c r="J135" s="417"/>
      <c r="K135" s="417"/>
      <c r="L135" s="417"/>
      <c r="M135" s="417"/>
      <c r="N135" s="417"/>
      <c r="O135" s="417"/>
      <c r="P135" s="417"/>
      <c r="Q135" s="417"/>
      <c r="R135" s="417"/>
      <c r="S135" s="417"/>
      <c r="T135" s="417"/>
      <c r="U135" s="417"/>
      <c r="V135" s="417"/>
      <c r="W135" s="417"/>
      <c r="X135" s="417"/>
      <c r="Y135" s="417"/>
    </row>
    <row r="136" spans="6:25" ht="16.5" customHeight="1">
      <c r="F136" s="417"/>
      <c r="G136" s="417"/>
      <c r="H136" s="417"/>
      <c r="I136" s="417"/>
      <c r="J136" s="417"/>
      <c r="K136" s="417"/>
      <c r="L136" s="417"/>
      <c r="M136" s="417"/>
      <c r="N136" s="417"/>
      <c r="O136" s="417"/>
      <c r="P136" s="417"/>
      <c r="Q136" s="417"/>
      <c r="R136" s="417"/>
      <c r="S136" s="417"/>
      <c r="T136" s="417"/>
      <c r="U136" s="417"/>
      <c r="V136" s="417"/>
      <c r="W136" s="417"/>
      <c r="X136" s="417"/>
      <c r="Y136" s="417"/>
    </row>
    <row r="137" spans="6:25" ht="16.5" customHeight="1">
      <c r="F137" s="417"/>
      <c r="G137" s="417"/>
      <c r="H137" s="417"/>
      <c r="I137" s="417"/>
      <c r="J137" s="417"/>
      <c r="K137" s="417"/>
      <c r="L137" s="417"/>
      <c r="M137" s="417"/>
      <c r="N137" s="417"/>
      <c r="O137" s="417"/>
      <c r="P137" s="417"/>
      <c r="Q137" s="417"/>
      <c r="R137" s="417"/>
      <c r="S137" s="417"/>
      <c r="T137" s="417"/>
      <c r="U137" s="417"/>
      <c r="V137" s="417"/>
      <c r="W137" s="417"/>
      <c r="X137" s="417"/>
      <c r="Y137" s="417"/>
    </row>
    <row r="138" spans="6:25" ht="16.5" customHeight="1">
      <c r="F138" s="417"/>
      <c r="G138" s="417"/>
      <c r="H138" s="417"/>
      <c r="I138" s="417"/>
      <c r="J138" s="417"/>
      <c r="K138" s="417"/>
      <c r="L138" s="417"/>
      <c r="M138" s="417"/>
      <c r="N138" s="417"/>
      <c r="O138" s="417"/>
      <c r="P138" s="417"/>
      <c r="Q138" s="417"/>
      <c r="R138" s="417"/>
      <c r="S138" s="417"/>
      <c r="T138" s="417"/>
      <c r="U138" s="417"/>
      <c r="V138" s="417"/>
      <c r="W138" s="417"/>
      <c r="X138" s="417"/>
      <c r="Y138" s="417"/>
    </row>
    <row r="139" spans="6:25" ht="16.5" customHeight="1">
      <c r="F139" s="417"/>
      <c r="G139" s="417"/>
      <c r="H139" s="417"/>
      <c r="I139" s="417"/>
      <c r="J139" s="417"/>
      <c r="K139" s="417"/>
      <c r="L139" s="417"/>
      <c r="M139" s="417"/>
      <c r="N139" s="417"/>
      <c r="O139" s="417"/>
      <c r="P139" s="417"/>
      <c r="Q139" s="417"/>
      <c r="R139" s="417"/>
      <c r="S139" s="417"/>
      <c r="T139" s="417"/>
      <c r="U139" s="417"/>
      <c r="V139" s="417"/>
      <c r="W139" s="417"/>
      <c r="X139" s="417"/>
      <c r="Y139" s="417"/>
    </row>
    <row r="140" spans="6:25" ht="16.5" customHeight="1">
      <c r="F140" s="417"/>
      <c r="G140" s="417"/>
      <c r="H140" s="417"/>
      <c r="I140" s="417"/>
      <c r="J140" s="417"/>
      <c r="K140" s="417"/>
      <c r="L140" s="417"/>
      <c r="M140" s="417"/>
      <c r="N140" s="417"/>
      <c r="O140" s="417"/>
      <c r="P140" s="417"/>
      <c r="Q140" s="417"/>
      <c r="R140" s="417"/>
      <c r="S140" s="417"/>
      <c r="T140" s="417"/>
      <c r="U140" s="417"/>
      <c r="V140" s="417"/>
      <c r="W140" s="417"/>
      <c r="X140" s="417"/>
      <c r="Y140" s="417"/>
    </row>
    <row r="141" spans="6:25" ht="16.5" customHeight="1">
      <c r="F141" s="417"/>
      <c r="G141" s="417"/>
      <c r="H141" s="417"/>
      <c r="I141" s="417"/>
      <c r="J141" s="417"/>
      <c r="K141" s="417"/>
      <c r="L141" s="417"/>
      <c r="M141" s="417"/>
      <c r="N141" s="417"/>
      <c r="O141" s="417"/>
      <c r="P141" s="417"/>
      <c r="Q141" s="417"/>
      <c r="R141" s="417"/>
      <c r="S141" s="417"/>
      <c r="T141" s="417"/>
      <c r="U141" s="417"/>
      <c r="V141" s="417"/>
      <c r="W141" s="417"/>
      <c r="X141" s="417"/>
      <c r="Y141" s="417"/>
    </row>
    <row r="142" spans="6:25" ht="16.5" customHeight="1">
      <c r="F142" s="417"/>
      <c r="G142" s="417"/>
      <c r="H142" s="417"/>
      <c r="I142" s="417"/>
      <c r="J142" s="417"/>
      <c r="K142" s="417"/>
      <c r="L142" s="417"/>
      <c r="M142" s="417"/>
      <c r="N142" s="417"/>
      <c r="O142" s="417"/>
      <c r="P142" s="417"/>
      <c r="Q142" s="417"/>
      <c r="R142" s="417"/>
      <c r="S142" s="417"/>
      <c r="T142" s="417"/>
      <c r="U142" s="417"/>
      <c r="V142" s="417"/>
      <c r="W142" s="417"/>
      <c r="X142" s="417"/>
      <c r="Y142" s="417"/>
    </row>
    <row r="143" spans="6:25" ht="16.5" customHeight="1">
      <c r="F143" s="417"/>
      <c r="G143" s="417"/>
      <c r="H143" s="417"/>
      <c r="I143" s="417"/>
      <c r="J143" s="417"/>
      <c r="K143" s="417"/>
      <c r="L143" s="417"/>
      <c r="M143" s="417"/>
      <c r="N143" s="417"/>
      <c r="O143" s="417"/>
      <c r="P143" s="417"/>
      <c r="Q143" s="417"/>
      <c r="R143" s="417"/>
      <c r="S143" s="417"/>
      <c r="T143" s="417"/>
      <c r="U143" s="417"/>
      <c r="V143" s="417"/>
      <c r="W143" s="417"/>
      <c r="X143" s="417"/>
      <c r="Y143" s="417"/>
    </row>
    <row r="144" spans="6:25" ht="16.5" customHeight="1">
      <c r="F144" s="417"/>
      <c r="G144" s="417"/>
      <c r="H144" s="417"/>
      <c r="I144" s="417"/>
      <c r="J144" s="417"/>
      <c r="K144" s="417"/>
      <c r="L144" s="417"/>
      <c r="M144" s="417"/>
      <c r="N144" s="417"/>
      <c r="O144" s="417"/>
      <c r="P144" s="417"/>
      <c r="Q144" s="417"/>
      <c r="R144" s="417"/>
      <c r="S144" s="417"/>
      <c r="T144" s="417"/>
      <c r="U144" s="417"/>
      <c r="V144" s="417"/>
      <c r="W144" s="417"/>
      <c r="X144" s="417"/>
      <c r="Y144" s="417"/>
    </row>
    <row r="145" spans="6:25" ht="16.5" customHeight="1">
      <c r="F145" s="417"/>
      <c r="G145" s="417"/>
      <c r="H145" s="417"/>
      <c r="I145" s="417"/>
      <c r="J145" s="417"/>
      <c r="K145" s="417"/>
      <c r="L145" s="417"/>
      <c r="M145" s="417"/>
      <c r="N145" s="417"/>
      <c r="O145" s="417"/>
      <c r="P145" s="417"/>
      <c r="Q145" s="417"/>
      <c r="R145" s="417"/>
      <c r="S145" s="417"/>
      <c r="T145" s="417"/>
      <c r="U145" s="417"/>
      <c r="V145" s="417"/>
      <c r="W145" s="417"/>
      <c r="X145" s="417"/>
      <c r="Y145" s="417"/>
    </row>
    <row r="146" spans="6:25" ht="16.5" customHeight="1">
      <c r="F146" s="417"/>
      <c r="G146" s="417"/>
      <c r="H146" s="417"/>
      <c r="I146" s="417"/>
      <c r="J146" s="417"/>
      <c r="K146" s="417"/>
      <c r="L146" s="417"/>
      <c r="M146" s="417"/>
      <c r="N146" s="417"/>
      <c r="O146" s="417"/>
      <c r="P146" s="417"/>
      <c r="Q146" s="417"/>
      <c r="R146" s="417"/>
      <c r="S146" s="417"/>
      <c r="T146" s="417"/>
      <c r="U146" s="417"/>
      <c r="V146" s="417"/>
      <c r="W146" s="417"/>
      <c r="X146" s="417"/>
      <c r="Y146" s="417"/>
    </row>
    <row r="147" spans="6:25" ht="16.5" customHeight="1">
      <c r="F147" s="417"/>
      <c r="G147" s="417"/>
      <c r="H147" s="417"/>
      <c r="I147" s="417"/>
      <c r="J147" s="417"/>
      <c r="K147" s="417"/>
      <c r="L147" s="417"/>
      <c r="M147" s="417"/>
      <c r="N147" s="417"/>
      <c r="O147" s="417"/>
      <c r="P147" s="417"/>
      <c r="Q147" s="417"/>
      <c r="R147" s="417"/>
      <c r="S147" s="417"/>
      <c r="T147" s="417"/>
      <c r="U147" s="417"/>
      <c r="V147" s="417"/>
      <c r="W147" s="417"/>
      <c r="X147" s="417"/>
      <c r="Y147" s="417"/>
    </row>
    <row r="148" spans="6:25" ht="16.5" customHeight="1">
      <c r="F148" s="417"/>
      <c r="G148" s="417"/>
      <c r="H148" s="417"/>
      <c r="I148" s="417"/>
      <c r="J148" s="417"/>
      <c r="K148" s="417"/>
      <c r="L148" s="417"/>
      <c r="M148" s="417"/>
      <c r="N148" s="417"/>
      <c r="O148" s="417"/>
      <c r="P148" s="417"/>
      <c r="Q148" s="417"/>
      <c r="R148" s="417"/>
      <c r="S148" s="417"/>
      <c r="T148" s="417"/>
      <c r="U148" s="417"/>
      <c r="V148" s="417"/>
      <c r="W148" s="417"/>
      <c r="X148" s="417"/>
      <c r="Y148" s="417"/>
    </row>
    <row r="149" spans="6:25" ht="16.5" customHeight="1">
      <c r="F149" s="417"/>
      <c r="G149" s="417"/>
      <c r="H149" s="417"/>
      <c r="I149" s="417"/>
      <c r="J149" s="417"/>
      <c r="K149" s="417"/>
      <c r="L149" s="417"/>
      <c r="M149" s="417"/>
      <c r="N149" s="417"/>
      <c r="O149" s="417"/>
      <c r="P149" s="417"/>
      <c r="Q149" s="417"/>
      <c r="R149" s="417"/>
      <c r="S149" s="417"/>
      <c r="T149" s="417"/>
      <c r="U149" s="417"/>
      <c r="V149" s="417"/>
      <c r="W149" s="417"/>
      <c r="X149" s="417"/>
      <c r="Y149" s="417"/>
    </row>
    <row r="150" spans="6:25" ht="16.5" customHeight="1">
      <c r="F150" s="417"/>
      <c r="G150" s="417"/>
      <c r="H150" s="417"/>
      <c r="I150" s="417"/>
      <c r="J150" s="417"/>
      <c r="K150" s="417"/>
      <c r="L150" s="417"/>
      <c r="M150" s="417"/>
      <c r="N150" s="417"/>
      <c r="O150" s="417"/>
      <c r="P150" s="417"/>
      <c r="Q150" s="417"/>
      <c r="R150" s="417"/>
      <c r="S150" s="417"/>
      <c r="T150" s="417"/>
      <c r="U150" s="417"/>
      <c r="V150" s="417"/>
      <c r="W150" s="417"/>
      <c r="X150" s="417"/>
      <c r="Y150" s="417"/>
    </row>
    <row r="151" spans="6:25" ht="16.5" customHeight="1">
      <c r="F151" s="417"/>
      <c r="G151" s="417"/>
      <c r="H151" s="417"/>
      <c r="I151" s="417"/>
      <c r="J151" s="417"/>
      <c r="K151" s="417"/>
      <c r="L151" s="417"/>
      <c r="M151" s="417"/>
      <c r="N151" s="417"/>
      <c r="O151" s="417"/>
      <c r="P151" s="417"/>
      <c r="Q151" s="417"/>
      <c r="R151" s="417"/>
      <c r="S151" s="417"/>
      <c r="T151" s="417"/>
      <c r="U151" s="417"/>
      <c r="V151" s="417"/>
      <c r="W151" s="417"/>
      <c r="X151" s="417"/>
      <c r="Y151" s="417"/>
    </row>
    <row r="152" spans="6:25" ht="16.5" customHeight="1">
      <c r="F152" s="417"/>
      <c r="G152" s="417"/>
      <c r="H152" s="417"/>
      <c r="I152" s="417"/>
      <c r="J152" s="417"/>
      <c r="K152" s="417"/>
      <c r="L152" s="417"/>
      <c r="M152" s="417"/>
      <c r="N152" s="417"/>
      <c r="O152" s="417"/>
      <c r="P152" s="417"/>
      <c r="Q152" s="417"/>
      <c r="R152" s="417"/>
      <c r="S152" s="417"/>
      <c r="T152" s="417"/>
      <c r="U152" s="417"/>
      <c r="V152" s="417"/>
      <c r="W152" s="417"/>
      <c r="X152" s="417"/>
      <c r="Y152" s="417"/>
    </row>
    <row r="153" spans="6:25" ht="16.5" customHeight="1">
      <c r="F153" s="417"/>
      <c r="G153" s="417"/>
      <c r="H153" s="417"/>
      <c r="I153" s="417"/>
      <c r="J153" s="417"/>
      <c r="K153" s="417"/>
      <c r="L153" s="417"/>
      <c r="M153" s="417"/>
      <c r="N153" s="417"/>
      <c r="O153" s="417"/>
      <c r="P153" s="417"/>
      <c r="Q153" s="417"/>
      <c r="R153" s="417"/>
      <c r="S153" s="417"/>
      <c r="T153" s="417"/>
      <c r="U153" s="417"/>
      <c r="V153" s="417"/>
      <c r="W153" s="417"/>
      <c r="X153" s="417"/>
      <c r="Y153" s="417"/>
    </row>
    <row r="154" spans="6:25" ht="16.5" customHeight="1">
      <c r="F154" s="417"/>
      <c r="G154" s="417"/>
      <c r="H154" s="417"/>
      <c r="I154" s="417"/>
      <c r="J154" s="417"/>
      <c r="K154" s="417"/>
      <c r="L154" s="417"/>
      <c r="M154" s="417"/>
      <c r="N154" s="417"/>
      <c r="O154" s="417"/>
      <c r="P154" s="417"/>
      <c r="Q154" s="417"/>
      <c r="R154" s="417"/>
      <c r="S154" s="417"/>
      <c r="T154" s="417"/>
      <c r="U154" s="417"/>
      <c r="V154" s="417"/>
      <c r="W154" s="417"/>
      <c r="X154" s="417"/>
      <c r="Y154" s="417"/>
    </row>
    <row r="155" spans="6:25" ht="16.5" customHeight="1">
      <c r="F155" s="417"/>
      <c r="G155" s="417"/>
      <c r="H155" s="417"/>
      <c r="I155" s="417"/>
      <c r="J155" s="417"/>
      <c r="K155" s="417"/>
      <c r="L155" s="417"/>
      <c r="M155" s="417"/>
      <c r="N155" s="417"/>
      <c r="O155" s="417"/>
      <c r="P155" s="417"/>
      <c r="Q155" s="417"/>
      <c r="R155" s="417"/>
      <c r="S155" s="417"/>
      <c r="T155" s="417"/>
      <c r="U155" s="417"/>
      <c r="V155" s="417"/>
      <c r="W155" s="417"/>
      <c r="X155" s="417"/>
      <c r="Y155" s="417"/>
    </row>
    <row r="156" spans="6:25" ht="16.5" customHeight="1">
      <c r="F156" s="417"/>
      <c r="G156" s="417"/>
      <c r="H156" s="417"/>
      <c r="I156" s="417"/>
      <c r="J156" s="417"/>
      <c r="K156" s="417"/>
      <c r="L156" s="417"/>
      <c r="M156" s="417"/>
      <c r="N156" s="417"/>
      <c r="O156" s="417"/>
      <c r="P156" s="417"/>
      <c r="Q156" s="417"/>
      <c r="R156" s="417"/>
      <c r="S156" s="417"/>
      <c r="T156" s="417"/>
      <c r="U156" s="417"/>
      <c r="V156" s="417"/>
      <c r="W156" s="417"/>
      <c r="X156" s="417"/>
      <c r="Y156" s="417"/>
    </row>
    <row r="157" spans="6:25" ht="16.5" customHeight="1">
      <c r="F157" s="417"/>
      <c r="G157" s="417"/>
      <c r="H157" s="417"/>
      <c r="I157" s="417"/>
      <c r="J157" s="417"/>
      <c r="K157" s="417"/>
      <c r="L157" s="417"/>
      <c r="M157" s="417"/>
      <c r="N157" s="417"/>
      <c r="O157" s="417"/>
      <c r="P157" s="417"/>
      <c r="Q157" s="417"/>
      <c r="R157" s="417"/>
      <c r="S157" s="417"/>
      <c r="T157" s="417"/>
      <c r="U157" s="417"/>
      <c r="V157" s="417"/>
      <c r="W157" s="417"/>
      <c r="X157" s="417"/>
      <c r="Y157" s="417"/>
    </row>
    <row r="158" spans="6:25" ht="16.5" customHeight="1">
      <c r="F158" s="417"/>
      <c r="G158" s="417"/>
      <c r="H158" s="417"/>
      <c r="I158" s="417"/>
      <c r="J158" s="417"/>
      <c r="K158" s="417"/>
      <c r="L158" s="417"/>
      <c r="M158" s="417"/>
      <c r="N158" s="417"/>
      <c r="O158" s="417"/>
      <c r="P158" s="417"/>
      <c r="Q158" s="417"/>
      <c r="R158" s="417"/>
      <c r="S158" s="417"/>
      <c r="T158" s="417"/>
      <c r="U158" s="417"/>
      <c r="V158" s="417"/>
      <c r="W158" s="417"/>
      <c r="X158" s="417"/>
      <c r="Y158" s="417"/>
    </row>
    <row r="159" spans="6:25" ht="16.5" customHeight="1">
      <c r="F159" s="417"/>
      <c r="G159" s="417"/>
      <c r="H159" s="417"/>
      <c r="I159" s="417"/>
      <c r="J159" s="417"/>
      <c r="K159" s="417"/>
      <c r="L159" s="417"/>
      <c r="M159" s="417"/>
      <c r="N159" s="417"/>
      <c r="O159" s="417"/>
      <c r="P159" s="417"/>
      <c r="Q159" s="417"/>
      <c r="R159" s="417"/>
      <c r="S159" s="417"/>
      <c r="T159" s="417"/>
      <c r="U159" s="417"/>
      <c r="V159" s="417"/>
      <c r="W159" s="417"/>
      <c r="X159" s="417"/>
      <c r="Y159" s="417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4"/>
  <headerFooter alignWithMargins="0">
    <oddFooter>&amp;L&amp;"Times New Roman,Normal"&amp;8&amp;F-&amp;A</oddFooter>
  </headerFooter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Y159"/>
  <sheetViews>
    <sheetView zoomScale="70" zoomScaleNormal="70" zoomScalePageLayoutView="0" workbookViewId="0" topLeftCell="A1">
      <selection activeCell="N51" sqref="N51"/>
    </sheetView>
  </sheetViews>
  <sheetFormatPr defaultColWidth="11.421875" defaultRowHeight="16.5" customHeight="1"/>
  <cols>
    <col min="1" max="2" width="4.140625" style="9" customWidth="1"/>
    <col min="3" max="3" width="5.421875" style="9" customWidth="1"/>
    <col min="4" max="5" width="13.57421875" style="9" customWidth="1"/>
    <col min="6" max="6" width="30.7109375" style="9" customWidth="1"/>
    <col min="7" max="7" width="40.7109375" style="9" customWidth="1"/>
    <col min="8" max="8" width="9.7109375" style="9" customWidth="1"/>
    <col min="9" max="9" width="5.7109375" style="9" hidden="1" customWidth="1"/>
    <col min="10" max="11" width="15.7109375" style="9" customWidth="1"/>
    <col min="12" max="14" width="9.7109375" style="9" customWidth="1"/>
    <col min="15" max="15" width="6.421875" style="9" customWidth="1"/>
    <col min="16" max="16" width="4.00390625" style="9" hidden="1" customWidth="1"/>
    <col min="17" max="17" width="12.8515625" style="9" hidden="1" customWidth="1"/>
    <col min="18" max="19" width="6.00390625" style="9" hidden="1" customWidth="1"/>
    <col min="20" max="20" width="11.7109375" style="9" hidden="1" customWidth="1"/>
    <col min="21" max="21" width="9.7109375" style="9" customWidth="1"/>
    <col min="22" max="22" width="15.7109375" style="9" customWidth="1"/>
    <col min="23" max="23" width="4.140625" style="9" customWidth="1"/>
    <col min="24" max="16384" width="11.421875" style="9" customWidth="1"/>
  </cols>
  <sheetData>
    <row r="1" s="3" customFormat="1" ht="26.25">
      <c r="W1" s="5"/>
    </row>
    <row r="2" spans="1:23" s="3" customFormat="1" ht="26.25">
      <c r="A2" s="88"/>
      <c r="B2" s="2" t="str">
        <f>+'TOT-0912'!B2</f>
        <v>ANEXO IV al Memorándum  D.T.E.E.  N° 295 / 2014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8" customFormat="1" ht="12.75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23" s="8" customFormat="1" ht="13.5" thickTop="1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460"/>
    </row>
    <row r="8" spans="2:23" s="18" customFormat="1" ht="20.25">
      <c r="B8" s="95"/>
      <c r="C8" s="23"/>
      <c r="D8" s="23"/>
      <c r="E8" s="23"/>
      <c r="F8" s="461" t="s">
        <v>23</v>
      </c>
      <c r="N8" s="287"/>
      <c r="O8" s="287"/>
      <c r="P8" s="289"/>
      <c r="Q8" s="23"/>
      <c r="R8" s="23"/>
      <c r="S8" s="23"/>
      <c r="T8" s="23"/>
      <c r="U8" s="23"/>
      <c r="V8" s="23"/>
      <c r="W8" s="462"/>
    </row>
    <row r="9" spans="2:23" s="8" customFormat="1" ht="12.75">
      <c r="B9" s="55"/>
      <c r="C9" s="11"/>
      <c r="D9" s="11"/>
      <c r="E9" s="11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11"/>
      <c r="R9" s="11"/>
      <c r="S9" s="11"/>
      <c r="T9" s="11"/>
      <c r="U9" s="11"/>
      <c r="V9" s="11"/>
      <c r="W9" s="60"/>
    </row>
    <row r="10" spans="2:23" s="18" customFormat="1" ht="20.25">
      <c r="B10" s="95"/>
      <c r="C10" s="23"/>
      <c r="D10" s="23"/>
      <c r="E10" s="23"/>
      <c r="F10" s="463" t="s">
        <v>65</v>
      </c>
      <c r="G10" s="464"/>
      <c r="H10" s="287"/>
      <c r="I10" s="465"/>
      <c r="K10" s="465"/>
      <c r="L10" s="465"/>
      <c r="M10" s="465"/>
      <c r="N10" s="465"/>
      <c r="O10" s="465"/>
      <c r="P10" s="465"/>
      <c r="Q10" s="23"/>
      <c r="R10" s="23"/>
      <c r="S10" s="23"/>
      <c r="T10" s="23"/>
      <c r="U10" s="23"/>
      <c r="V10" s="23"/>
      <c r="W10" s="462"/>
    </row>
    <row r="11" spans="2:23" s="8" customFormat="1" ht="13.5">
      <c r="B11" s="55"/>
      <c r="C11" s="11"/>
      <c r="D11" s="11"/>
      <c r="E11" s="11"/>
      <c r="F11" s="466"/>
      <c r="G11" s="466"/>
      <c r="H11" s="89"/>
      <c r="I11" s="467"/>
      <c r="J11" s="67"/>
      <c r="K11" s="467"/>
      <c r="L11" s="467"/>
      <c r="M11" s="467"/>
      <c r="N11" s="467"/>
      <c r="O11" s="467"/>
      <c r="P11" s="467"/>
      <c r="Q11" s="11"/>
      <c r="R11" s="11"/>
      <c r="S11" s="11"/>
      <c r="T11" s="11"/>
      <c r="U11" s="11"/>
      <c r="V11" s="11"/>
      <c r="W11" s="60"/>
    </row>
    <row r="12" spans="2:23" s="18" customFormat="1" ht="20.25">
      <c r="B12" s="95"/>
      <c r="C12" s="23"/>
      <c r="D12" s="23"/>
      <c r="E12" s="23"/>
      <c r="F12" s="463" t="s">
        <v>66</v>
      </c>
      <c r="G12" s="464"/>
      <c r="H12" s="287"/>
      <c r="I12" s="465"/>
      <c r="K12" s="465"/>
      <c r="L12" s="465"/>
      <c r="M12" s="465"/>
      <c r="N12" s="465"/>
      <c r="O12" s="465"/>
      <c r="P12" s="465"/>
      <c r="Q12" s="23"/>
      <c r="R12" s="23"/>
      <c r="S12" s="23"/>
      <c r="T12" s="23"/>
      <c r="U12" s="23"/>
      <c r="V12" s="23"/>
      <c r="W12" s="462"/>
    </row>
    <row r="13" spans="2:23" s="8" customFormat="1" ht="13.5">
      <c r="B13" s="55"/>
      <c r="C13" s="11"/>
      <c r="D13" s="11"/>
      <c r="E13" s="11"/>
      <c r="F13" s="466"/>
      <c r="G13" s="466"/>
      <c r="H13" s="89"/>
      <c r="I13" s="467"/>
      <c r="J13" s="67"/>
      <c r="K13" s="467"/>
      <c r="L13" s="467"/>
      <c r="M13" s="467"/>
      <c r="N13" s="467"/>
      <c r="O13" s="467"/>
      <c r="P13" s="467"/>
      <c r="Q13" s="11"/>
      <c r="R13" s="11"/>
      <c r="S13" s="11"/>
      <c r="T13" s="11"/>
      <c r="U13" s="11"/>
      <c r="V13" s="11"/>
      <c r="W13" s="60"/>
    </row>
    <row r="14" spans="2:23" s="8" customFormat="1" ht="19.5">
      <c r="B14" s="35" t="str">
        <f>'TOT-0912'!B14</f>
        <v>Desde el 01 al 30 de septiembre de 2012</v>
      </c>
      <c r="C14" s="39"/>
      <c r="D14" s="39"/>
      <c r="E14" s="39"/>
      <c r="F14" s="39"/>
      <c r="G14" s="39"/>
      <c r="H14" s="39"/>
      <c r="I14" s="468"/>
      <c r="J14" s="468"/>
      <c r="K14" s="468"/>
      <c r="L14" s="468"/>
      <c r="M14" s="468"/>
      <c r="N14" s="468"/>
      <c r="O14" s="468"/>
      <c r="P14" s="468"/>
      <c r="Q14" s="39"/>
      <c r="R14" s="39"/>
      <c r="S14" s="39"/>
      <c r="T14" s="39"/>
      <c r="U14" s="39"/>
      <c r="V14" s="39"/>
      <c r="W14" s="469"/>
    </row>
    <row r="15" spans="2:23" s="8" customFormat="1" ht="14.25" thickBot="1">
      <c r="B15" s="470"/>
      <c r="C15" s="471"/>
      <c r="D15" s="471"/>
      <c r="E15" s="471"/>
      <c r="F15" s="471"/>
      <c r="G15" s="471"/>
      <c r="H15" s="471"/>
      <c r="I15" s="472"/>
      <c r="J15" s="472"/>
      <c r="K15" s="472"/>
      <c r="L15" s="472"/>
      <c r="M15" s="472"/>
      <c r="N15" s="472"/>
      <c r="O15" s="472"/>
      <c r="P15" s="472"/>
      <c r="Q15" s="471"/>
      <c r="R15" s="471"/>
      <c r="S15" s="471"/>
      <c r="T15" s="471"/>
      <c r="U15" s="471"/>
      <c r="V15" s="471"/>
      <c r="W15" s="473"/>
    </row>
    <row r="16" spans="2:23" s="8" customFormat="1" ht="15" thickBot="1" thickTop="1">
      <c r="B16" s="55"/>
      <c r="C16" s="11"/>
      <c r="D16" s="11"/>
      <c r="E16" s="11"/>
      <c r="F16" s="474"/>
      <c r="G16" s="474"/>
      <c r="H16" s="475" t="s">
        <v>67</v>
      </c>
      <c r="I16" s="11"/>
      <c r="J16" s="6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60"/>
    </row>
    <row r="17" spans="2:23" s="8" customFormat="1" ht="16.5" customHeight="1" thickBot="1" thickTop="1">
      <c r="B17" s="55"/>
      <c r="C17" s="11"/>
      <c r="D17" s="11"/>
      <c r="E17" s="11"/>
      <c r="F17" s="476" t="s">
        <v>68</v>
      </c>
      <c r="G17" s="477">
        <v>138.215</v>
      </c>
      <c r="H17" s="478">
        <v>200</v>
      </c>
      <c r="V17" s="109"/>
      <c r="W17" s="60"/>
    </row>
    <row r="18" spans="2:23" s="8" customFormat="1" ht="16.5" customHeight="1" thickBot="1" thickTop="1">
      <c r="B18" s="55"/>
      <c r="C18" s="11"/>
      <c r="D18" s="11"/>
      <c r="E18" s="11"/>
      <c r="F18" s="479" t="s">
        <v>69</v>
      </c>
      <c r="G18" s="480">
        <v>124.376</v>
      </c>
      <c r="H18" s="478">
        <v>100</v>
      </c>
      <c r="O18" s="11"/>
      <c r="P18" s="11"/>
      <c r="Q18" s="11"/>
      <c r="R18" s="11"/>
      <c r="S18" s="11"/>
      <c r="T18" s="11"/>
      <c r="U18" s="11"/>
      <c r="V18" s="11"/>
      <c r="W18" s="60"/>
    </row>
    <row r="19" spans="2:23" s="8" customFormat="1" ht="16.5" customHeight="1" thickBot="1" thickTop="1">
      <c r="B19" s="55"/>
      <c r="C19" s="11"/>
      <c r="D19" s="11"/>
      <c r="E19" s="11"/>
      <c r="F19" s="481" t="s">
        <v>70</v>
      </c>
      <c r="G19" s="480">
        <v>110.573</v>
      </c>
      <c r="H19" s="478">
        <v>40</v>
      </c>
      <c r="K19" s="107"/>
      <c r="L19" s="108"/>
      <c r="M19" s="11"/>
      <c r="O19" s="11"/>
      <c r="Q19" s="11"/>
      <c r="R19" s="11"/>
      <c r="S19" s="11"/>
      <c r="T19" s="11"/>
      <c r="U19" s="11"/>
      <c r="V19" s="11"/>
      <c r="W19" s="60"/>
    </row>
    <row r="20" spans="2:23" s="8" customFormat="1" ht="16.5" customHeight="1" thickBot="1" thickTop="1">
      <c r="B20" s="55"/>
      <c r="C20" s="110">
        <v>3</v>
      </c>
      <c r="D20" s="110">
        <v>4</v>
      </c>
      <c r="E20" s="110">
        <v>5</v>
      </c>
      <c r="F20" s="110">
        <v>6</v>
      </c>
      <c r="G20" s="110">
        <v>7</v>
      </c>
      <c r="H20" s="110">
        <v>8</v>
      </c>
      <c r="I20" s="110">
        <v>9</v>
      </c>
      <c r="J20" s="110">
        <v>10</v>
      </c>
      <c r="K20" s="110">
        <v>11</v>
      </c>
      <c r="L20" s="110">
        <v>12</v>
      </c>
      <c r="M20" s="110">
        <v>13</v>
      </c>
      <c r="N20" s="110">
        <v>14</v>
      </c>
      <c r="O20" s="110">
        <v>15</v>
      </c>
      <c r="P20" s="110">
        <v>16</v>
      </c>
      <c r="Q20" s="110">
        <v>17</v>
      </c>
      <c r="R20" s="110">
        <v>18</v>
      </c>
      <c r="S20" s="110">
        <v>19</v>
      </c>
      <c r="T20" s="110">
        <v>20</v>
      </c>
      <c r="U20" s="110">
        <v>21</v>
      </c>
      <c r="V20" s="110">
        <v>22</v>
      </c>
      <c r="W20" s="60"/>
    </row>
    <row r="21" spans="2:23" s="8" customFormat="1" ht="33.75" customHeight="1" thickBot="1" thickTop="1">
      <c r="B21" s="55"/>
      <c r="C21" s="321" t="s">
        <v>28</v>
      </c>
      <c r="D21" s="111" t="s">
        <v>29</v>
      </c>
      <c r="E21" s="111" t="s">
        <v>30</v>
      </c>
      <c r="F21" s="114" t="s">
        <v>58</v>
      </c>
      <c r="G21" s="482" t="s">
        <v>59</v>
      </c>
      <c r="H21" s="483" t="s">
        <v>31</v>
      </c>
      <c r="I21" s="326" t="s">
        <v>35</v>
      </c>
      <c r="J21" s="112" t="s">
        <v>36</v>
      </c>
      <c r="K21" s="482" t="s">
        <v>37</v>
      </c>
      <c r="L21" s="484" t="s">
        <v>38</v>
      </c>
      <c r="M21" s="484" t="s">
        <v>39</v>
      </c>
      <c r="N21" s="119" t="s">
        <v>254</v>
      </c>
      <c r="O21" s="118" t="s">
        <v>42</v>
      </c>
      <c r="P21" s="485" t="s">
        <v>34</v>
      </c>
      <c r="Q21" s="486" t="s">
        <v>71</v>
      </c>
      <c r="R21" s="487" t="s">
        <v>72</v>
      </c>
      <c r="S21" s="488"/>
      <c r="T21" s="489" t="s">
        <v>47</v>
      </c>
      <c r="U21" s="130" t="s">
        <v>49</v>
      </c>
      <c r="V21" s="325" t="s">
        <v>50</v>
      </c>
      <c r="W21" s="60"/>
    </row>
    <row r="22" spans="2:23" s="8" customFormat="1" ht="16.5" customHeight="1" thickTop="1">
      <c r="B22" s="55"/>
      <c r="C22" s="335"/>
      <c r="D22" s="335"/>
      <c r="E22" s="335"/>
      <c r="F22" s="490"/>
      <c r="G22" s="490"/>
      <c r="H22" s="490"/>
      <c r="I22" s="273"/>
      <c r="J22" s="490"/>
      <c r="K22" s="490"/>
      <c r="L22" s="490"/>
      <c r="M22" s="490"/>
      <c r="N22" s="490"/>
      <c r="O22" s="490"/>
      <c r="P22" s="491"/>
      <c r="Q22" s="492"/>
      <c r="R22" s="493"/>
      <c r="S22" s="494"/>
      <c r="T22" s="495"/>
      <c r="U22" s="490"/>
      <c r="V22" s="496">
        <f>'SA-09 (2)'!V45</f>
        <v>270905.33</v>
      </c>
      <c r="W22" s="60"/>
    </row>
    <row r="23" spans="2:23" s="8" customFormat="1" ht="16.5" customHeight="1">
      <c r="B23" s="55"/>
      <c r="C23" s="150"/>
      <c r="D23" s="150"/>
      <c r="E23" s="150"/>
      <c r="F23" s="497"/>
      <c r="G23" s="497"/>
      <c r="H23" s="497"/>
      <c r="I23" s="498"/>
      <c r="J23" s="497"/>
      <c r="K23" s="497"/>
      <c r="L23" s="497"/>
      <c r="M23" s="497"/>
      <c r="N23" s="497"/>
      <c r="O23" s="497"/>
      <c r="P23" s="499"/>
      <c r="Q23" s="500"/>
      <c r="R23" s="501"/>
      <c r="S23" s="502"/>
      <c r="T23" s="503"/>
      <c r="U23" s="497"/>
      <c r="V23" s="504"/>
      <c r="W23" s="60"/>
    </row>
    <row r="24" spans="2:23" s="8" customFormat="1" ht="16.5" customHeight="1">
      <c r="B24" s="55"/>
      <c r="C24" s="150">
        <v>98</v>
      </c>
      <c r="D24" s="150">
        <v>252058</v>
      </c>
      <c r="E24" s="169">
        <v>2746</v>
      </c>
      <c r="F24" s="505" t="s">
        <v>291</v>
      </c>
      <c r="G24" s="505" t="s">
        <v>292</v>
      </c>
      <c r="H24" s="506">
        <v>132</v>
      </c>
      <c r="I24" s="507">
        <f aca="true" t="shared" si="0" ref="I24:I43">IF(H24=500,$G$17,IF(H24=220,$G$18,$G$19))</f>
        <v>110.573</v>
      </c>
      <c r="J24" s="508">
        <v>41181.35833333333</v>
      </c>
      <c r="K24" s="509">
        <v>41181.71041666667</v>
      </c>
      <c r="L24" s="510">
        <f aca="true" t="shared" si="1" ref="L24:L43">IF(F24="","",(K24-J24)*24)</f>
        <v>8.450000000128057</v>
      </c>
      <c r="M24" s="511">
        <f aca="true" t="shared" si="2" ref="M24:M43">IF(F24="","",ROUND((K24-J24)*24*60,0))</f>
        <v>507</v>
      </c>
      <c r="N24" s="178" t="s">
        <v>259</v>
      </c>
      <c r="O24" s="180" t="str">
        <f aca="true" t="shared" si="3" ref="O24:O43">IF(F24="","",IF(N24="P","--","NO"))</f>
        <v>--</v>
      </c>
      <c r="P24" s="512">
        <f aca="true" t="shared" si="4" ref="P24:P43">IF(H24=500,$H$17,IF(H24=220,$H$18,$H$19))</f>
        <v>40</v>
      </c>
      <c r="Q24" s="513">
        <f aca="true" t="shared" si="5" ref="Q24:Q43">IF(N24="P",I24*P24*ROUND(M24/60,2)*0.1,"--")</f>
        <v>3737.3674</v>
      </c>
      <c r="R24" s="501" t="str">
        <f aca="true" t="shared" si="6" ref="R24:R43">IF(AND(N24="F",O24="NO"),I24*P24,"--")</f>
        <v>--</v>
      </c>
      <c r="S24" s="502" t="str">
        <f aca="true" t="shared" si="7" ref="S24:S43">IF(N24="F",I24*P24*ROUND(M24/60,2),"--")</f>
        <v>--</v>
      </c>
      <c r="T24" s="503" t="str">
        <f aca="true" t="shared" si="8" ref="T24:T43">IF(N24="RF",I24*P24*ROUND(M24/60,2),"--")</f>
        <v>--</v>
      </c>
      <c r="U24" s="180" t="s">
        <v>79</v>
      </c>
      <c r="V24" s="514">
        <f aca="true" t="shared" si="9" ref="V24:V43">IF(F24="","",SUM(Q24:T24)*IF(U24="SI",1,2))</f>
        <v>3737.3674</v>
      </c>
      <c r="W24" s="60"/>
    </row>
    <row r="25" spans="2:23" s="8" customFormat="1" ht="16.5" customHeight="1">
      <c r="B25" s="55"/>
      <c r="C25" s="150">
        <v>99</v>
      </c>
      <c r="D25" s="150">
        <v>252062</v>
      </c>
      <c r="E25" s="150">
        <v>122</v>
      </c>
      <c r="F25" s="505" t="s">
        <v>274</v>
      </c>
      <c r="G25" s="505" t="s">
        <v>321</v>
      </c>
      <c r="H25" s="506">
        <v>132</v>
      </c>
      <c r="I25" s="507">
        <f t="shared" si="0"/>
        <v>110.573</v>
      </c>
      <c r="J25" s="508">
        <v>41182.336805555555</v>
      </c>
      <c r="K25" s="509">
        <v>41182.67361111111</v>
      </c>
      <c r="L25" s="510">
        <f t="shared" si="1"/>
        <v>8.08333333331393</v>
      </c>
      <c r="M25" s="511">
        <f t="shared" si="2"/>
        <v>485</v>
      </c>
      <c r="N25" s="178" t="s">
        <v>259</v>
      </c>
      <c r="O25" s="180" t="str">
        <f t="shared" si="3"/>
        <v>--</v>
      </c>
      <c r="P25" s="512">
        <f t="shared" si="4"/>
        <v>40</v>
      </c>
      <c r="Q25" s="513">
        <f t="shared" si="5"/>
        <v>3573.71936</v>
      </c>
      <c r="R25" s="501" t="str">
        <f t="shared" si="6"/>
        <v>--</v>
      </c>
      <c r="S25" s="502" t="str">
        <f t="shared" si="7"/>
        <v>--</v>
      </c>
      <c r="T25" s="503" t="str">
        <f t="shared" si="8"/>
        <v>--</v>
      </c>
      <c r="U25" s="180" t="s">
        <v>79</v>
      </c>
      <c r="V25" s="514">
        <v>0</v>
      </c>
      <c r="W25" s="60"/>
    </row>
    <row r="26" spans="2:23" s="8" customFormat="1" ht="16.5" customHeight="1">
      <c r="B26" s="55"/>
      <c r="C26" s="150">
        <v>100</v>
      </c>
      <c r="D26" s="150">
        <v>252064</v>
      </c>
      <c r="E26" s="169">
        <v>2746</v>
      </c>
      <c r="F26" s="505" t="s">
        <v>291</v>
      </c>
      <c r="G26" s="505" t="s">
        <v>292</v>
      </c>
      <c r="H26" s="506">
        <v>132</v>
      </c>
      <c r="I26" s="507">
        <f t="shared" si="0"/>
        <v>110.573</v>
      </c>
      <c r="J26" s="508">
        <v>41182.34166666667</v>
      </c>
      <c r="K26" s="509">
        <v>41182.67986111111</v>
      </c>
      <c r="L26" s="510">
        <f t="shared" si="1"/>
        <v>8.116666666581295</v>
      </c>
      <c r="M26" s="511">
        <f t="shared" si="2"/>
        <v>487</v>
      </c>
      <c r="N26" s="178" t="s">
        <v>259</v>
      </c>
      <c r="O26" s="180" t="str">
        <f t="shared" si="3"/>
        <v>--</v>
      </c>
      <c r="P26" s="512">
        <f t="shared" si="4"/>
        <v>40</v>
      </c>
      <c r="Q26" s="513">
        <f t="shared" si="5"/>
        <v>3591.41104</v>
      </c>
      <c r="R26" s="501" t="str">
        <f t="shared" si="6"/>
        <v>--</v>
      </c>
      <c r="S26" s="502" t="str">
        <f t="shared" si="7"/>
        <v>--</v>
      </c>
      <c r="T26" s="503" t="str">
        <f t="shared" si="8"/>
        <v>--</v>
      </c>
      <c r="U26" s="180" t="s">
        <v>79</v>
      </c>
      <c r="V26" s="514">
        <f t="shared" si="9"/>
        <v>3591.41104</v>
      </c>
      <c r="W26" s="60"/>
    </row>
    <row r="27" spans="2:23" s="8" customFormat="1" ht="16.5" customHeight="1">
      <c r="B27" s="55"/>
      <c r="C27" s="150"/>
      <c r="D27" s="150"/>
      <c r="E27" s="150"/>
      <c r="F27" s="505"/>
      <c r="G27" s="505"/>
      <c r="H27" s="506"/>
      <c r="I27" s="507">
        <f t="shared" si="0"/>
        <v>110.573</v>
      </c>
      <c r="J27" s="508"/>
      <c r="K27" s="509"/>
      <c r="L27" s="510">
        <f t="shared" si="1"/>
      </c>
      <c r="M27" s="511">
        <f t="shared" si="2"/>
      </c>
      <c r="N27" s="178"/>
      <c r="O27" s="180">
        <f t="shared" si="3"/>
      </c>
      <c r="P27" s="512">
        <f t="shared" si="4"/>
        <v>40</v>
      </c>
      <c r="Q27" s="513" t="str">
        <f t="shared" si="5"/>
        <v>--</v>
      </c>
      <c r="R27" s="501" t="str">
        <f t="shared" si="6"/>
        <v>--</v>
      </c>
      <c r="S27" s="502" t="str">
        <f t="shared" si="7"/>
        <v>--</v>
      </c>
      <c r="T27" s="503" t="str">
        <f t="shared" si="8"/>
        <v>--</v>
      </c>
      <c r="U27" s="180">
        <f aca="true" t="shared" si="10" ref="U27:U43">IF(F27="","","SI")</f>
      </c>
      <c r="V27" s="514">
        <f t="shared" si="9"/>
      </c>
      <c r="W27" s="60"/>
    </row>
    <row r="28" spans="2:23" s="8" customFormat="1" ht="16.5" customHeight="1">
      <c r="B28" s="55"/>
      <c r="C28" s="150"/>
      <c r="D28" s="150"/>
      <c r="E28" s="169"/>
      <c r="F28" s="505"/>
      <c r="G28" s="505"/>
      <c r="H28" s="506"/>
      <c r="I28" s="507">
        <f t="shared" si="0"/>
        <v>110.573</v>
      </c>
      <c r="J28" s="508"/>
      <c r="K28" s="509"/>
      <c r="L28" s="510">
        <f t="shared" si="1"/>
      </c>
      <c r="M28" s="511">
        <f t="shared" si="2"/>
      </c>
      <c r="N28" s="178"/>
      <c r="O28" s="180">
        <f t="shared" si="3"/>
      </c>
      <c r="P28" s="512">
        <f t="shared" si="4"/>
        <v>40</v>
      </c>
      <c r="Q28" s="513" t="str">
        <f t="shared" si="5"/>
        <v>--</v>
      </c>
      <c r="R28" s="501" t="str">
        <f t="shared" si="6"/>
        <v>--</v>
      </c>
      <c r="S28" s="502" t="str">
        <f t="shared" si="7"/>
        <v>--</v>
      </c>
      <c r="T28" s="503" t="str">
        <f t="shared" si="8"/>
        <v>--</v>
      </c>
      <c r="U28" s="180">
        <f t="shared" si="10"/>
      </c>
      <c r="V28" s="514">
        <f t="shared" si="9"/>
      </c>
      <c r="W28" s="60"/>
    </row>
    <row r="29" spans="2:23" s="8" customFormat="1" ht="16.5" customHeight="1">
      <c r="B29" s="55"/>
      <c r="C29" s="150"/>
      <c r="D29" s="150"/>
      <c r="E29" s="150"/>
      <c r="F29" s="505"/>
      <c r="G29" s="505"/>
      <c r="H29" s="506"/>
      <c r="I29" s="507">
        <f t="shared" si="0"/>
        <v>110.573</v>
      </c>
      <c r="J29" s="508"/>
      <c r="K29" s="509"/>
      <c r="L29" s="510">
        <f t="shared" si="1"/>
      </c>
      <c r="M29" s="511">
        <f t="shared" si="2"/>
      </c>
      <c r="N29" s="178"/>
      <c r="O29" s="180">
        <f t="shared" si="3"/>
      </c>
      <c r="P29" s="512">
        <f t="shared" si="4"/>
        <v>40</v>
      </c>
      <c r="Q29" s="513" t="str">
        <f t="shared" si="5"/>
        <v>--</v>
      </c>
      <c r="R29" s="501" t="str">
        <f t="shared" si="6"/>
        <v>--</v>
      </c>
      <c r="S29" s="502" t="str">
        <f t="shared" si="7"/>
        <v>--</v>
      </c>
      <c r="T29" s="503" t="str">
        <f t="shared" si="8"/>
        <v>--</v>
      </c>
      <c r="U29" s="180">
        <f t="shared" si="10"/>
      </c>
      <c r="V29" s="514">
        <f t="shared" si="9"/>
      </c>
      <c r="W29" s="60"/>
    </row>
    <row r="30" spans="2:23" s="8" customFormat="1" ht="16.5" customHeight="1">
      <c r="B30" s="55"/>
      <c r="C30" s="150"/>
      <c r="D30" s="150"/>
      <c r="E30" s="169"/>
      <c r="F30" s="505"/>
      <c r="G30" s="505"/>
      <c r="H30" s="506"/>
      <c r="I30" s="507">
        <f t="shared" si="0"/>
        <v>110.573</v>
      </c>
      <c r="J30" s="508"/>
      <c r="K30" s="509"/>
      <c r="L30" s="510">
        <f t="shared" si="1"/>
      </c>
      <c r="M30" s="511">
        <f t="shared" si="2"/>
      </c>
      <c r="N30" s="178"/>
      <c r="O30" s="180">
        <f t="shared" si="3"/>
      </c>
      <c r="P30" s="512">
        <f t="shared" si="4"/>
        <v>40</v>
      </c>
      <c r="Q30" s="513" t="str">
        <f t="shared" si="5"/>
        <v>--</v>
      </c>
      <c r="R30" s="501" t="str">
        <f t="shared" si="6"/>
        <v>--</v>
      </c>
      <c r="S30" s="502" t="str">
        <f t="shared" si="7"/>
        <v>--</v>
      </c>
      <c r="T30" s="503" t="str">
        <f t="shared" si="8"/>
        <v>--</v>
      </c>
      <c r="U30" s="180">
        <f t="shared" si="10"/>
      </c>
      <c r="V30" s="514">
        <f t="shared" si="9"/>
      </c>
      <c r="W30" s="60"/>
    </row>
    <row r="31" spans="2:23" s="8" customFormat="1" ht="16.5" customHeight="1">
      <c r="B31" s="55"/>
      <c r="C31" s="150"/>
      <c r="D31" s="150"/>
      <c r="E31" s="150"/>
      <c r="F31" s="505"/>
      <c r="G31" s="505"/>
      <c r="H31" s="506"/>
      <c r="I31" s="507">
        <f t="shared" si="0"/>
        <v>110.573</v>
      </c>
      <c r="J31" s="508"/>
      <c r="K31" s="509"/>
      <c r="L31" s="510">
        <f t="shared" si="1"/>
      </c>
      <c r="M31" s="511">
        <f t="shared" si="2"/>
      </c>
      <c r="N31" s="178"/>
      <c r="O31" s="180">
        <f t="shared" si="3"/>
      </c>
      <c r="P31" s="512">
        <f t="shared" si="4"/>
        <v>40</v>
      </c>
      <c r="Q31" s="513" t="str">
        <f t="shared" si="5"/>
        <v>--</v>
      </c>
      <c r="R31" s="501" t="str">
        <f t="shared" si="6"/>
        <v>--</v>
      </c>
      <c r="S31" s="502" t="str">
        <f t="shared" si="7"/>
        <v>--</v>
      </c>
      <c r="T31" s="503" t="str">
        <f t="shared" si="8"/>
        <v>--</v>
      </c>
      <c r="U31" s="180">
        <f t="shared" si="10"/>
      </c>
      <c r="V31" s="514">
        <f t="shared" si="9"/>
      </c>
      <c r="W31" s="60"/>
    </row>
    <row r="32" spans="2:23" s="8" customFormat="1" ht="16.5" customHeight="1">
      <c r="B32" s="55"/>
      <c r="C32" s="150"/>
      <c r="D32" s="150"/>
      <c r="E32" s="169"/>
      <c r="F32" s="505"/>
      <c r="G32" s="505"/>
      <c r="H32" s="506"/>
      <c r="I32" s="507">
        <f t="shared" si="0"/>
        <v>110.573</v>
      </c>
      <c r="J32" s="508"/>
      <c r="K32" s="509"/>
      <c r="L32" s="510">
        <f t="shared" si="1"/>
      </c>
      <c r="M32" s="511">
        <f t="shared" si="2"/>
      </c>
      <c r="N32" s="178"/>
      <c r="O32" s="180">
        <f t="shared" si="3"/>
      </c>
      <c r="P32" s="512">
        <f t="shared" si="4"/>
        <v>40</v>
      </c>
      <c r="Q32" s="513" t="str">
        <f t="shared" si="5"/>
        <v>--</v>
      </c>
      <c r="R32" s="501" t="str">
        <f t="shared" si="6"/>
        <v>--</v>
      </c>
      <c r="S32" s="502" t="str">
        <f t="shared" si="7"/>
        <v>--</v>
      </c>
      <c r="T32" s="503" t="str">
        <f t="shared" si="8"/>
        <v>--</v>
      </c>
      <c r="U32" s="180">
        <f t="shared" si="10"/>
      </c>
      <c r="V32" s="514">
        <f t="shared" si="9"/>
      </c>
      <c r="W32" s="60"/>
    </row>
    <row r="33" spans="2:23" s="8" customFormat="1" ht="16.5" customHeight="1">
      <c r="B33" s="55"/>
      <c r="C33" s="150"/>
      <c r="D33" s="150"/>
      <c r="E33" s="150"/>
      <c r="F33" s="505"/>
      <c r="G33" s="505"/>
      <c r="H33" s="506"/>
      <c r="I33" s="507">
        <f t="shared" si="0"/>
        <v>110.573</v>
      </c>
      <c r="J33" s="508"/>
      <c r="K33" s="509"/>
      <c r="L33" s="510">
        <f t="shared" si="1"/>
      </c>
      <c r="M33" s="511">
        <f t="shared" si="2"/>
      </c>
      <c r="N33" s="178"/>
      <c r="O33" s="180">
        <f t="shared" si="3"/>
      </c>
      <c r="P33" s="512">
        <f t="shared" si="4"/>
        <v>40</v>
      </c>
      <c r="Q33" s="513" t="str">
        <f t="shared" si="5"/>
        <v>--</v>
      </c>
      <c r="R33" s="501" t="str">
        <f t="shared" si="6"/>
        <v>--</v>
      </c>
      <c r="S33" s="502" t="str">
        <f t="shared" si="7"/>
        <v>--</v>
      </c>
      <c r="T33" s="503" t="str">
        <f t="shared" si="8"/>
        <v>--</v>
      </c>
      <c r="U33" s="180">
        <f t="shared" si="10"/>
      </c>
      <c r="V33" s="514">
        <f t="shared" si="9"/>
      </c>
      <c r="W33" s="60"/>
    </row>
    <row r="34" spans="2:23" s="8" customFormat="1" ht="16.5" customHeight="1">
      <c r="B34" s="55"/>
      <c r="C34" s="150"/>
      <c r="D34" s="150"/>
      <c r="E34" s="169"/>
      <c r="F34" s="505"/>
      <c r="G34" s="505"/>
      <c r="H34" s="506"/>
      <c r="I34" s="507">
        <f t="shared" si="0"/>
        <v>110.573</v>
      </c>
      <c r="J34" s="508"/>
      <c r="K34" s="509"/>
      <c r="L34" s="510">
        <f t="shared" si="1"/>
      </c>
      <c r="M34" s="511">
        <f t="shared" si="2"/>
      </c>
      <c r="N34" s="178"/>
      <c r="O34" s="180">
        <f t="shared" si="3"/>
      </c>
      <c r="P34" s="512">
        <f t="shared" si="4"/>
        <v>40</v>
      </c>
      <c r="Q34" s="513" t="str">
        <f t="shared" si="5"/>
        <v>--</v>
      </c>
      <c r="R34" s="501" t="str">
        <f t="shared" si="6"/>
        <v>--</v>
      </c>
      <c r="S34" s="502" t="str">
        <f t="shared" si="7"/>
        <v>--</v>
      </c>
      <c r="T34" s="503" t="str">
        <f t="shared" si="8"/>
        <v>--</v>
      </c>
      <c r="U34" s="180">
        <f t="shared" si="10"/>
      </c>
      <c r="V34" s="514">
        <f t="shared" si="9"/>
      </c>
      <c r="W34" s="60"/>
    </row>
    <row r="35" spans="2:23" s="8" customFormat="1" ht="16.5" customHeight="1">
      <c r="B35" s="55"/>
      <c r="C35" s="150"/>
      <c r="D35" s="150"/>
      <c r="E35" s="150"/>
      <c r="F35" s="505"/>
      <c r="G35" s="505"/>
      <c r="H35" s="506"/>
      <c r="I35" s="507">
        <f t="shared" si="0"/>
        <v>110.573</v>
      </c>
      <c r="J35" s="508"/>
      <c r="K35" s="509"/>
      <c r="L35" s="510">
        <f t="shared" si="1"/>
      </c>
      <c r="M35" s="511">
        <f t="shared" si="2"/>
      </c>
      <c r="N35" s="178"/>
      <c r="O35" s="180">
        <f t="shared" si="3"/>
      </c>
      <c r="P35" s="512">
        <f t="shared" si="4"/>
        <v>40</v>
      </c>
      <c r="Q35" s="513" t="str">
        <f t="shared" si="5"/>
        <v>--</v>
      </c>
      <c r="R35" s="501" t="str">
        <f t="shared" si="6"/>
        <v>--</v>
      </c>
      <c r="S35" s="502" t="str">
        <f t="shared" si="7"/>
        <v>--</v>
      </c>
      <c r="T35" s="503" t="str">
        <f t="shared" si="8"/>
        <v>--</v>
      </c>
      <c r="U35" s="180">
        <f t="shared" si="10"/>
      </c>
      <c r="V35" s="514">
        <f t="shared" si="9"/>
      </c>
      <c r="W35" s="60"/>
    </row>
    <row r="36" spans="2:23" s="8" customFormat="1" ht="16.5" customHeight="1">
      <c r="B36" s="55"/>
      <c r="C36" s="150"/>
      <c r="D36" s="150"/>
      <c r="E36" s="169"/>
      <c r="F36" s="505"/>
      <c r="G36" s="505"/>
      <c r="H36" s="506"/>
      <c r="I36" s="507">
        <f t="shared" si="0"/>
        <v>110.573</v>
      </c>
      <c r="J36" s="508"/>
      <c r="K36" s="509"/>
      <c r="L36" s="510">
        <f t="shared" si="1"/>
      </c>
      <c r="M36" s="511">
        <f t="shared" si="2"/>
      </c>
      <c r="N36" s="178"/>
      <c r="O36" s="180">
        <f t="shared" si="3"/>
      </c>
      <c r="P36" s="512">
        <f t="shared" si="4"/>
        <v>40</v>
      </c>
      <c r="Q36" s="513" t="str">
        <f t="shared" si="5"/>
        <v>--</v>
      </c>
      <c r="R36" s="501" t="str">
        <f t="shared" si="6"/>
        <v>--</v>
      </c>
      <c r="S36" s="502" t="str">
        <f t="shared" si="7"/>
        <v>--</v>
      </c>
      <c r="T36" s="503" t="str">
        <f t="shared" si="8"/>
        <v>--</v>
      </c>
      <c r="U36" s="180">
        <f t="shared" si="10"/>
      </c>
      <c r="V36" s="514">
        <f t="shared" si="9"/>
      </c>
      <c r="W36" s="60"/>
    </row>
    <row r="37" spans="2:23" s="8" customFormat="1" ht="16.5" customHeight="1">
      <c r="B37" s="55"/>
      <c r="C37" s="150"/>
      <c r="D37" s="150"/>
      <c r="E37" s="150"/>
      <c r="F37" s="505"/>
      <c r="G37" s="505"/>
      <c r="H37" s="506"/>
      <c r="I37" s="507">
        <f t="shared" si="0"/>
        <v>110.573</v>
      </c>
      <c r="J37" s="508"/>
      <c r="K37" s="509"/>
      <c r="L37" s="510">
        <f t="shared" si="1"/>
      </c>
      <c r="M37" s="511">
        <f t="shared" si="2"/>
      </c>
      <c r="N37" s="178"/>
      <c r="O37" s="180">
        <f t="shared" si="3"/>
      </c>
      <c r="P37" s="512">
        <f t="shared" si="4"/>
        <v>40</v>
      </c>
      <c r="Q37" s="513" t="str">
        <f t="shared" si="5"/>
        <v>--</v>
      </c>
      <c r="R37" s="501" t="str">
        <f t="shared" si="6"/>
        <v>--</v>
      </c>
      <c r="S37" s="502" t="str">
        <f t="shared" si="7"/>
        <v>--</v>
      </c>
      <c r="T37" s="503" t="str">
        <f t="shared" si="8"/>
        <v>--</v>
      </c>
      <c r="U37" s="180">
        <f t="shared" si="10"/>
      </c>
      <c r="V37" s="514">
        <f t="shared" si="9"/>
      </c>
      <c r="W37" s="60"/>
    </row>
    <row r="38" spans="2:23" s="8" customFormat="1" ht="16.5" customHeight="1">
      <c r="B38" s="55"/>
      <c r="C38" s="150"/>
      <c r="D38" s="150"/>
      <c r="E38" s="169"/>
      <c r="F38" s="505"/>
      <c r="G38" s="505"/>
      <c r="H38" s="506"/>
      <c r="I38" s="507">
        <f t="shared" si="0"/>
        <v>110.573</v>
      </c>
      <c r="J38" s="508"/>
      <c r="K38" s="509"/>
      <c r="L38" s="510">
        <f t="shared" si="1"/>
      </c>
      <c r="M38" s="511">
        <f t="shared" si="2"/>
      </c>
      <c r="N38" s="178"/>
      <c r="O38" s="180">
        <f t="shared" si="3"/>
      </c>
      <c r="P38" s="512">
        <f t="shared" si="4"/>
        <v>40</v>
      </c>
      <c r="Q38" s="513" t="str">
        <f t="shared" si="5"/>
        <v>--</v>
      </c>
      <c r="R38" s="501" t="str">
        <f t="shared" si="6"/>
        <v>--</v>
      </c>
      <c r="S38" s="502" t="str">
        <f t="shared" si="7"/>
        <v>--</v>
      </c>
      <c r="T38" s="503" t="str">
        <f t="shared" si="8"/>
        <v>--</v>
      </c>
      <c r="U38" s="180">
        <f t="shared" si="10"/>
      </c>
      <c r="V38" s="514">
        <f t="shared" si="9"/>
      </c>
      <c r="W38" s="60"/>
    </row>
    <row r="39" spans="2:23" s="8" customFormat="1" ht="16.5" customHeight="1">
      <c r="B39" s="55"/>
      <c r="C39" s="150"/>
      <c r="D39" s="150"/>
      <c r="E39" s="150"/>
      <c r="F39" s="505"/>
      <c r="G39" s="505"/>
      <c r="H39" s="506"/>
      <c r="I39" s="507">
        <f t="shared" si="0"/>
        <v>110.573</v>
      </c>
      <c r="J39" s="508"/>
      <c r="K39" s="509"/>
      <c r="L39" s="510">
        <f t="shared" si="1"/>
      </c>
      <c r="M39" s="511">
        <f t="shared" si="2"/>
      </c>
      <c r="N39" s="178"/>
      <c r="O39" s="180">
        <f t="shared" si="3"/>
      </c>
      <c r="P39" s="512">
        <f t="shared" si="4"/>
        <v>40</v>
      </c>
      <c r="Q39" s="513" t="str">
        <f t="shared" si="5"/>
        <v>--</v>
      </c>
      <c r="R39" s="501" t="str">
        <f t="shared" si="6"/>
        <v>--</v>
      </c>
      <c r="S39" s="502" t="str">
        <f t="shared" si="7"/>
        <v>--</v>
      </c>
      <c r="T39" s="503" t="str">
        <f t="shared" si="8"/>
        <v>--</v>
      </c>
      <c r="U39" s="180">
        <f t="shared" si="10"/>
      </c>
      <c r="V39" s="514">
        <f t="shared" si="9"/>
      </c>
      <c r="W39" s="60"/>
    </row>
    <row r="40" spans="2:23" s="8" customFormat="1" ht="16.5" customHeight="1">
      <c r="B40" s="55"/>
      <c r="C40" s="150"/>
      <c r="D40" s="150"/>
      <c r="E40" s="169"/>
      <c r="F40" s="505"/>
      <c r="G40" s="505"/>
      <c r="H40" s="506"/>
      <c r="I40" s="507">
        <f t="shared" si="0"/>
        <v>110.573</v>
      </c>
      <c r="J40" s="508"/>
      <c r="K40" s="509"/>
      <c r="L40" s="510">
        <f t="shared" si="1"/>
      </c>
      <c r="M40" s="511">
        <f t="shared" si="2"/>
      </c>
      <c r="N40" s="178"/>
      <c r="O40" s="180">
        <f t="shared" si="3"/>
      </c>
      <c r="P40" s="512">
        <f t="shared" si="4"/>
        <v>40</v>
      </c>
      <c r="Q40" s="513" t="str">
        <f t="shared" si="5"/>
        <v>--</v>
      </c>
      <c r="R40" s="501" t="str">
        <f t="shared" si="6"/>
        <v>--</v>
      </c>
      <c r="S40" s="502" t="str">
        <f t="shared" si="7"/>
        <v>--</v>
      </c>
      <c r="T40" s="503" t="str">
        <f t="shared" si="8"/>
        <v>--</v>
      </c>
      <c r="U40" s="180">
        <f t="shared" si="10"/>
      </c>
      <c r="V40" s="514">
        <f t="shared" si="9"/>
      </c>
      <c r="W40" s="60"/>
    </row>
    <row r="41" spans="2:23" s="8" customFormat="1" ht="16.5" customHeight="1">
      <c r="B41" s="55"/>
      <c r="C41" s="150"/>
      <c r="D41" s="150"/>
      <c r="E41" s="150"/>
      <c r="F41" s="505"/>
      <c r="G41" s="505"/>
      <c r="H41" s="506"/>
      <c r="I41" s="507">
        <f t="shared" si="0"/>
        <v>110.573</v>
      </c>
      <c r="J41" s="508"/>
      <c r="K41" s="509"/>
      <c r="L41" s="510">
        <f t="shared" si="1"/>
      </c>
      <c r="M41" s="511">
        <f t="shared" si="2"/>
      </c>
      <c r="N41" s="178"/>
      <c r="O41" s="180">
        <f t="shared" si="3"/>
      </c>
      <c r="P41" s="512">
        <f t="shared" si="4"/>
        <v>40</v>
      </c>
      <c r="Q41" s="513" t="str">
        <f t="shared" si="5"/>
        <v>--</v>
      </c>
      <c r="R41" s="501" t="str">
        <f t="shared" si="6"/>
        <v>--</v>
      </c>
      <c r="S41" s="502" t="str">
        <f t="shared" si="7"/>
        <v>--</v>
      </c>
      <c r="T41" s="503" t="str">
        <f t="shared" si="8"/>
        <v>--</v>
      </c>
      <c r="U41" s="180">
        <f t="shared" si="10"/>
      </c>
      <c r="V41" s="514">
        <f t="shared" si="9"/>
      </c>
      <c r="W41" s="60"/>
    </row>
    <row r="42" spans="2:23" s="8" customFormat="1" ht="16.5" customHeight="1">
      <c r="B42" s="55"/>
      <c r="C42" s="150"/>
      <c r="D42" s="150"/>
      <c r="E42" s="169"/>
      <c r="F42" s="505"/>
      <c r="G42" s="505"/>
      <c r="H42" s="506"/>
      <c r="I42" s="507">
        <f t="shared" si="0"/>
        <v>110.573</v>
      </c>
      <c r="J42" s="508"/>
      <c r="K42" s="509"/>
      <c r="L42" s="510">
        <f t="shared" si="1"/>
      </c>
      <c r="M42" s="511">
        <f t="shared" si="2"/>
      </c>
      <c r="N42" s="178"/>
      <c r="O42" s="180">
        <f t="shared" si="3"/>
      </c>
      <c r="P42" s="512">
        <f t="shared" si="4"/>
        <v>40</v>
      </c>
      <c r="Q42" s="513" t="str">
        <f t="shared" si="5"/>
        <v>--</v>
      </c>
      <c r="R42" s="501" t="str">
        <f t="shared" si="6"/>
        <v>--</v>
      </c>
      <c r="S42" s="502" t="str">
        <f t="shared" si="7"/>
        <v>--</v>
      </c>
      <c r="T42" s="503" t="str">
        <f t="shared" si="8"/>
        <v>--</v>
      </c>
      <c r="U42" s="180">
        <f t="shared" si="10"/>
      </c>
      <c r="V42" s="514">
        <f t="shared" si="9"/>
      </c>
      <c r="W42" s="60"/>
    </row>
    <row r="43" spans="2:23" s="8" customFormat="1" ht="16.5" customHeight="1">
      <c r="B43" s="55"/>
      <c r="C43" s="150"/>
      <c r="D43" s="150"/>
      <c r="E43" s="150"/>
      <c r="F43" s="505"/>
      <c r="G43" s="505"/>
      <c r="H43" s="506"/>
      <c r="I43" s="507">
        <f t="shared" si="0"/>
        <v>110.573</v>
      </c>
      <c r="J43" s="508"/>
      <c r="K43" s="509"/>
      <c r="L43" s="510">
        <f t="shared" si="1"/>
      </c>
      <c r="M43" s="511">
        <f t="shared" si="2"/>
      </c>
      <c r="N43" s="178"/>
      <c r="O43" s="180">
        <f t="shared" si="3"/>
      </c>
      <c r="P43" s="512">
        <f t="shared" si="4"/>
        <v>40</v>
      </c>
      <c r="Q43" s="513" t="str">
        <f t="shared" si="5"/>
        <v>--</v>
      </c>
      <c r="R43" s="501" t="str">
        <f t="shared" si="6"/>
        <v>--</v>
      </c>
      <c r="S43" s="502" t="str">
        <f t="shared" si="7"/>
        <v>--</v>
      </c>
      <c r="T43" s="503" t="str">
        <f t="shared" si="8"/>
        <v>--</v>
      </c>
      <c r="U43" s="180">
        <f t="shared" si="10"/>
      </c>
      <c r="V43" s="514">
        <f t="shared" si="9"/>
      </c>
      <c r="W43" s="60"/>
    </row>
    <row r="44" spans="2:23" s="8" customFormat="1" ht="16.5" customHeight="1" thickBot="1">
      <c r="B44" s="55"/>
      <c r="C44" s="208"/>
      <c r="D44" s="208"/>
      <c r="E44" s="208"/>
      <c r="F44" s="208"/>
      <c r="G44" s="208"/>
      <c r="H44" s="208"/>
      <c r="I44" s="386"/>
      <c r="J44" s="515"/>
      <c r="K44" s="515"/>
      <c r="L44" s="516"/>
      <c r="M44" s="516"/>
      <c r="N44" s="515"/>
      <c r="O44" s="215"/>
      <c r="P44" s="517"/>
      <c r="Q44" s="518"/>
      <c r="R44" s="519"/>
      <c r="S44" s="520"/>
      <c r="T44" s="521"/>
      <c r="U44" s="215"/>
      <c r="V44" s="522"/>
      <c r="W44" s="60"/>
    </row>
    <row r="45" spans="2:23" s="8" customFormat="1" ht="16.5" customHeight="1" thickBot="1" thickTop="1">
      <c r="B45" s="55"/>
      <c r="C45" s="229" t="s">
        <v>255</v>
      </c>
      <c r="D45" s="271"/>
      <c r="E45" s="229"/>
      <c r="F45" s="231"/>
      <c r="G45" s="9"/>
      <c r="H45" s="11"/>
      <c r="I45" s="11"/>
      <c r="J45" s="11"/>
      <c r="K45" s="11"/>
      <c r="L45" s="11"/>
      <c r="M45" s="11"/>
      <c r="N45" s="11"/>
      <c r="O45" s="11"/>
      <c r="P45" s="11"/>
      <c r="Q45" s="523">
        <f>SUM(Q22:Q44)</f>
        <v>10902.497800000001</v>
      </c>
      <c r="R45" s="524">
        <f>SUM(R22:R44)</f>
        <v>0</v>
      </c>
      <c r="S45" s="525">
        <f>SUM(S22:S44)</f>
        <v>0</v>
      </c>
      <c r="T45" s="526">
        <f>SUM(T22:T44)</f>
        <v>0</v>
      </c>
      <c r="U45" s="527"/>
      <c r="V45" s="528">
        <f>ROUND(SUM(V22:V44),2)</f>
        <v>278234.11</v>
      </c>
      <c r="W45" s="60"/>
    </row>
    <row r="46" spans="2:23" s="8" customFormat="1" ht="16.5" customHeight="1" thickBot="1" thickTop="1">
      <c r="B46" s="245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7"/>
    </row>
    <row r="47" spans="23:25" ht="16.5" customHeight="1" thickTop="1">
      <c r="W47" s="417"/>
      <c r="X47" s="417"/>
      <c r="Y47" s="417"/>
    </row>
    <row r="48" spans="23:25" ht="16.5" customHeight="1">
      <c r="W48" s="417"/>
      <c r="X48" s="417"/>
      <c r="Y48" s="417"/>
    </row>
    <row r="49" spans="23:25" ht="16.5" customHeight="1">
      <c r="W49" s="417"/>
      <c r="X49" s="417"/>
      <c r="Y49" s="417"/>
    </row>
    <row r="50" spans="23:25" ht="16.5" customHeight="1">
      <c r="W50" s="417"/>
      <c r="X50" s="417"/>
      <c r="Y50" s="417"/>
    </row>
    <row r="51" spans="23:25" ht="16.5" customHeight="1">
      <c r="W51" s="417"/>
      <c r="X51" s="417"/>
      <c r="Y51" s="417"/>
    </row>
    <row r="52" spans="6:25" ht="16.5" customHeight="1">
      <c r="F52" s="417"/>
      <c r="G52" s="417"/>
      <c r="H52" s="417"/>
      <c r="I52" s="417"/>
      <c r="J52" s="417"/>
      <c r="K52" s="417"/>
      <c r="L52" s="417"/>
      <c r="M52" s="417"/>
      <c r="N52" s="417"/>
      <c r="O52" s="417"/>
      <c r="P52" s="417"/>
      <c r="Q52" s="417"/>
      <c r="R52" s="417"/>
      <c r="S52" s="417"/>
      <c r="T52" s="417"/>
      <c r="U52" s="417"/>
      <c r="V52" s="417"/>
      <c r="W52" s="417"/>
      <c r="X52" s="417"/>
      <c r="Y52" s="417"/>
    </row>
    <row r="53" spans="6:25" ht="16.5" customHeight="1"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7"/>
      <c r="Q53" s="417"/>
      <c r="R53" s="417"/>
      <c r="S53" s="417"/>
      <c r="T53" s="417"/>
      <c r="U53" s="417"/>
      <c r="V53" s="417"/>
      <c r="W53" s="417"/>
      <c r="X53" s="417"/>
      <c r="Y53" s="417"/>
    </row>
    <row r="54" spans="6:25" ht="16.5" customHeight="1">
      <c r="F54" s="417"/>
      <c r="G54" s="417"/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417"/>
      <c r="S54" s="417"/>
      <c r="T54" s="417"/>
      <c r="U54" s="417"/>
      <c r="V54" s="417"/>
      <c r="W54" s="417"/>
      <c r="X54" s="417"/>
      <c r="Y54" s="417"/>
    </row>
    <row r="55" spans="6:25" ht="16.5" customHeight="1">
      <c r="F55" s="417"/>
      <c r="G55" s="417"/>
      <c r="H55" s="417"/>
      <c r="I55" s="417"/>
      <c r="J55" s="417"/>
      <c r="K55" s="417"/>
      <c r="L55" s="417"/>
      <c r="M55" s="417"/>
      <c r="N55" s="417"/>
      <c r="O55" s="417"/>
      <c r="P55" s="417"/>
      <c r="Q55" s="417"/>
      <c r="R55" s="417"/>
      <c r="S55" s="417"/>
      <c r="T55" s="417"/>
      <c r="U55" s="417"/>
      <c r="V55" s="417"/>
      <c r="W55" s="417"/>
      <c r="X55" s="417"/>
      <c r="Y55" s="417"/>
    </row>
    <row r="56" spans="6:25" ht="16.5" customHeight="1">
      <c r="F56" s="417"/>
      <c r="G56" s="417"/>
      <c r="H56" s="417"/>
      <c r="I56" s="417"/>
      <c r="J56" s="417"/>
      <c r="K56" s="417"/>
      <c r="L56" s="417"/>
      <c r="M56" s="417"/>
      <c r="N56" s="417"/>
      <c r="O56" s="417"/>
      <c r="P56" s="417"/>
      <c r="Q56" s="417"/>
      <c r="R56" s="417"/>
      <c r="S56" s="417"/>
      <c r="T56" s="417"/>
      <c r="U56" s="417"/>
      <c r="V56" s="417"/>
      <c r="W56" s="417"/>
      <c r="X56" s="417"/>
      <c r="Y56" s="417"/>
    </row>
    <row r="57" spans="6:25" ht="16.5" customHeight="1">
      <c r="F57" s="417"/>
      <c r="G57" s="417"/>
      <c r="H57" s="417"/>
      <c r="I57" s="417"/>
      <c r="J57" s="417"/>
      <c r="K57" s="417"/>
      <c r="L57" s="417"/>
      <c r="M57" s="417"/>
      <c r="N57" s="417"/>
      <c r="O57" s="417"/>
      <c r="P57" s="417"/>
      <c r="Q57" s="417"/>
      <c r="R57" s="417"/>
      <c r="S57" s="417"/>
      <c r="T57" s="417"/>
      <c r="U57" s="417"/>
      <c r="V57" s="417"/>
      <c r="W57" s="417"/>
      <c r="X57" s="417"/>
      <c r="Y57" s="417"/>
    </row>
    <row r="58" spans="6:25" ht="16.5" customHeight="1">
      <c r="F58" s="417"/>
      <c r="G58" s="417"/>
      <c r="H58" s="417"/>
      <c r="I58" s="417"/>
      <c r="J58" s="417"/>
      <c r="K58" s="417"/>
      <c r="L58" s="417"/>
      <c r="M58" s="417"/>
      <c r="N58" s="417"/>
      <c r="O58" s="417"/>
      <c r="P58" s="417"/>
      <c r="Q58" s="417"/>
      <c r="R58" s="417"/>
      <c r="S58" s="417"/>
      <c r="T58" s="417"/>
      <c r="U58" s="417"/>
      <c r="V58" s="417"/>
      <c r="W58" s="417"/>
      <c r="X58" s="417"/>
      <c r="Y58" s="417"/>
    </row>
    <row r="59" spans="6:25" ht="16.5" customHeight="1"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7"/>
      <c r="W59" s="417"/>
      <c r="X59" s="417"/>
      <c r="Y59" s="417"/>
    </row>
    <row r="60" spans="6:25" ht="16.5" customHeight="1">
      <c r="F60" s="417"/>
      <c r="G60" s="417"/>
      <c r="H60" s="417"/>
      <c r="I60" s="417"/>
      <c r="J60" s="417"/>
      <c r="K60" s="417"/>
      <c r="L60" s="417"/>
      <c r="M60" s="417"/>
      <c r="N60" s="417"/>
      <c r="O60" s="417"/>
      <c r="P60" s="417"/>
      <c r="Q60" s="417"/>
      <c r="R60" s="417"/>
      <c r="S60" s="417"/>
      <c r="T60" s="417"/>
      <c r="U60" s="417"/>
      <c r="V60" s="417"/>
      <c r="W60" s="417"/>
      <c r="X60" s="417"/>
      <c r="Y60" s="417"/>
    </row>
    <row r="61" spans="6:25" ht="16.5" customHeight="1">
      <c r="F61" s="417"/>
      <c r="G61" s="417"/>
      <c r="H61" s="417"/>
      <c r="I61" s="417"/>
      <c r="J61" s="417"/>
      <c r="K61" s="417"/>
      <c r="L61" s="417"/>
      <c r="M61" s="417"/>
      <c r="N61" s="417"/>
      <c r="O61" s="417"/>
      <c r="P61" s="417"/>
      <c r="Q61" s="417"/>
      <c r="R61" s="417"/>
      <c r="S61" s="417"/>
      <c r="T61" s="417"/>
      <c r="U61" s="417"/>
      <c r="V61" s="417"/>
      <c r="W61" s="417"/>
      <c r="X61" s="417"/>
      <c r="Y61" s="417"/>
    </row>
    <row r="62" spans="6:25" ht="16.5" customHeight="1">
      <c r="F62" s="417"/>
      <c r="G62" s="417"/>
      <c r="H62" s="417"/>
      <c r="I62" s="417"/>
      <c r="J62" s="417"/>
      <c r="K62" s="417"/>
      <c r="L62" s="417"/>
      <c r="M62" s="417"/>
      <c r="N62" s="417"/>
      <c r="O62" s="417"/>
      <c r="P62" s="417"/>
      <c r="Q62" s="417"/>
      <c r="R62" s="417"/>
      <c r="S62" s="417"/>
      <c r="T62" s="417"/>
      <c r="U62" s="417"/>
      <c r="V62" s="417"/>
      <c r="W62" s="417"/>
      <c r="X62" s="417"/>
      <c r="Y62" s="417"/>
    </row>
    <row r="63" spans="6:25" ht="16.5" customHeight="1">
      <c r="F63" s="417"/>
      <c r="G63" s="417"/>
      <c r="H63" s="417"/>
      <c r="I63" s="417"/>
      <c r="J63" s="417"/>
      <c r="K63" s="417"/>
      <c r="L63" s="417"/>
      <c r="M63" s="417"/>
      <c r="N63" s="417"/>
      <c r="O63" s="417"/>
      <c r="P63" s="417"/>
      <c r="Q63" s="417"/>
      <c r="R63" s="417"/>
      <c r="S63" s="417"/>
      <c r="T63" s="417"/>
      <c r="U63" s="417"/>
      <c r="V63" s="417"/>
      <c r="W63" s="417"/>
      <c r="X63" s="417"/>
      <c r="Y63" s="417"/>
    </row>
    <row r="64" spans="6:25" ht="16.5" customHeight="1">
      <c r="F64" s="417"/>
      <c r="G64" s="417"/>
      <c r="H64" s="417"/>
      <c r="I64" s="417"/>
      <c r="J64" s="417"/>
      <c r="K64" s="417"/>
      <c r="L64" s="417"/>
      <c r="M64" s="417"/>
      <c r="N64" s="417"/>
      <c r="O64" s="417"/>
      <c r="P64" s="417"/>
      <c r="Q64" s="417"/>
      <c r="R64" s="417"/>
      <c r="S64" s="417"/>
      <c r="T64" s="417"/>
      <c r="U64" s="417"/>
      <c r="V64" s="417"/>
      <c r="W64" s="417"/>
      <c r="X64" s="417"/>
      <c r="Y64" s="417"/>
    </row>
    <row r="65" spans="6:25" ht="16.5" customHeight="1">
      <c r="F65" s="417"/>
      <c r="G65" s="417"/>
      <c r="H65" s="417"/>
      <c r="I65" s="417"/>
      <c r="J65" s="417"/>
      <c r="K65" s="417"/>
      <c r="L65" s="417"/>
      <c r="M65" s="417"/>
      <c r="N65" s="417"/>
      <c r="O65" s="417"/>
      <c r="P65" s="417"/>
      <c r="Q65" s="417"/>
      <c r="R65" s="417"/>
      <c r="S65" s="417"/>
      <c r="T65" s="417"/>
      <c r="U65" s="417"/>
      <c r="V65" s="417"/>
      <c r="W65" s="417"/>
      <c r="X65" s="417"/>
      <c r="Y65" s="417"/>
    </row>
    <row r="66" spans="6:25" ht="16.5" customHeight="1">
      <c r="F66" s="417"/>
      <c r="G66" s="417"/>
      <c r="H66" s="417"/>
      <c r="I66" s="417"/>
      <c r="J66" s="417"/>
      <c r="K66" s="417"/>
      <c r="L66" s="417"/>
      <c r="M66" s="417"/>
      <c r="N66" s="417"/>
      <c r="O66" s="417"/>
      <c r="P66" s="417"/>
      <c r="Q66" s="417"/>
      <c r="R66" s="417"/>
      <c r="S66" s="417"/>
      <c r="T66" s="417"/>
      <c r="U66" s="417"/>
      <c r="V66" s="417"/>
      <c r="W66" s="417"/>
      <c r="X66" s="417"/>
      <c r="Y66" s="417"/>
    </row>
    <row r="67" spans="6:25" ht="16.5" customHeight="1">
      <c r="F67" s="417"/>
      <c r="G67" s="417"/>
      <c r="H67" s="417"/>
      <c r="I67" s="417"/>
      <c r="J67" s="417"/>
      <c r="K67" s="417"/>
      <c r="L67" s="417"/>
      <c r="M67" s="417"/>
      <c r="N67" s="417"/>
      <c r="O67" s="417"/>
      <c r="P67" s="417"/>
      <c r="Q67" s="417"/>
      <c r="R67" s="417"/>
      <c r="S67" s="417"/>
      <c r="T67" s="417"/>
      <c r="U67" s="417"/>
      <c r="V67" s="417"/>
      <c r="W67" s="417"/>
      <c r="X67" s="417"/>
      <c r="Y67" s="417"/>
    </row>
    <row r="68" spans="6:25" ht="16.5" customHeight="1">
      <c r="F68" s="417"/>
      <c r="G68" s="417"/>
      <c r="H68" s="417"/>
      <c r="I68" s="417"/>
      <c r="J68" s="417"/>
      <c r="K68" s="417"/>
      <c r="L68" s="417"/>
      <c r="M68" s="417"/>
      <c r="N68" s="417"/>
      <c r="O68" s="417"/>
      <c r="P68" s="417"/>
      <c r="Q68" s="417"/>
      <c r="R68" s="417"/>
      <c r="S68" s="417"/>
      <c r="T68" s="417"/>
      <c r="U68" s="417"/>
      <c r="V68" s="417"/>
      <c r="W68" s="417"/>
      <c r="X68" s="417"/>
      <c r="Y68" s="417"/>
    </row>
    <row r="69" spans="6:25" ht="16.5" customHeight="1">
      <c r="F69" s="417"/>
      <c r="G69" s="417"/>
      <c r="H69" s="417"/>
      <c r="I69" s="417"/>
      <c r="J69" s="417"/>
      <c r="K69" s="417"/>
      <c r="L69" s="417"/>
      <c r="M69" s="417"/>
      <c r="N69" s="417"/>
      <c r="O69" s="417"/>
      <c r="P69" s="417"/>
      <c r="Q69" s="417"/>
      <c r="R69" s="417"/>
      <c r="S69" s="417"/>
      <c r="T69" s="417"/>
      <c r="U69" s="417"/>
      <c r="V69" s="417"/>
      <c r="W69" s="417"/>
      <c r="X69" s="417"/>
      <c r="Y69" s="417"/>
    </row>
    <row r="70" spans="6:25" ht="16.5" customHeight="1">
      <c r="F70" s="417"/>
      <c r="G70" s="417"/>
      <c r="H70" s="417"/>
      <c r="I70" s="417"/>
      <c r="J70" s="417"/>
      <c r="K70" s="417"/>
      <c r="L70" s="417"/>
      <c r="M70" s="417"/>
      <c r="N70" s="417"/>
      <c r="O70" s="417"/>
      <c r="P70" s="417"/>
      <c r="Q70" s="417"/>
      <c r="R70" s="417"/>
      <c r="S70" s="417"/>
      <c r="T70" s="417"/>
      <c r="U70" s="417"/>
      <c r="V70" s="417"/>
      <c r="W70" s="417"/>
      <c r="X70" s="417"/>
      <c r="Y70" s="417"/>
    </row>
    <row r="71" spans="6:25" ht="16.5" customHeight="1">
      <c r="F71" s="417"/>
      <c r="G71" s="417"/>
      <c r="H71" s="417"/>
      <c r="I71" s="417"/>
      <c r="J71" s="417"/>
      <c r="K71" s="417"/>
      <c r="L71" s="417"/>
      <c r="M71" s="417"/>
      <c r="N71" s="417"/>
      <c r="O71" s="417"/>
      <c r="P71" s="417"/>
      <c r="Q71" s="417"/>
      <c r="R71" s="417"/>
      <c r="S71" s="417"/>
      <c r="T71" s="417"/>
      <c r="U71" s="417"/>
      <c r="V71" s="417"/>
      <c r="W71" s="417"/>
      <c r="X71" s="417"/>
      <c r="Y71" s="417"/>
    </row>
    <row r="72" spans="6:25" ht="16.5" customHeight="1">
      <c r="F72" s="417"/>
      <c r="G72" s="417"/>
      <c r="H72" s="417"/>
      <c r="I72" s="417"/>
      <c r="J72" s="417"/>
      <c r="K72" s="417"/>
      <c r="L72" s="417"/>
      <c r="M72" s="417"/>
      <c r="N72" s="417"/>
      <c r="O72" s="417"/>
      <c r="P72" s="417"/>
      <c r="Q72" s="417"/>
      <c r="R72" s="417"/>
      <c r="S72" s="417"/>
      <c r="T72" s="417"/>
      <c r="U72" s="417"/>
      <c r="V72" s="417"/>
      <c r="W72" s="417"/>
      <c r="X72" s="417"/>
      <c r="Y72" s="417"/>
    </row>
    <row r="73" spans="6:25" ht="16.5" customHeight="1">
      <c r="F73" s="417"/>
      <c r="G73" s="417"/>
      <c r="H73" s="417"/>
      <c r="I73" s="417"/>
      <c r="J73" s="417"/>
      <c r="K73" s="417"/>
      <c r="L73" s="417"/>
      <c r="M73" s="417"/>
      <c r="N73" s="417"/>
      <c r="O73" s="417"/>
      <c r="P73" s="417"/>
      <c r="Q73" s="417"/>
      <c r="R73" s="417"/>
      <c r="S73" s="417"/>
      <c r="T73" s="417"/>
      <c r="U73" s="417"/>
      <c r="V73" s="417"/>
      <c r="W73" s="417"/>
      <c r="X73" s="417"/>
      <c r="Y73" s="417"/>
    </row>
    <row r="74" spans="6:25" ht="16.5" customHeight="1">
      <c r="F74" s="417"/>
      <c r="G74" s="417"/>
      <c r="H74" s="417"/>
      <c r="I74" s="417"/>
      <c r="J74" s="417"/>
      <c r="K74" s="417"/>
      <c r="L74" s="417"/>
      <c r="M74" s="417"/>
      <c r="N74" s="417"/>
      <c r="O74" s="417"/>
      <c r="P74" s="417"/>
      <c r="Q74" s="417"/>
      <c r="R74" s="417"/>
      <c r="S74" s="417"/>
      <c r="T74" s="417"/>
      <c r="U74" s="417"/>
      <c r="V74" s="417"/>
      <c r="W74" s="417"/>
      <c r="X74" s="417"/>
      <c r="Y74" s="417"/>
    </row>
    <row r="75" spans="6:25" ht="16.5" customHeight="1">
      <c r="F75" s="417"/>
      <c r="G75" s="417"/>
      <c r="H75" s="417"/>
      <c r="I75" s="417"/>
      <c r="J75" s="417"/>
      <c r="K75" s="417"/>
      <c r="L75" s="417"/>
      <c r="M75" s="417"/>
      <c r="N75" s="417"/>
      <c r="O75" s="417"/>
      <c r="P75" s="417"/>
      <c r="Q75" s="417"/>
      <c r="R75" s="417"/>
      <c r="S75" s="417"/>
      <c r="T75" s="417"/>
      <c r="U75" s="417"/>
      <c r="V75" s="417"/>
      <c r="W75" s="417"/>
      <c r="X75" s="417"/>
      <c r="Y75" s="417"/>
    </row>
    <row r="76" spans="6:25" ht="16.5" customHeight="1">
      <c r="F76" s="417"/>
      <c r="G76" s="417"/>
      <c r="H76" s="417"/>
      <c r="I76" s="417"/>
      <c r="J76" s="417"/>
      <c r="K76" s="417"/>
      <c r="L76" s="417"/>
      <c r="M76" s="417"/>
      <c r="N76" s="417"/>
      <c r="O76" s="417"/>
      <c r="P76" s="417"/>
      <c r="Q76" s="417"/>
      <c r="R76" s="417"/>
      <c r="S76" s="417"/>
      <c r="T76" s="417"/>
      <c r="U76" s="417"/>
      <c r="V76" s="417"/>
      <c r="W76" s="417"/>
      <c r="X76" s="417"/>
      <c r="Y76" s="417"/>
    </row>
    <row r="77" spans="6:25" ht="16.5" customHeight="1">
      <c r="F77" s="417"/>
      <c r="G77" s="417"/>
      <c r="H77" s="417"/>
      <c r="I77" s="417"/>
      <c r="J77" s="417"/>
      <c r="K77" s="417"/>
      <c r="L77" s="417"/>
      <c r="M77" s="417"/>
      <c r="N77" s="417"/>
      <c r="O77" s="417"/>
      <c r="P77" s="417"/>
      <c r="Q77" s="417"/>
      <c r="R77" s="417"/>
      <c r="S77" s="417"/>
      <c r="T77" s="417"/>
      <c r="U77" s="417"/>
      <c r="V77" s="417"/>
      <c r="W77" s="417"/>
      <c r="X77" s="417"/>
      <c r="Y77" s="417"/>
    </row>
    <row r="78" spans="6:25" ht="16.5" customHeight="1">
      <c r="F78" s="417"/>
      <c r="G78" s="417"/>
      <c r="H78" s="417"/>
      <c r="I78" s="417"/>
      <c r="J78" s="417"/>
      <c r="K78" s="417"/>
      <c r="L78" s="417"/>
      <c r="M78" s="417"/>
      <c r="N78" s="417"/>
      <c r="O78" s="417"/>
      <c r="P78" s="417"/>
      <c r="Q78" s="417"/>
      <c r="R78" s="417"/>
      <c r="S78" s="417"/>
      <c r="T78" s="417"/>
      <c r="U78" s="417"/>
      <c r="V78" s="417"/>
      <c r="W78" s="417"/>
      <c r="X78" s="417"/>
      <c r="Y78" s="417"/>
    </row>
    <row r="79" spans="6:25" ht="16.5" customHeight="1">
      <c r="F79" s="417"/>
      <c r="G79" s="417"/>
      <c r="H79" s="417"/>
      <c r="I79" s="417"/>
      <c r="J79" s="417"/>
      <c r="K79" s="417"/>
      <c r="L79" s="417"/>
      <c r="M79" s="417"/>
      <c r="N79" s="417"/>
      <c r="O79" s="417"/>
      <c r="P79" s="417"/>
      <c r="Q79" s="417"/>
      <c r="R79" s="417"/>
      <c r="S79" s="417"/>
      <c r="T79" s="417"/>
      <c r="U79" s="417"/>
      <c r="V79" s="417"/>
      <c r="W79" s="417"/>
      <c r="X79" s="417"/>
      <c r="Y79" s="417"/>
    </row>
    <row r="80" spans="6:25" ht="16.5" customHeight="1">
      <c r="F80" s="417"/>
      <c r="G80" s="417"/>
      <c r="H80" s="417"/>
      <c r="I80" s="417"/>
      <c r="J80" s="417"/>
      <c r="K80" s="417"/>
      <c r="L80" s="417"/>
      <c r="M80" s="417"/>
      <c r="N80" s="417"/>
      <c r="O80" s="417"/>
      <c r="P80" s="417"/>
      <c r="Q80" s="417"/>
      <c r="R80" s="417"/>
      <c r="S80" s="417"/>
      <c r="T80" s="417"/>
      <c r="U80" s="417"/>
      <c r="V80" s="417"/>
      <c r="W80" s="417"/>
      <c r="X80" s="417"/>
      <c r="Y80" s="417"/>
    </row>
    <row r="81" spans="6:25" ht="16.5" customHeight="1">
      <c r="F81" s="417"/>
      <c r="G81" s="417"/>
      <c r="H81" s="417"/>
      <c r="I81" s="417"/>
      <c r="J81" s="417"/>
      <c r="K81" s="417"/>
      <c r="L81" s="417"/>
      <c r="M81" s="417"/>
      <c r="N81" s="417"/>
      <c r="O81" s="417"/>
      <c r="P81" s="417"/>
      <c r="Q81" s="417"/>
      <c r="R81" s="417"/>
      <c r="S81" s="417"/>
      <c r="T81" s="417"/>
      <c r="U81" s="417"/>
      <c r="V81" s="417"/>
      <c r="W81" s="417"/>
      <c r="X81" s="417"/>
      <c r="Y81" s="417"/>
    </row>
    <row r="82" spans="6:25" ht="16.5" customHeight="1">
      <c r="F82" s="417"/>
      <c r="G82" s="417"/>
      <c r="H82" s="417"/>
      <c r="I82" s="417"/>
      <c r="J82" s="417"/>
      <c r="K82" s="417"/>
      <c r="L82" s="417"/>
      <c r="M82" s="417"/>
      <c r="N82" s="417"/>
      <c r="O82" s="417"/>
      <c r="P82" s="417"/>
      <c r="Q82" s="417"/>
      <c r="R82" s="417"/>
      <c r="S82" s="417"/>
      <c r="T82" s="417"/>
      <c r="U82" s="417"/>
      <c r="V82" s="417"/>
      <c r="W82" s="417"/>
      <c r="X82" s="417"/>
      <c r="Y82" s="417"/>
    </row>
    <row r="83" spans="6:25" ht="16.5" customHeight="1">
      <c r="F83" s="417"/>
      <c r="G83" s="417"/>
      <c r="H83" s="417"/>
      <c r="I83" s="417"/>
      <c r="J83" s="417"/>
      <c r="K83" s="417"/>
      <c r="L83" s="417"/>
      <c r="M83" s="417"/>
      <c r="N83" s="417"/>
      <c r="O83" s="417"/>
      <c r="P83" s="417"/>
      <c r="Q83" s="417"/>
      <c r="R83" s="417"/>
      <c r="S83" s="417"/>
      <c r="T83" s="417"/>
      <c r="U83" s="417"/>
      <c r="V83" s="417"/>
      <c r="W83" s="417"/>
      <c r="X83" s="417"/>
      <c r="Y83" s="417"/>
    </row>
    <row r="84" spans="6:25" ht="16.5" customHeight="1">
      <c r="F84" s="417"/>
      <c r="G84" s="417"/>
      <c r="H84" s="417"/>
      <c r="I84" s="417"/>
      <c r="J84" s="417"/>
      <c r="K84" s="417"/>
      <c r="L84" s="417"/>
      <c r="M84" s="417"/>
      <c r="N84" s="417"/>
      <c r="O84" s="417"/>
      <c r="P84" s="417"/>
      <c r="Q84" s="417"/>
      <c r="R84" s="417"/>
      <c r="S84" s="417"/>
      <c r="T84" s="417"/>
      <c r="U84" s="417"/>
      <c r="V84" s="417"/>
      <c r="W84" s="417"/>
      <c r="X84" s="417"/>
      <c r="Y84" s="417"/>
    </row>
    <row r="85" spans="6:25" ht="16.5" customHeight="1">
      <c r="F85" s="417"/>
      <c r="G85" s="417"/>
      <c r="H85" s="417"/>
      <c r="I85" s="417"/>
      <c r="J85" s="417"/>
      <c r="K85" s="417"/>
      <c r="L85" s="417"/>
      <c r="M85" s="417"/>
      <c r="N85" s="417"/>
      <c r="O85" s="417"/>
      <c r="P85" s="417"/>
      <c r="Q85" s="417"/>
      <c r="R85" s="417"/>
      <c r="S85" s="417"/>
      <c r="T85" s="417"/>
      <c r="U85" s="417"/>
      <c r="V85" s="417"/>
      <c r="W85" s="417"/>
      <c r="X85" s="417"/>
      <c r="Y85" s="417"/>
    </row>
    <row r="86" spans="6:25" ht="16.5" customHeight="1">
      <c r="F86" s="417"/>
      <c r="G86" s="417"/>
      <c r="H86" s="417"/>
      <c r="I86" s="417"/>
      <c r="J86" s="417"/>
      <c r="K86" s="417"/>
      <c r="L86" s="417"/>
      <c r="M86" s="417"/>
      <c r="N86" s="417"/>
      <c r="O86" s="417"/>
      <c r="P86" s="417"/>
      <c r="Q86" s="417"/>
      <c r="R86" s="417"/>
      <c r="S86" s="417"/>
      <c r="T86" s="417"/>
      <c r="U86" s="417"/>
      <c r="V86" s="417"/>
      <c r="W86" s="417"/>
      <c r="X86" s="417"/>
      <c r="Y86" s="417"/>
    </row>
    <row r="87" spans="6:25" ht="16.5" customHeight="1">
      <c r="F87" s="417"/>
      <c r="G87" s="417"/>
      <c r="H87" s="417"/>
      <c r="I87" s="417"/>
      <c r="J87" s="417"/>
      <c r="K87" s="417"/>
      <c r="L87" s="417"/>
      <c r="M87" s="417"/>
      <c r="N87" s="417"/>
      <c r="O87" s="417"/>
      <c r="P87" s="417"/>
      <c r="Q87" s="417"/>
      <c r="R87" s="417"/>
      <c r="S87" s="417"/>
      <c r="T87" s="417"/>
      <c r="U87" s="417"/>
      <c r="V87" s="417"/>
      <c r="W87" s="417"/>
      <c r="X87" s="417"/>
      <c r="Y87" s="417"/>
    </row>
    <row r="88" spans="6:25" ht="16.5" customHeight="1">
      <c r="F88" s="417"/>
      <c r="G88" s="417"/>
      <c r="H88" s="417"/>
      <c r="I88" s="417"/>
      <c r="J88" s="417"/>
      <c r="K88" s="417"/>
      <c r="L88" s="417"/>
      <c r="M88" s="417"/>
      <c r="N88" s="417"/>
      <c r="O88" s="417"/>
      <c r="P88" s="417"/>
      <c r="Q88" s="417"/>
      <c r="R88" s="417"/>
      <c r="S88" s="417"/>
      <c r="T88" s="417"/>
      <c r="U88" s="417"/>
      <c r="V88" s="417"/>
      <c r="W88" s="417"/>
      <c r="X88" s="417"/>
      <c r="Y88" s="417"/>
    </row>
    <row r="89" spans="6:25" ht="16.5" customHeight="1">
      <c r="F89" s="417"/>
      <c r="G89" s="417"/>
      <c r="H89" s="417"/>
      <c r="I89" s="417"/>
      <c r="J89" s="417"/>
      <c r="K89" s="417"/>
      <c r="L89" s="417"/>
      <c r="M89" s="417"/>
      <c r="N89" s="417"/>
      <c r="O89" s="417"/>
      <c r="P89" s="417"/>
      <c r="Q89" s="417"/>
      <c r="R89" s="417"/>
      <c r="S89" s="417"/>
      <c r="T89" s="417"/>
      <c r="U89" s="417"/>
      <c r="V89" s="417"/>
      <c r="W89" s="417"/>
      <c r="X89" s="417"/>
      <c r="Y89" s="417"/>
    </row>
    <row r="90" spans="6:25" ht="16.5" customHeight="1">
      <c r="F90" s="417"/>
      <c r="G90" s="417"/>
      <c r="H90" s="417"/>
      <c r="I90" s="417"/>
      <c r="J90" s="417"/>
      <c r="K90" s="417"/>
      <c r="L90" s="417"/>
      <c r="M90" s="417"/>
      <c r="N90" s="417"/>
      <c r="O90" s="417"/>
      <c r="P90" s="417"/>
      <c r="Q90" s="417"/>
      <c r="R90" s="417"/>
      <c r="S90" s="417"/>
      <c r="T90" s="417"/>
      <c r="U90" s="417"/>
      <c r="V90" s="417"/>
      <c r="W90" s="417"/>
      <c r="X90" s="417"/>
      <c r="Y90" s="417"/>
    </row>
    <row r="91" spans="6:25" ht="16.5" customHeight="1">
      <c r="F91" s="417"/>
      <c r="G91" s="417"/>
      <c r="H91" s="417"/>
      <c r="I91" s="417"/>
      <c r="J91" s="417"/>
      <c r="K91" s="417"/>
      <c r="L91" s="417"/>
      <c r="M91" s="417"/>
      <c r="N91" s="417"/>
      <c r="O91" s="417"/>
      <c r="P91" s="417"/>
      <c r="Q91" s="417"/>
      <c r="R91" s="417"/>
      <c r="S91" s="417"/>
      <c r="T91" s="417"/>
      <c r="U91" s="417"/>
      <c r="V91" s="417"/>
      <c r="W91" s="417"/>
      <c r="X91" s="417"/>
      <c r="Y91" s="417"/>
    </row>
    <row r="92" spans="6:25" ht="16.5" customHeight="1">
      <c r="F92" s="417"/>
      <c r="G92" s="417"/>
      <c r="H92" s="417"/>
      <c r="I92" s="417"/>
      <c r="J92" s="417"/>
      <c r="K92" s="417"/>
      <c r="L92" s="417"/>
      <c r="M92" s="417"/>
      <c r="N92" s="417"/>
      <c r="O92" s="417"/>
      <c r="P92" s="417"/>
      <c r="Q92" s="417"/>
      <c r="R92" s="417"/>
      <c r="S92" s="417"/>
      <c r="T92" s="417"/>
      <c r="U92" s="417"/>
      <c r="V92" s="417"/>
      <c r="W92" s="417"/>
      <c r="X92" s="417"/>
      <c r="Y92" s="417"/>
    </row>
    <row r="93" spans="6:25" ht="16.5" customHeight="1">
      <c r="F93" s="417"/>
      <c r="G93" s="417"/>
      <c r="H93" s="417"/>
      <c r="I93" s="417"/>
      <c r="J93" s="417"/>
      <c r="K93" s="417"/>
      <c r="L93" s="417"/>
      <c r="M93" s="417"/>
      <c r="N93" s="417"/>
      <c r="O93" s="417"/>
      <c r="P93" s="417"/>
      <c r="Q93" s="417"/>
      <c r="R93" s="417"/>
      <c r="S93" s="417"/>
      <c r="T93" s="417"/>
      <c r="U93" s="417"/>
      <c r="V93" s="417"/>
      <c r="W93" s="417"/>
      <c r="X93" s="417"/>
      <c r="Y93" s="417"/>
    </row>
    <row r="94" spans="6:25" ht="16.5" customHeight="1">
      <c r="F94" s="417"/>
      <c r="G94" s="417"/>
      <c r="H94" s="417"/>
      <c r="I94" s="417"/>
      <c r="J94" s="417"/>
      <c r="K94" s="417"/>
      <c r="L94" s="417"/>
      <c r="M94" s="417"/>
      <c r="N94" s="417"/>
      <c r="O94" s="417"/>
      <c r="P94" s="417"/>
      <c r="Q94" s="417"/>
      <c r="R94" s="417"/>
      <c r="S94" s="417"/>
      <c r="T94" s="417"/>
      <c r="U94" s="417"/>
      <c r="V94" s="417"/>
      <c r="W94" s="417"/>
      <c r="X94" s="417"/>
      <c r="Y94" s="417"/>
    </row>
    <row r="95" spans="6:25" ht="16.5" customHeight="1">
      <c r="F95" s="417"/>
      <c r="G95" s="417"/>
      <c r="H95" s="417"/>
      <c r="I95" s="417"/>
      <c r="J95" s="417"/>
      <c r="K95" s="417"/>
      <c r="L95" s="417"/>
      <c r="M95" s="417"/>
      <c r="N95" s="417"/>
      <c r="O95" s="417"/>
      <c r="P95" s="417"/>
      <c r="Q95" s="417"/>
      <c r="R95" s="417"/>
      <c r="S95" s="417"/>
      <c r="T95" s="417"/>
      <c r="U95" s="417"/>
      <c r="V95" s="417"/>
      <c r="W95" s="417"/>
      <c r="X95" s="417"/>
      <c r="Y95" s="417"/>
    </row>
    <row r="96" spans="6:25" ht="16.5" customHeight="1">
      <c r="F96" s="417"/>
      <c r="G96" s="417"/>
      <c r="H96" s="417"/>
      <c r="I96" s="417"/>
      <c r="J96" s="417"/>
      <c r="K96" s="417"/>
      <c r="L96" s="417"/>
      <c r="M96" s="417"/>
      <c r="N96" s="417"/>
      <c r="O96" s="417"/>
      <c r="P96" s="417"/>
      <c r="Q96" s="417"/>
      <c r="R96" s="417"/>
      <c r="S96" s="417"/>
      <c r="T96" s="417"/>
      <c r="U96" s="417"/>
      <c r="V96" s="417"/>
      <c r="W96" s="417"/>
      <c r="X96" s="417"/>
      <c r="Y96" s="417"/>
    </row>
    <row r="97" spans="6:25" ht="16.5" customHeight="1">
      <c r="F97" s="417"/>
      <c r="G97" s="417"/>
      <c r="H97" s="417"/>
      <c r="I97" s="417"/>
      <c r="J97" s="417"/>
      <c r="K97" s="417"/>
      <c r="L97" s="417"/>
      <c r="M97" s="417"/>
      <c r="N97" s="417"/>
      <c r="O97" s="417"/>
      <c r="P97" s="417"/>
      <c r="Q97" s="417"/>
      <c r="R97" s="417"/>
      <c r="S97" s="417"/>
      <c r="T97" s="417"/>
      <c r="U97" s="417"/>
      <c r="V97" s="417"/>
      <c r="W97" s="417"/>
      <c r="X97" s="417"/>
      <c r="Y97" s="417"/>
    </row>
    <row r="98" spans="6:25" ht="16.5" customHeight="1">
      <c r="F98" s="417"/>
      <c r="G98" s="417"/>
      <c r="H98" s="417"/>
      <c r="I98" s="417"/>
      <c r="J98" s="417"/>
      <c r="K98" s="417"/>
      <c r="L98" s="417"/>
      <c r="M98" s="417"/>
      <c r="N98" s="417"/>
      <c r="O98" s="417"/>
      <c r="P98" s="417"/>
      <c r="Q98" s="417"/>
      <c r="R98" s="417"/>
      <c r="S98" s="417"/>
      <c r="T98" s="417"/>
      <c r="U98" s="417"/>
      <c r="V98" s="417"/>
      <c r="W98" s="417"/>
      <c r="X98" s="417"/>
      <c r="Y98" s="417"/>
    </row>
    <row r="99" spans="6:25" ht="16.5" customHeight="1">
      <c r="F99" s="417"/>
      <c r="G99" s="417"/>
      <c r="H99" s="417"/>
      <c r="I99" s="417"/>
      <c r="J99" s="417"/>
      <c r="K99" s="417"/>
      <c r="L99" s="417"/>
      <c r="M99" s="417"/>
      <c r="N99" s="417"/>
      <c r="O99" s="417"/>
      <c r="P99" s="417"/>
      <c r="Q99" s="417"/>
      <c r="R99" s="417"/>
      <c r="S99" s="417"/>
      <c r="T99" s="417"/>
      <c r="U99" s="417"/>
      <c r="V99" s="417"/>
      <c r="W99" s="417"/>
      <c r="X99" s="417"/>
      <c r="Y99" s="417"/>
    </row>
    <row r="100" spans="6:25" ht="16.5" customHeight="1">
      <c r="F100" s="417"/>
      <c r="G100" s="417"/>
      <c r="H100" s="417"/>
      <c r="I100" s="417"/>
      <c r="J100" s="417"/>
      <c r="K100" s="417"/>
      <c r="L100" s="417"/>
      <c r="M100" s="417"/>
      <c r="N100" s="417"/>
      <c r="O100" s="417"/>
      <c r="P100" s="417"/>
      <c r="Q100" s="417"/>
      <c r="R100" s="417"/>
      <c r="S100" s="417"/>
      <c r="T100" s="417"/>
      <c r="U100" s="417"/>
      <c r="V100" s="417"/>
      <c r="W100" s="417"/>
      <c r="X100" s="417"/>
      <c r="Y100" s="417"/>
    </row>
    <row r="101" spans="6:25" ht="16.5" customHeight="1">
      <c r="F101" s="417"/>
      <c r="G101" s="417"/>
      <c r="H101" s="417"/>
      <c r="I101" s="417"/>
      <c r="J101" s="417"/>
      <c r="K101" s="417"/>
      <c r="L101" s="417"/>
      <c r="M101" s="417"/>
      <c r="N101" s="417"/>
      <c r="O101" s="417"/>
      <c r="P101" s="417"/>
      <c r="Q101" s="417"/>
      <c r="R101" s="417"/>
      <c r="S101" s="417"/>
      <c r="T101" s="417"/>
      <c r="U101" s="417"/>
      <c r="V101" s="417"/>
      <c r="W101" s="417"/>
      <c r="X101" s="417"/>
      <c r="Y101" s="417"/>
    </row>
    <row r="102" spans="6:25" ht="16.5" customHeight="1">
      <c r="F102" s="417"/>
      <c r="G102" s="417"/>
      <c r="H102" s="417"/>
      <c r="I102" s="417"/>
      <c r="J102" s="417"/>
      <c r="K102" s="417"/>
      <c r="L102" s="417"/>
      <c r="M102" s="417"/>
      <c r="N102" s="417"/>
      <c r="O102" s="417"/>
      <c r="P102" s="417"/>
      <c r="Q102" s="417"/>
      <c r="R102" s="417"/>
      <c r="S102" s="417"/>
      <c r="T102" s="417"/>
      <c r="U102" s="417"/>
      <c r="V102" s="417"/>
      <c r="W102" s="417"/>
      <c r="X102" s="417"/>
      <c r="Y102" s="417"/>
    </row>
    <row r="103" spans="6:25" ht="16.5" customHeight="1">
      <c r="F103" s="417"/>
      <c r="G103" s="417"/>
      <c r="H103" s="417"/>
      <c r="I103" s="417"/>
      <c r="J103" s="417"/>
      <c r="K103" s="417"/>
      <c r="L103" s="417"/>
      <c r="M103" s="417"/>
      <c r="N103" s="417"/>
      <c r="O103" s="417"/>
      <c r="P103" s="417"/>
      <c r="Q103" s="417"/>
      <c r="R103" s="417"/>
      <c r="S103" s="417"/>
      <c r="T103" s="417"/>
      <c r="U103" s="417"/>
      <c r="V103" s="417"/>
      <c r="W103" s="417"/>
      <c r="X103" s="417"/>
      <c r="Y103" s="417"/>
    </row>
    <row r="104" spans="6:25" ht="16.5" customHeight="1">
      <c r="F104" s="417"/>
      <c r="G104" s="417"/>
      <c r="H104" s="417"/>
      <c r="I104" s="417"/>
      <c r="J104" s="417"/>
      <c r="K104" s="417"/>
      <c r="L104" s="417"/>
      <c r="M104" s="417"/>
      <c r="N104" s="417"/>
      <c r="O104" s="417"/>
      <c r="P104" s="417"/>
      <c r="Q104" s="417"/>
      <c r="R104" s="417"/>
      <c r="S104" s="417"/>
      <c r="T104" s="417"/>
      <c r="U104" s="417"/>
      <c r="V104" s="417"/>
      <c r="W104" s="417"/>
      <c r="X104" s="417"/>
      <c r="Y104" s="417"/>
    </row>
    <row r="105" spans="6:25" ht="16.5" customHeight="1">
      <c r="F105" s="417"/>
      <c r="G105" s="417"/>
      <c r="H105" s="417"/>
      <c r="I105" s="417"/>
      <c r="J105" s="417"/>
      <c r="K105" s="417"/>
      <c r="L105" s="417"/>
      <c r="M105" s="417"/>
      <c r="N105" s="417"/>
      <c r="O105" s="417"/>
      <c r="P105" s="417"/>
      <c r="Q105" s="417"/>
      <c r="R105" s="417"/>
      <c r="S105" s="417"/>
      <c r="T105" s="417"/>
      <c r="U105" s="417"/>
      <c r="V105" s="417"/>
      <c r="W105" s="417"/>
      <c r="X105" s="417"/>
      <c r="Y105" s="417"/>
    </row>
    <row r="106" spans="6:25" ht="16.5" customHeight="1">
      <c r="F106" s="417"/>
      <c r="G106" s="417"/>
      <c r="H106" s="417"/>
      <c r="I106" s="417"/>
      <c r="J106" s="417"/>
      <c r="K106" s="417"/>
      <c r="L106" s="417"/>
      <c r="M106" s="417"/>
      <c r="N106" s="417"/>
      <c r="O106" s="417"/>
      <c r="P106" s="417"/>
      <c r="Q106" s="417"/>
      <c r="R106" s="417"/>
      <c r="S106" s="417"/>
      <c r="T106" s="417"/>
      <c r="U106" s="417"/>
      <c r="V106" s="417"/>
      <c r="W106" s="417"/>
      <c r="X106" s="417"/>
      <c r="Y106" s="417"/>
    </row>
    <row r="107" spans="6:25" ht="16.5" customHeight="1">
      <c r="F107" s="417"/>
      <c r="G107" s="417"/>
      <c r="H107" s="417"/>
      <c r="I107" s="417"/>
      <c r="J107" s="417"/>
      <c r="K107" s="417"/>
      <c r="L107" s="417"/>
      <c r="M107" s="417"/>
      <c r="N107" s="417"/>
      <c r="O107" s="417"/>
      <c r="P107" s="417"/>
      <c r="Q107" s="417"/>
      <c r="R107" s="417"/>
      <c r="S107" s="417"/>
      <c r="T107" s="417"/>
      <c r="U107" s="417"/>
      <c r="V107" s="417"/>
      <c r="W107" s="417"/>
      <c r="X107" s="417"/>
      <c r="Y107" s="417"/>
    </row>
    <row r="108" spans="6:25" ht="16.5" customHeight="1">
      <c r="F108" s="417"/>
      <c r="G108" s="417"/>
      <c r="H108" s="417"/>
      <c r="I108" s="417"/>
      <c r="J108" s="417"/>
      <c r="K108" s="417"/>
      <c r="L108" s="417"/>
      <c r="M108" s="417"/>
      <c r="N108" s="417"/>
      <c r="O108" s="417"/>
      <c r="P108" s="417"/>
      <c r="Q108" s="417"/>
      <c r="R108" s="417"/>
      <c r="S108" s="417"/>
      <c r="T108" s="417"/>
      <c r="U108" s="417"/>
      <c r="V108" s="417"/>
      <c r="W108" s="417"/>
      <c r="X108" s="417"/>
      <c r="Y108" s="417"/>
    </row>
    <row r="109" spans="6:25" ht="16.5" customHeight="1">
      <c r="F109" s="417"/>
      <c r="G109" s="417"/>
      <c r="H109" s="417"/>
      <c r="I109" s="417"/>
      <c r="J109" s="417"/>
      <c r="K109" s="417"/>
      <c r="L109" s="417"/>
      <c r="M109" s="417"/>
      <c r="N109" s="417"/>
      <c r="O109" s="417"/>
      <c r="P109" s="417"/>
      <c r="Q109" s="417"/>
      <c r="R109" s="417"/>
      <c r="S109" s="417"/>
      <c r="T109" s="417"/>
      <c r="U109" s="417"/>
      <c r="V109" s="417"/>
      <c r="W109" s="417"/>
      <c r="X109" s="417"/>
      <c r="Y109" s="417"/>
    </row>
    <row r="110" spans="6:25" ht="16.5" customHeight="1">
      <c r="F110" s="417"/>
      <c r="G110" s="417"/>
      <c r="H110" s="417"/>
      <c r="I110" s="417"/>
      <c r="J110" s="417"/>
      <c r="K110" s="417"/>
      <c r="L110" s="417"/>
      <c r="M110" s="417"/>
      <c r="N110" s="417"/>
      <c r="O110" s="417"/>
      <c r="P110" s="417"/>
      <c r="Q110" s="417"/>
      <c r="R110" s="417"/>
      <c r="S110" s="417"/>
      <c r="T110" s="417"/>
      <c r="U110" s="417"/>
      <c r="V110" s="417"/>
      <c r="W110" s="417"/>
      <c r="X110" s="417"/>
      <c r="Y110" s="417"/>
    </row>
    <row r="111" spans="6:25" ht="16.5" customHeight="1">
      <c r="F111" s="417"/>
      <c r="G111" s="417"/>
      <c r="H111" s="417"/>
      <c r="I111" s="417"/>
      <c r="J111" s="417"/>
      <c r="K111" s="417"/>
      <c r="L111" s="417"/>
      <c r="M111" s="417"/>
      <c r="N111" s="417"/>
      <c r="O111" s="417"/>
      <c r="P111" s="417"/>
      <c r="Q111" s="417"/>
      <c r="R111" s="417"/>
      <c r="S111" s="417"/>
      <c r="T111" s="417"/>
      <c r="U111" s="417"/>
      <c r="V111" s="417"/>
      <c r="W111" s="417"/>
      <c r="X111" s="417"/>
      <c r="Y111" s="417"/>
    </row>
    <row r="112" spans="6:25" ht="16.5" customHeight="1">
      <c r="F112" s="417"/>
      <c r="G112" s="417"/>
      <c r="H112" s="417"/>
      <c r="I112" s="417"/>
      <c r="J112" s="417"/>
      <c r="K112" s="417"/>
      <c r="L112" s="417"/>
      <c r="M112" s="417"/>
      <c r="N112" s="417"/>
      <c r="O112" s="417"/>
      <c r="P112" s="417"/>
      <c r="Q112" s="417"/>
      <c r="R112" s="417"/>
      <c r="S112" s="417"/>
      <c r="T112" s="417"/>
      <c r="U112" s="417"/>
      <c r="V112" s="417"/>
      <c r="W112" s="417"/>
      <c r="X112" s="417"/>
      <c r="Y112" s="417"/>
    </row>
    <row r="113" spans="6:25" ht="16.5" customHeight="1">
      <c r="F113" s="417"/>
      <c r="G113" s="417"/>
      <c r="H113" s="417"/>
      <c r="I113" s="417"/>
      <c r="J113" s="417"/>
      <c r="K113" s="417"/>
      <c r="L113" s="417"/>
      <c r="M113" s="417"/>
      <c r="N113" s="417"/>
      <c r="O113" s="417"/>
      <c r="P113" s="417"/>
      <c r="Q113" s="417"/>
      <c r="R113" s="417"/>
      <c r="S113" s="417"/>
      <c r="T113" s="417"/>
      <c r="U113" s="417"/>
      <c r="V113" s="417"/>
      <c r="W113" s="417"/>
      <c r="X113" s="417"/>
      <c r="Y113" s="417"/>
    </row>
    <row r="114" spans="6:25" ht="16.5" customHeight="1">
      <c r="F114" s="417"/>
      <c r="G114" s="417"/>
      <c r="H114" s="417"/>
      <c r="I114" s="417"/>
      <c r="J114" s="417"/>
      <c r="K114" s="417"/>
      <c r="L114" s="417"/>
      <c r="M114" s="417"/>
      <c r="N114" s="417"/>
      <c r="O114" s="417"/>
      <c r="P114" s="417"/>
      <c r="Q114" s="417"/>
      <c r="R114" s="417"/>
      <c r="S114" s="417"/>
      <c r="T114" s="417"/>
      <c r="U114" s="417"/>
      <c r="V114" s="417"/>
      <c r="W114" s="417"/>
      <c r="X114" s="417"/>
      <c r="Y114" s="417"/>
    </row>
    <row r="115" spans="6:25" ht="16.5" customHeight="1">
      <c r="F115" s="417"/>
      <c r="G115" s="417"/>
      <c r="H115" s="417"/>
      <c r="I115" s="417"/>
      <c r="J115" s="417"/>
      <c r="K115" s="417"/>
      <c r="L115" s="417"/>
      <c r="M115" s="417"/>
      <c r="N115" s="417"/>
      <c r="O115" s="417"/>
      <c r="P115" s="417"/>
      <c r="Q115" s="417"/>
      <c r="R115" s="417"/>
      <c r="S115" s="417"/>
      <c r="T115" s="417"/>
      <c r="U115" s="417"/>
      <c r="V115" s="417"/>
      <c r="W115" s="417"/>
      <c r="X115" s="417"/>
      <c r="Y115" s="417"/>
    </row>
    <row r="116" spans="6:25" ht="16.5" customHeight="1">
      <c r="F116" s="417"/>
      <c r="G116" s="417"/>
      <c r="H116" s="417"/>
      <c r="I116" s="417"/>
      <c r="J116" s="417"/>
      <c r="K116" s="417"/>
      <c r="L116" s="417"/>
      <c r="M116" s="417"/>
      <c r="N116" s="417"/>
      <c r="O116" s="417"/>
      <c r="P116" s="417"/>
      <c r="Q116" s="417"/>
      <c r="R116" s="417"/>
      <c r="S116" s="417"/>
      <c r="T116" s="417"/>
      <c r="U116" s="417"/>
      <c r="V116" s="417"/>
      <c r="W116" s="417"/>
      <c r="X116" s="417"/>
      <c r="Y116" s="417"/>
    </row>
    <row r="117" spans="6:25" ht="16.5" customHeight="1">
      <c r="F117" s="417"/>
      <c r="G117" s="417"/>
      <c r="H117" s="417"/>
      <c r="I117" s="417"/>
      <c r="J117" s="417"/>
      <c r="K117" s="417"/>
      <c r="L117" s="417"/>
      <c r="M117" s="417"/>
      <c r="N117" s="417"/>
      <c r="O117" s="417"/>
      <c r="P117" s="417"/>
      <c r="Q117" s="417"/>
      <c r="R117" s="417"/>
      <c r="S117" s="417"/>
      <c r="T117" s="417"/>
      <c r="U117" s="417"/>
      <c r="V117" s="417"/>
      <c r="W117" s="417"/>
      <c r="X117" s="417"/>
      <c r="Y117" s="417"/>
    </row>
    <row r="118" spans="6:25" ht="16.5" customHeight="1">
      <c r="F118" s="417"/>
      <c r="G118" s="417"/>
      <c r="H118" s="417"/>
      <c r="I118" s="417"/>
      <c r="J118" s="417"/>
      <c r="K118" s="417"/>
      <c r="L118" s="417"/>
      <c r="M118" s="417"/>
      <c r="N118" s="417"/>
      <c r="O118" s="417"/>
      <c r="P118" s="417"/>
      <c r="Q118" s="417"/>
      <c r="R118" s="417"/>
      <c r="S118" s="417"/>
      <c r="T118" s="417"/>
      <c r="U118" s="417"/>
      <c r="V118" s="417"/>
      <c r="W118" s="417"/>
      <c r="X118" s="417"/>
      <c r="Y118" s="417"/>
    </row>
    <row r="119" spans="6:25" ht="16.5" customHeight="1">
      <c r="F119" s="417"/>
      <c r="G119" s="417"/>
      <c r="H119" s="417"/>
      <c r="I119" s="417"/>
      <c r="J119" s="417"/>
      <c r="K119" s="417"/>
      <c r="L119" s="417"/>
      <c r="M119" s="417"/>
      <c r="N119" s="417"/>
      <c r="O119" s="417"/>
      <c r="P119" s="417"/>
      <c r="Q119" s="417"/>
      <c r="R119" s="417"/>
      <c r="S119" s="417"/>
      <c r="T119" s="417"/>
      <c r="U119" s="417"/>
      <c r="V119" s="417"/>
      <c r="W119" s="417"/>
      <c r="X119" s="417"/>
      <c r="Y119" s="417"/>
    </row>
    <row r="120" spans="6:25" ht="16.5" customHeight="1">
      <c r="F120" s="417"/>
      <c r="G120" s="417"/>
      <c r="H120" s="417"/>
      <c r="I120" s="417"/>
      <c r="J120" s="417"/>
      <c r="K120" s="417"/>
      <c r="L120" s="417"/>
      <c r="M120" s="417"/>
      <c r="N120" s="417"/>
      <c r="O120" s="417"/>
      <c r="P120" s="417"/>
      <c r="Q120" s="417"/>
      <c r="R120" s="417"/>
      <c r="S120" s="417"/>
      <c r="T120" s="417"/>
      <c r="U120" s="417"/>
      <c r="V120" s="417"/>
      <c r="W120" s="417"/>
      <c r="X120" s="417"/>
      <c r="Y120" s="417"/>
    </row>
    <row r="121" spans="6:25" ht="16.5" customHeight="1">
      <c r="F121" s="417"/>
      <c r="G121" s="417"/>
      <c r="H121" s="417"/>
      <c r="I121" s="417"/>
      <c r="J121" s="417"/>
      <c r="K121" s="417"/>
      <c r="L121" s="417"/>
      <c r="M121" s="417"/>
      <c r="N121" s="417"/>
      <c r="O121" s="417"/>
      <c r="P121" s="417"/>
      <c r="Q121" s="417"/>
      <c r="R121" s="417"/>
      <c r="S121" s="417"/>
      <c r="T121" s="417"/>
      <c r="U121" s="417"/>
      <c r="V121" s="417"/>
      <c r="W121" s="417"/>
      <c r="X121" s="417"/>
      <c r="Y121" s="417"/>
    </row>
    <row r="122" spans="6:25" ht="16.5" customHeight="1">
      <c r="F122" s="417"/>
      <c r="G122" s="417"/>
      <c r="H122" s="417"/>
      <c r="I122" s="417"/>
      <c r="J122" s="417"/>
      <c r="K122" s="417"/>
      <c r="L122" s="417"/>
      <c r="M122" s="417"/>
      <c r="N122" s="417"/>
      <c r="O122" s="417"/>
      <c r="P122" s="417"/>
      <c r="Q122" s="417"/>
      <c r="R122" s="417"/>
      <c r="S122" s="417"/>
      <c r="T122" s="417"/>
      <c r="U122" s="417"/>
      <c r="V122" s="417"/>
      <c r="W122" s="417"/>
      <c r="X122" s="417"/>
      <c r="Y122" s="417"/>
    </row>
    <row r="123" spans="6:25" ht="16.5" customHeight="1">
      <c r="F123" s="417"/>
      <c r="G123" s="417"/>
      <c r="H123" s="417"/>
      <c r="I123" s="417"/>
      <c r="J123" s="417"/>
      <c r="K123" s="417"/>
      <c r="L123" s="417"/>
      <c r="M123" s="417"/>
      <c r="N123" s="417"/>
      <c r="O123" s="417"/>
      <c r="P123" s="417"/>
      <c r="Q123" s="417"/>
      <c r="R123" s="417"/>
      <c r="S123" s="417"/>
      <c r="T123" s="417"/>
      <c r="U123" s="417"/>
      <c r="V123" s="417"/>
      <c r="W123" s="417"/>
      <c r="X123" s="417"/>
      <c r="Y123" s="417"/>
    </row>
    <row r="124" spans="6:25" ht="16.5" customHeight="1">
      <c r="F124" s="417"/>
      <c r="G124" s="417"/>
      <c r="H124" s="417"/>
      <c r="I124" s="417"/>
      <c r="J124" s="417"/>
      <c r="K124" s="417"/>
      <c r="L124" s="417"/>
      <c r="M124" s="417"/>
      <c r="N124" s="417"/>
      <c r="O124" s="417"/>
      <c r="P124" s="417"/>
      <c r="Q124" s="417"/>
      <c r="R124" s="417"/>
      <c r="S124" s="417"/>
      <c r="T124" s="417"/>
      <c r="U124" s="417"/>
      <c r="V124" s="417"/>
      <c r="W124" s="417"/>
      <c r="X124" s="417"/>
      <c r="Y124" s="417"/>
    </row>
    <row r="125" spans="6:25" ht="16.5" customHeight="1">
      <c r="F125" s="417"/>
      <c r="G125" s="417"/>
      <c r="H125" s="417"/>
      <c r="I125" s="417"/>
      <c r="J125" s="417"/>
      <c r="K125" s="417"/>
      <c r="L125" s="417"/>
      <c r="M125" s="417"/>
      <c r="N125" s="417"/>
      <c r="O125" s="417"/>
      <c r="P125" s="417"/>
      <c r="Q125" s="417"/>
      <c r="R125" s="417"/>
      <c r="S125" s="417"/>
      <c r="T125" s="417"/>
      <c r="U125" s="417"/>
      <c r="V125" s="417"/>
      <c r="W125" s="417"/>
      <c r="X125" s="417"/>
      <c r="Y125" s="417"/>
    </row>
    <row r="126" spans="6:25" ht="16.5" customHeight="1">
      <c r="F126" s="417"/>
      <c r="G126" s="417"/>
      <c r="H126" s="417"/>
      <c r="I126" s="417"/>
      <c r="J126" s="417"/>
      <c r="K126" s="417"/>
      <c r="L126" s="417"/>
      <c r="M126" s="417"/>
      <c r="N126" s="417"/>
      <c r="O126" s="417"/>
      <c r="P126" s="417"/>
      <c r="Q126" s="417"/>
      <c r="R126" s="417"/>
      <c r="S126" s="417"/>
      <c r="T126" s="417"/>
      <c r="U126" s="417"/>
      <c r="V126" s="417"/>
      <c r="W126" s="417"/>
      <c r="X126" s="417"/>
      <c r="Y126" s="417"/>
    </row>
    <row r="127" spans="6:25" ht="16.5" customHeight="1">
      <c r="F127" s="417"/>
      <c r="G127" s="417"/>
      <c r="H127" s="417"/>
      <c r="I127" s="417"/>
      <c r="J127" s="417"/>
      <c r="K127" s="417"/>
      <c r="L127" s="417"/>
      <c r="M127" s="417"/>
      <c r="N127" s="417"/>
      <c r="O127" s="417"/>
      <c r="P127" s="417"/>
      <c r="Q127" s="417"/>
      <c r="R127" s="417"/>
      <c r="S127" s="417"/>
      <c r="T127" s="417"/>
      <c r="U127" s="417"/>
      <c r="V127" s="417"/>
      <c r="W127" s="417"/>
      <c r="X127" s="417"/>
      <c r="Y127" s="417"/>
    </row>
    <row r="128" spans="6:25" ht="16.5" customHeight="1">
      <c r="F128" s="417"/>
      <c r="G128" s="417"/>
      <c r="H128" s="417"/>
      <c r="I128" s="417"/>
      <c r="J128" s="417"/>
      <c r="K128" s="417"/>
      <c r="L128" s="417"/>
      <c r="M128" s="417"/>
      <c r="N128" s="417"/>
      <c r="O128" s="417"/>
      <c r="P128" s="417"/>
      <c r="Q128" s="417"/>
      <c r="R128" s="417"/>
      <c r="S128" s="417"/>
      <c r="T128" s="417"/>
      <c r="U128" s="417"/>
      <c r="V128" s="417"/>
      <c r="W128" s="417"/>
      <c r="X128" s="417"/>
      <c r="Y128" s="417"/>
    </row>
    <row r="129" spans="6:25" ht="16.5" customHeight="1">
      <c r="F129" s="417"/>
      <c r="G129" s="417"/>
      <c r="H129" s="417"/>
      <c r="I129" s="417"/>
      <c r="J129" s="417"/>
      <c r="K129" s="417"/>
      <c r="L129" s="417"/>
      <c r="M129" s="417"/>
      <c r="N129" s="417"/>
      <c r="O129" s="417"/>
      <c r="P129" s="417"/>
      <c r="Q129" s="417"/>
      <c r="R129" s="417"/>
      <c r="S129" s="417"/>
      <c r="T129" s="417"/>
      <c r="U129" s="417"/>
      <c r="V129" s="417"/>
      <c r="W129" s="417"/>
      <c r="X129" s="417"/>
      <c r="Y129" s="417"/>
    </row>
    <row r="130" spans="6:25" ht="16.5" customHeight="1">
      <c r="F130" s="417"/>
      <c r="G130" s="417"/>
      <c r="H130" s="417"/>
      <c r="I130" s="417"/>
      <c r="J130" s="417"/>
      <c r="K130" s="417"/>
      <c r="L130" s="417"/>
      <c r="M130" s="417"/>
      <c r="N130" s="417"/>
      <c r="O130" s="417"/>
      <c r="P130" s="417"/>
      <c r="Q130" s="417"/>
      <c r="R130" s="417"/>
      <c r="S130" s="417"/>
      <c r="T130" s="417"/>
      <c r="U130" s="417"/>
      <c r="V130" s="417"/>
      <c r="W130" s="417"/>
      <c r="X130" s="417"/>
      <c r="Y130" s="417"/>
    </row>
    <row r="131" spans="6:25" ht="16.5" customHeight="1">
      <c r="F131" s="417"/>
      <c r="G131" s="417"/>
      <c r="H131" s="417"/>
      <c r="I131" s="417"/>
      <c r="J131" s="417"/>
      <c r="K131" s="417"/>
      <c r="L131" s="417"/>
      <c r="M131" s="417"/>
      <c r="N131" s="417"/>
      <c r="O131" s="417"/>
      <c r="P131" s="417"/>
      <c r="Q131" s="417"/>
      <c r="R131" s="417"/>
      <c r="S131" s="417"/>
      <c r="T131" s="417"/>
      <c r="U131" s="417"/>
      <c r="V131" s="417"/>
      <c r="W131" s="417"/>
      <c r="X131" s="417"/>
      <c r="Y131" s="417"/>
    </row>
    <row r="132" spans="6:25" ht="16.5" customHeight="1">
      <c r="F132" s="417"/>
      <c r="G132" s="417"/>
      <c r="H132" s="417"/>
      <c r="I132" s="417"/>
      <c r="J132" s="417"/>
      <c r="K132" s="417"/>
      <c r="L132" s="417"/>
      <c r="M132" s="417"/>
      <c r="N132" s="417"/>
      <c r="O132" s="417"/>
      <c r="P132" s="417"/>
      <c r="Q132" s="417"/>
      <c r="R132" s="417"/>
      <c r="S132" s="417"/>
      <c r="T132" s="417"/>
      <c r="U132" s="417"/>
      <c r="V132" s="417"/>
      <c r="W132" s="417"/>
      <c r="X132" s="417"/>
      <c r="Y132" s="417"/>
    </row>
    <row r="133" spans="6:25" ht="16.5" customHeight="1">
      <c r="F133" s="417"/>
      <c r="G133" s="417"/>
      <c r="H133" s="417"/>
      <c r="I133" s="417"/>
      <c r="J133" s="417"/>
      <c r="K133" s="417"/>
      <c r="L133" s="417"/>
      <c r="M133" s="417"/>
      <c r="N133" s="417"/>
      <c r="O133" s="417"/>
      <c r="P133" s="417"/>
      <c r="Q133" s="417"/>
      <c r="R133" s="417"/>
      <c r="S133" s="417"/>
      <c r="T133" s="417"/>
      <c r="U133" s="417"/>
      <c r="V133" s="417"/>
      <c r="W133" s="417"/>
      <c r="X133" s="417"/>
      <c r="Y133" s="417"/>
    </row>
    <row r="134" spans="6:25" ht="16.5" customHeight="1">
      <c r="F134" s="417"/>
      <c r="G134" s="417"/>
      <c r="H134" s="417"/>
      <c r="I134" s="417"/>
      <c r="J134" s="417"/>
      <c r="K134" s="417"/>
      <c r="L134" s="417"/>
      <c r="M134" s="417"/>
      <c r="N134" s="417"/>
      <c r="O134" s="417"/>
      <c r="P134" s="417"/>
      <c r="Q134" s="417"/>
      <c r="R134" s="417"/>
      <c r="S134" s="417"/>
      <c r="T134" s="417"/>
      <c r="U134" s="417"/>
      <c r="V134" s="417"/>
      <c r="W134" s="417"/>
      <c r="X134" s="417"/>
      <c r="Y134" s="417"/>
    </row>
    <row r="135" spans="6:25" ht="16.5" customHeight="1">
      <c r="F135" s="417"/>
      <c r="G135" s="417"/>
      <c r="H135" s="417"/>
      <c r="I135" s="417"/>
      <c r="J135" s="417"/>
      <c r="K135" s="417"/>
      <c r="L135" s="417"/>
      <c r="M135" s="417"/>
      <c r="N135" s="417"/>
      <c r="O135" s="417"/>
      <c r="P135" s="417"/>
      <c r="Q135" s="417"/>
      <c r="R135" s="417"/>
      <c r="S135" s="417"/>
      <c r="T135" s="417"/>
      <c r="U135" s="417"/>
      <c r="V135" s="417"/>
      <c r="W135" s="417"/>
      <c r="X135" s="417"/>
      <c r="Y135" s="417"/>
    </row>
    <row r="136" spans="6:25" ht="16.5" customHeight="1">
      <c r="F136" s="417"/>
      <c r="G136" s="417"/>
      <c r="H136" s="417"/>
      <c r="I136" s="417"/>
      <c r="J136" s="417"/>
      <c r="K136" s="417"/>
      <c r="L136" s="417"/>
      <c r="M136" s="417"/>
      <c r="N136" s="417"/>
      <c r="O136" s="417"/>
      <c r="P136" s="417"/>
      <c r="Q136" s="417"/>
      <c r="R136" s="417"/>
      <c r="S136" s="417"/>
      <c r="T136" s="417"/>
      <c r="U136" s="417"/>
      <c r="V136" s="417"/>
      <c r="W136" s="417"/>
      <c r="X136" s="417"/>
      <c r="Y136" s="417"/>
    </row>
    <row r="137" spans="6:25" ht="16.5" customHeight="1">
      <c r="F137" s="417"/>
      <c r="G137" s="417"/>
      <c r="H137" s="417"/>
      <c r="I137" s="417"/>
      <c r="J137" s="417"/>
      <c r="K137" s="417"/>
      <c r="L137" s="417"/>
      <c r="M137" s="417"/>
      <c r="N137" s="417"/>
      <c r="O137" s="417"/>
      <c r="P137" s="417"/>
      <c r="Q137" s="417"/>
      <c r="R137" s="417"/>
      <c r="S137" s="417"/>
      <c r="T137" s="417"/>
      <c r="U137" s="417"/>
      <c r="V137" s="417"/>
      <c r="W137" s="417"/>
      <c r="X137" s="417"/>
      <c r="Y137" s="417"/>
    </row>
    <row r="138" spans="6:25" ht="16.5" customHeight="1">
      <c r="F138" s="417"/>
      <c r="G138" s="417"/>
      <c r="H138" s="417"/>
      <c r="I138" s="417"/>
      <c r="J138" s="417"/>
      <c r="K138" s="417"/>
      <c r="L138" s="417"/>
      <c r="M138" s="417"/>
      <c r="N138" s="417"/>
      <c r="O138" s="417"/>
      <c r="P138" s="417"/>
      <c r="Q138" s="417"/>
      <c r="R138" s="417"/>
      <c r="S138" s="417"/>
      <c r="T138" s="417"/>
      <c r="U138" s="417"/>
      <c r="V138" s="417"/>
      <c r="W138" s="417"/>
      <c r="X138" s="417"/>
      <c r="Y138" s="417"/>
    </row>
    <row r="139" spans="6:25" ht="16.5" customHeight="1">
      <c r="F139" s="417"/>
      <c r="G139" s="417"/>
      <c r="H139" s="417"/>
      <c r="I139" s="417"/>
      <c r="J139" s="417"/>
      <c r="K139" s="417"/>
      <c r="L139" s="417"/>
      <c r="M139" s="417"/>
      <c r="N139" s="417"/>
      <c r="O139" s="417"/>
      <c r="P139" s="417"/>
      <c r="Q139" s="417"/>
      <c r="R139" s="417"/>
      <c r="S139" s="417"/>
      <c r="T139" s="417"/>
      <c r="U139" s="417"/>
      <c r="V139" s="417"/>
      <c r="W139" s="417"/>
      <c r="X139" s="417"/>
      <c r="Y139" s="417"/>
    </row>
    <row r="140" spans="6:25" ht="16.5" customHeight="1">
      <c r="F140" s="417"/>
      <c r="G140" s="417"/>
      <c r="H140" s="417"/>
      <c r="I140" s="417"/>
      <c r="J140" s="417"/>
      <c r="K140" s="417"/>
      <c r="L140" s="417"/>
      <c r="M140" s="417"/>
      <c r="N140" s="417"/>
      <c r="O140" s="417"/>
      <c r="P140" s="417"/>
      <c r="Q140" s="417"/>
      <c r="R140" s="417"/>
      <c r="S140" s="417"/>
      <c r="T140" s="417"/>
      <c r="U140" s="417"/>
      <c r="V140" s="417"/>
      <c r="W140" s="417"/>
      <c r="X140" s="417"/>
      <c r="Y140" s="417"/>
    </row>
    <row r="141" spans="6:25" ht="16.5" customHeight="1">
      <c r="F141" s="417"/>
      <c r="G141" s="417"/>
      <c r="H141" s="417"/>
      <c r="I141" s="417"/>
      <c r="J141" s="417"/>
      <c r="K141" s="417"/>
      <c r="L141" s="417"/>
      <c r="M141" s="417"/>
      <c r="N141" s="417"/>
      <c r="O141" s="417"/>
      <c r="P141" s="417"/>
      <c r="Q141" s="417"/>
      <c r="R141" s="417"/>
      <c r="S141" s="417"/>
      <c r="T141" s="417"/>
      <c r="U141" s="417"/>
      <c r="V141" s="417"/>
      <c r="W141" s="417"/>
      <c r="X141" s="417"/>
      <c r="Y141" s="417"/>
    </row>
    <row r="142" spans="6:25" ht="16.5" customHeight="1">
      <c r="F142" s="417"/>
      <c r="G142" s="417"/>
      <c r="H142" s="417"/>
      <c r="I142" s="417"/>
      <c r="J142" s="417"/>
      <c r="K142" s="417"/>
      <c r="L142" s="417"/>
      <c r="M142" s="417"/>
      <c r="N142" s="417"/>
      <c r="O142" s="417"/>
      <c r="P142" s="417"/>
      <c r="Q142" s="417"/>
      <c r="R142" s="417"/>
      <c r="S142" s="417"/>
      <c r="T142" s="417"/>
      <c r="U142" s="417"/>
      <c r="V142" s="417"/>
      <c r="W142" s="417"/>
      <c r="X142" s="417"/>
      <c r="Y142" s="417"/>
    </row>
    <row r="143" spans="6:25" ht="16.5" customHeight="1">
      <c r="F143" s="417"/>
      <c r="G143" s="417"/>
      <c r="H143" s="417"/>
      <c r="I143" s="417"/>
      <c r="J143" s="417"/>
      <c r="K143" s="417"/>
      <c r="L143" s="417"/>
      <c r="M143" s="417"/>
      <c r="N143" s="417"/>
      <c r="O143" s="417"/>
      <c r="P143" s="417"/>
      <c r="Q143" s="417"/>
      <c r="R143" s="417"/>
      <c r="S143" s="417"/>
      <c r="T143" s="417"/>
      <c r="U143" s="417"/>
      <c r="V143" s="417"/>
      <c r="W143" s="417"/>
      <c r="X143" s="417"/>
      <c r="Y143" s="417"/>
    </row>
    <row r="144" spans="6:25" ht="16.5" customHeight="1">
      <c r="F144" s="417"/>
      <c r="G144" s="417"/>
      <c r="H144" s="417"/>
      <c r="I144" s="417"/>
      <c r="J144" s="417"/>
      <c r="K144" s="417"/>
      <c r="L144" s="417"/>
      <c r="M144" s="417"/>
      <c r="N144" s="417"/>
      <c r="O144" s="417"/>
      <c r="P144" s="417"/>
      <c r="Q144" s="417"/>
      <c r="R144" s="417"/>
      <c r="S144" s="417"/>
      <c r="T144" s="417"/>
      <c r="U144" s="417"/>
      <c r="V144" s="417"/>
      <c r="W144" s="417"/>
      <c r="X144" s="417"/>
      <c r="Y144" s="417"/>
    </row>
    <row r="145" spans="6:25" ht="16.5" customHeight="1">
      <c r="F145" s="417"/>
      <c r="G145" s="417"/>
      <c r="H145" s="417"/>
      <c r="I145" s="417"/>
      <c r="J145" s="417"/>
      <c r="K145" s="417"/>
      <c r="L145" s="417"/>
      <c r="M145" s="417"/>
      <c r="N145" s="417"/>
      <c r="O145" s="417"/>
      <c r="P145" s="417"/>
      <c r="Q145" s="417"/>
      <c r="R145" s="417"/>
      <c r="S145" s="417"/>
      <c r="T145" s="417"/>
      <c r="U145" s="417"/>
      <c r="V145" s="417"/>
      <c r="W145" s="417"/>
      <c r="X145" s="417"/>
      <c r="Y145" s="417"/>
    </row>
    <row r="146" spans="6:25" ht="16.5" customHeight="1">
      <c r="F146" s="417"/>
      <c r="G146" s="417"/>
      <c r="H146" s="417"/>
      <c r="I146" s="417"/>
      <c r="J146" s="417"/>
      <c r="K146" s="417"/>
      <c r="L146" s="417"/>
      <c r="M146" s="417"/>
      <c r="N146" s="417"/>
      <c r="O146" s="417"/>
      <c r="P146" s="417"/>
      <c r="Q146" s="417"/>
      <c r="R146" s="417"/>
      <c r="S146" s="417"/>
      <c r="T146" s="417"/>
      <c r="U146" s="417"/>
      <c r="V146" s="417"/>
      <c r="W146" s="417"/>
      <c r="X146" s="417"/>
      <c r="Y146" s="417"/>
    </row>
    <row r="147" spans="6:25" ht="16.5" customHeight="1">
      <c r="F147" s="417"/>
      <c r="G147" s="417"/>
      <c r="H147" s="417"/>
      <c r="I147" s="417"/>
      <c r="J147" s="417"/>
      <c r="K147" s="417"/>
      <c r="L147" s="417"/>
      <c r="M147" s="417"/>
      <c r="N147" s="417"/>
      <c r="O147" s="417"/>
      <c r="P147" s="417"/>
      <c r="Q147" s="417"/>
      <c r="R147" s="417"/>
      <c r="S147" s="417"/>
      <c r="T147" s="417"/>
      <c r="U147" s="417"/>
      <c r="V147" s="417"/>
      <c r="W147" s="417"/>
      <c r="X147" s="417"/>
      <c r="Y147" s="417"/>
    </row>
    <row r="148" spans="6:25" ht="16.5" customHeight="1">
      <c r="F148" s="417"/>
      <c r="G148" s="417"/>
      <c r="H148" s="417"/>
      <c r="I148" s="417"/>
      <c r="J148" s="417"/>
      <c r="K148" s="417"/>
      <c r="L148" s="417"/>
      <c r="M148" s="417"/>
      <c r="N148" s="417"/>
      <c r="O148" s="417"/>
      <c r="P148" s="417"/>
      <c r="Q148" s="417"/>
      <c r="R148" s="417"/>
      <c r="S148" s="417"/>
      <c r="T148" s="417"/>
      <c r="U148" s="417"/>
      <c r="V148" s="417"/>
      <c r="W148" s="417"/>
      <c r="X148" s="417"/>
      <c r="Y148" s="417"/>
    </row>
    <row r="149" spans="6:25" ht="16.5" customHeight="1">
      <c r="F149" s="417"/>
      <c r="G149" s="417"/>
      <c r="H149" s="417"/>
      <c r="I149" s="417"/>
      <c r="J149" s="417"/>
      <c r="K149" s="417"/>
      <c r="L149" s="417"/>
      <c r="M149" s="417"/>
      <c r="N149" s="417"/>
      <c r="O149" s="417"/>
      <c r="P149" s="417"/>
      <c r="Q149" s="417"/>
      <c r="R149" s="417"/>
      <c r="S149" s="417"/>
      <c r="T149" s="417"/>
      <c r="U149" s="417"/>
      <c r="V149" s="417"/>
      <c r="W149" s="417"/>
      <c r="X149" s="417"/>
      <c r="Y149" s="417"/>
    </row>
    <row r="150" spans="6:25" ht="16.5" customHeight="1">
      <c r="F150" s="417"/>
      <c r="G150" s="417"/>
      <c r="H150" s="417"/>
      <c r="I150" s="417"/>
      <c r="J150" s="417"/>
      <c r="K150" s="417"/>
      <c r="L150" s="417"/>
      <c r="M150" s="417"/>
      <c r="N150" s="417"/>
      <c r="O150" s="417"/>
      <c r="P150" s="417"/>
      <c r="Q150" s="417"/>
      <c r="R150" s="417"/>
      <c r="S150" s="417"/>
      <c r="T150" s="417"/>
      <c r="U150" s="417"/>
      <c r="V150" s="417"/>
      <c r="W150" s="417"/>
      <c r="X150" s="417"/>
      <c r="Y150" s="417"/>
    </row>
    <row r="151" spans="6:25" ht="16.5" customHeight="1">
      <c r="F151" s="417"/>
      <c r="G151" s="417"/>
      <c r="H151" s="417"/>
      <c r="I151" s="417"/>
      <c r="J151" s="417"/>
      <c r="K151" s="417"/>
      <c r="L151" s="417"/>
      <c r="M151" s="417"/>
      <c r="N151" s="417"/>
      <c r="O151" s="417"/>
      <c r="P151" s="417"/>
      <c r="Q151" s="417"/>
      <c r="R151" s="417"/>
      <c r="S151" s="417"/>
      <c r="T151" s="417"/>
      <c r="U151" s="417"/>
      <c r="V151" s="417"/>
      <c r="W151" s="417"/>
      <c r="X151" s="417"/>
      <c r="Y151" s="417"/>
    </row>
    <row r="152" spans="6:25" ht="16.5" customHeight="1">
      <c r="F152" s="417"/>
      <c r="G152" s="417"/>
      <c r="H152" s="417"/>
      <c r="I152" s="417"/>
      <c r="J152" s="417"/>
      <c r="K152" s="417"/>
      <c r="L152" s="417"/>
      <c r="M152" s="417"/>
      <c r="N152" s="417"/>
      <c r="O152" s="417"/>
      <c r="P152" s="417"/>
      <c r="Q152" s="417"/>
      <c r="R152" s="417"/>
      <c r="S152" s="417"/>
      <c r="T152" s="417"/>
      <c r="U152" s="417"/>
      <c r="V152" s="417"/>
      <c r="W152" s="417"/>
      <c r="X152" s="417"/>
      <c r="Y152" s="417"/>
    </row>
    <row r="153" spans="6:25" ht="16.5" customHeight="1">
      <c r="F153" s="417"/>
      <c r="G153" s="417"/>
      <c r="H153" s="417"/>
      <c r="I153" s="417"/>
      <c r="J153" s="417"/>
      <c r="K153" s="417"/>
      <c r="L153" s="417"/>
      <c r="M153" s="417"/>
      <c r="N153" s="417"/>
      <c r="O153" s="417"/>
      <c r="P153" s="417"/>
      <c r="Q153" s="417"/>
      <c r="R153" s="417"/>
      <c r="S153" s="417"/>
      <c r="T153" s="417"/>
      <c r="U153" s="417"/>
      <c r="V153" s="417"/>
      <c r="W153" s="417"/>
      <c r="X153" s="417"/>
      <c r="Y153" s="417"/>
    </row>
    <row r="154" spans="6:25" ht="16.5" customHeight="1">
      <c r="F154" s="417"/>
      <c r="G154" s="417"/>
      <c r="H154" s="417"/>
      <c r="I154" s="417"/>
      <c r="J154" s="417"/>
      <c r="K154" s="417"/>
      <c r="L154" s="417"/>
      <c r="M154" s="417"/>
      <c r="N154" s="417"/>
      <c r="O154" s="417"/>
      <c r="P154" s="417"/>
      <c r="Q154" s="417"/>
      <c r="R154" s="417"/>
      <c r="S154" s="417"/>
      <c r="T154" s="417"/>
      <c r="U154" s="417"/>
      <c r="V154" s="417"/>
      <c r="W154" s="417"/>
      <c r="X154" s="417"/>
      <c r="Y154" s="417"/>
    </row>
    <row r="155" spans="6:25" ht="16.5" customHeight="1">
      <c r="F155" s="417"/>
      <c r="G155" s="417"/>
      <c r="H155" s="417"/>
      <c r="I155" s="417"/>
      <c r="J155" s="417"/>
      <c r="K155" s="417"/>
      <c r="L155" s="417"/>
      <c r="M155" s="417"/>
      <c r="N155" s="417"/>
      <c r="O155" s="417"/>
      <c r="P155" s="417"/>
      <c r="Q155" s="417"/>
      <c r="R155" s="417"/>
      <c r="S155" s="417"/>
      <c r="T155" s="417"/>
      <c r="U155" s="417"/>
      <c r="V155" s="417"/>
      <c r="W155" s="417"/>
      <c r="X155" s="417"/>
      <c r="Y155" s="417"/>
    </row>
    <row r="156" spans="6:25" ht="16.5" customHeight="1">
      <c r="F156" s="417"/>
      <c r="G156" s="417"/>
      <c r="H156" s="417"/>
      <c r="I156" s="417"/>
      <c r="J156" s="417"/>
      <c r="K156" s="417"/>
      <c r="L156" s="417"/>
      <c r="M156" s="417"/>
      <c r="N156" s="417"/>
      <c r="O156" s="417"/>
      <c r="P156" s="417"/>
      <c r="Q156" s="417"/>
      <c r="R156" s="417"/>
      <c r="S156" s="417"/>
      <c r="T156" s="417"/>
      <c r="U156" s="417"/>
      <c r="V156" s="417"/>
      <c r="W156" s="417"/>
      <c r="X156" s="417"/>
      <c r="Y156" s="417"/>
    </row>
    <row r="157" spans="6:25" ht="16.5" customHeight="1">
      <c r="F157" s="417"/>
      <c r="G157" s="417"/>
      <c r="H157" s="417"/>
      <c r="I157" s="417"/>
      <c r="J157" s="417"/>
      <c r="K157" s="417"/>
      <c r="L157" s="417"/>
      <c r="M157" s="417"/>
      <c r="N157" s="417"/>
      <c r="O157" s="417"/>
      <c r="P157" s="417"/>
      <c r="Q157" s="417"/>
      <c r="R157" s="417"/>
      <c r="S157" s="417"/>
      <c r="T157" s="417"/>
      <c r="U157" s="417"/>
      <c r="V157" s="417"/>
      <c r="W157" s="417"/>
      <c r="X157" s="417"/>
      <c r="Y157" s="417"/>
    </row>
    <row r="158" spans="6:25" ht="16.5" customHeight="1">
      <c r="F158" s="417"/>
      <c r="G158" s="417"/>
      <c r="H158" s="417"/>
      <c r="I158" s="417"/>
      <c r="J158" s="417"/>
      <c r="K158" s="417"/>
      <c r="L158" s="417"/>
      <c r="M158" s="417"/>
      <c r="N158" s="417"/>
      <c r="O158" s="417"/>
      <c r="P158" s="417"/>
      <c r="Q158" s="417"/>
      <c r="R158" s="417"/>
      <c r="S158" s="417"/>
      <c r="T158" s="417"/>
      <c r="U158" s="417"/>
      <c r="V158" s="417"/>
      <c r="W158" s="417"/>
      <c r="X158" s="417"/>
      <c r="Y158" s="417"/>
    </row>
    <row r="159" spans="6:25" ht="16.5" customHeight="1">
      <c r="F159" s="417"/>
      <c r="G159" s="417"/>
      <c r="H159" s="417"/>
      <c r="I159" s="417"/>
      <c r="J159" s="417"/>
      <c r="K159" s="417"/>
      <c r="L159" s="417"/>
      <c r="M159" s="417"/>
      <c r="N159" s="417"/>
      <c r="O159" s="417"/>
      <c r="P159" s="417"/>
      <c r="Q159" s="417"/>
      <c r="R159" s="417"/>
      <c r="S159" s="417"/>
      <c r="T159" s="417"/>
      <c r="U159" s="417"/>
      <c r="V159" s="417"/>
      <c r="W159" s="417"/>
      <c r="X159" s="417"/>
      <c r="Y159" s="417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4"/>
  <headerFooter alignWithMargins="0">
    <oddFooter>&amp;L&amp;"Times New Roman,Normal"&amp;8&amp;F-&amp;A</oddFooter>
  </headerFooter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7"/>
  <sheetViews>
    <sheetView zoomScale="75" zoomScaleNormal="75" zoomScalePageLayoutView="0" workbookViewId="0" topLeftCell="A1">
      <selection activeCell="N51" sqref="N51"/>
    </sheetView>
  </sheetViews>
  <sheetFormatPr defaultColWidth="11.421875" defaultRowHeight="16.5" customHeight="1"/>
  <cols>
    <col min="1" max="1" width="6.140625" style="9" customWidth="1"/>
    <col min="2" max="2" width="4.140625" style="9" customWidth="1"/>
    <col min="3" max="3" width="5.57421875" style="9" customWidth="1"/>
    <col min="4" max="4" width="13.421875" style="9" customWidth="1"/>
    <col min="5" max="5" width="13.57421875" style="9" customWidth="1"/>
    <col min="6" max="6" width="30.7109375" style="9" customWidth="1"/>
    <col min="7" max="7" width="40.7109375" style="9" customWidth="1"/>
    <col min="8" max="8" width="9.7109375" style="9" customWidth="1"/>
    <col min="9" max="9" width="14.28125" style="9" hidden="1" customWidth="1"/>
    <col min="10" max="11" width="15.7109375" style="9" customWidth="1"/>
    <col min="12" max="14" width="9.7109375" style="9" customWidth="1"/>
    <col min="15" max="15" width="6.421875" style="9" customWidth="1"/>
    <col min="16" max="16" width="12.00390625" style="9" hidden="1" customWidth="1"/>
    <col min="17" max="17" width="16.28125" style="9" hidden="1" customWidth="1"/>
    <col min="18" max="18" width="17.140625" style="9" hidden="1" customWidth="1"/>
    <col min="19" max="20" width="15.421875" style="9" hidden="1" customWidth="1"/>
    <col min="21" max="21" width="9.7109375" style="9" customWidth="1"/>
    <col min="22" max="22" width="15.7109375" style="9" customWidth="1"/>
    <col min="23" max="23" width="4.140625" style="9" customWidth="1"/>
    <col min="24" max="16384" width="11.421875" style="9" customWidth="1"/>
  </cols>
  <sheetData>
    <row r="1" s="3" customFormat="1" ht="26.25">
      <c r="W1" s="5"/>
    </row>
    <row r="2" spans="1:23" s="3" customFormat="1" ht="26.25">
      <c r="A2" s="88"/>
      <c r="B2" s="2" t="str">
        <f>'TOT-0912'!B2</f>
        <v>ANEXO IV al Memorándum  D.T.E.E.  N° 295 / 2014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8" customFormat="1" ht="15.75" customHeight="1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23" s="8" customFormat="1" ht="13.5" thickTop="1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460"/>
    </row>
    <row r="8" spans="2:23" s="18" customFormat="1" ht="20.25">
      <c r="B8" s="95"/>
      <c r="C8" s="23"/>
      <c r="D8" s="23"/>
      <c r="E8" s="23"/>
      <c r="F8" s="461" t="s">
        <v>23</v>
      </c>
      <c r="N8" s="287"/>
      <c r="O8" s="287"/>
      <c r="P8" s="289"/>
      <c r="Q8" s="23"/>
      <c r="R8" s="23"/>
      <c r="S8" s="23"/>
      <c r="T8" s="23"/>
      <c r="U8" s="23"/>
      <c r="V8" s="23"/>
      <c r="W8" s="462"/>
    </row>
    <row r="9" spans="2:23" s="8" customFormat="1" ht="12.75">
      <c r="B9" s="55"/>
      <c r="C9" s="11"/>
      <c r="D9" s="11"/>
      <c r="E9" s="11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11"/>
      <c r="R9" s="11"/>
      <c r="S9" s="11"/>
      <c r="T9" s="11"/>
      <c r="U9" s="11"/>
      <c r="V9" s="11"/>
      <c r="W9" s="60"/>
    </row>
    <row r="10" spans="2:23" s="249" customFormat="1" ht="33" customHeight="1">
      <c r="B10" s="250"/>
      <c r="C10" s="251"/>
      <c r="D10" s="251"/>
      <c r="E10" s="251"/>
      <c r="F10" s="646" t="s">
        <v>65</v>
      </c>
      <c r="G10" s="647"/>
      <c r="H10" s="440"/>
      <c r="I10" s="648"/>
      <c r="K10" s="648"/>
      <c r="L10" s="648"/>
      <c r="M10" s="648"/>
      <c r="N10" s="648"/>
      <c r="O10" s="648"/>
      <c r="P10" s="648"/>
      <c r="Q10" s="251"/>
      <c r="R10" s="251"/>
      <c r="S10" s="251"/>
      <c r="T10" s="251"/>
      <c r="U10" s="251"/>
      <c r="V10" s="251"/>
      <c r="W10" s="649"/>
    </row>
    <row r="11" spans="2:23" s="254" customFormat="1" ht="33" customHeight="1">
      <c r="B11" s="255"/>
      <c r="C11" s="256"/>
      <c r="D11" s="256"/>
      <c r="E11" s="256"/>
      <c r="F11" s="646" t="s">
        <v>339</v>
      </c>
      <c r="G11" s="650"/>
      <c r="H11" s="419"/>
      <c r="I11" s="651"/>
      <c r="J11" s="652"/>
      <c r="K11" s="651"/>
      <c r="L11" s="651"/>
      <c r="M11" s="651"/>
      <c r="N11" s="651"/>
      <c r="O11" s="651"/>
      <c r="P11" s="651"/>
      <c r="Q11" s="256"/>
      <c r="R11" s="256"/>
      <c r="S11" s="256"/>
      <c r="T11" s="256"/>
      <c r="U11" s="256"/>
      <c r="V11" s="256"/>
      <c r="W11" s="653"/>
    </row>
    <row r="12" spans="2:23" s="8" customFormat="1" ht="19.5">
      <c r="B12" s="35" t="str">
        <f>'TOT-0912'!B14</f>
        <v>Desde el 01 al 30 de septiembre de 2012</v>
      </c>
      <c r="C12" s="39"/>
      <c r="D12" s="39"/>
      <c r="E12" s="39"/>
      <c r="F12" s="39"/>
      <c r="G12" s="39"/>
      <c r="H12" s="39"/>
      <c r="I12" s="468"/>
      <c r="J12" s="468"/>
      <c r="K12" s="468"/>
      <c r="L12" s="468"/>
      <c r="M12" s="468"/>
      <c r="N12" s="468"/>
      <c r="O12" s="468"/>
      <c r="P12" s="468"/>
      <c r="Q12" s="39"/>
      <c r="R12" s="39"/>
      <c r="S12" s="39"/>
      <c r="T12" s="39"/>
      <c r="U12" s="39"/>
      <c r="V12" s="39"/>
      <c r="W12" s="469"/>
    </row>
    <row r="13" spans="2:23" s="8" customFormat="1" ht="14.25" thickBot="1">
      <c r="B13" s="470"/>
      <c r="C13" s="471"/>
      <c r="D13" s="471"/>
      <c r="E13" s="471"/>
      <c r="F13" s="471"/>
      <c r="G13" s="471"/>
      <c r="H13" s="471"/>
      <c r="I13" s="472"/>
      <c r="J13" s="472"/>
      <c r="K13" s="472"/>
      <c r="L13" s="472"/>
      <c r="M13" s="472"/>
      <c r="N13" s="472"/>
      <c r="O13" s="472"/>
      <c r="P13" s="472"/>
      <c r="Q13" s="471"/>
      <c r="R13" s="471"/>
      <c r="S13" s="471"/>
      <c r="T13" s="471"/>
      <c r="U13" s="471"/>
      <c r="V13" s="471"/>
      <c r="W13" s="473"/>
    </row>
    <row r="14" spans="2:23" s="8" customFormat="1" ht="15" thickBot="1" thickTop="1">
      <c r="B14" s="55"/>
      <c r="C14" s="11"/>
      <c r="D14" s="11"/>
      <c r="E14" s="11"/>
      <c r="F14" s="474"/>
      <c r="G14" s="474"/>
      <c r="H14" s="475" t="s">
        <v>67</v>
      </c>
      <c r="I14" s="11"/>
      <c r="J14" s="67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60"/>
    </row>
    <row r="15" spans="2:23" s="8" customFormat="1" ht="16.5" customHeight="1" thickBot="1" thickTop="1">
      <c r="B15" s="55"/>
      <c r="C15" s="11"/>
      <c r="D15" s="11"/>
      <c r="E15" s="11"/>
      <c r="F15" s="476" t="s">
        <v>68</v>
      </c>
      <c r="G15" s="477">
        <v>50.672</v>
      </c>
      <c r="H15" s="478">
        <v>200</v>
      </c>
      <c r="V15" s="109"/>
      <c r="W15" s="60"/>
    </row>
    <row r="16" spans="2:23" s="8" customFormat="1" ht="16.5" customHeight="1" thickBot="1" thickTop="1">
      <c r="B16" s="55"/>
      <c r="C16" s="11"/>
      <c r="D16" s="11"/>
      <c r="E16" s="11"/>
      <c r="F16" s="479" t="s">
        <v>69</v>
      </c>
      <c r="G16" s="480" t="s">
        <v>340</v>
      </c>
      <c r="H16" s="478">
        <v>100</v>
      </c>
      <c r="O16" s="11"/>
      <c r="P16" s="11"/>
      <c r="Q16" s="11"/>
      <c r="R16" s="11"/>
      <c r="S16" s="11"/>
      <c r="T16" s="11"/>
      <c r="U16" s="11"/>
      <c r="V16" s="11"/>
      <c r="W16" s="60"/>
    </row>
    <row r="17" spans="2:23" s="8" customFormat="1" ht="16.5" customHeight="1" thickBot="1" thickTop="1">
      <c r="B17" s="55"/>
      <c r="C17" s="11"/>
      <c r="D17" s="11"/>
      <c r="E17" s="11"/>
      <c r="F17" s="481" t="s">
        <v>70</v>
      </c>
      <c r="G17" s="654">
        <v>40.54</v>
      </c>
      <c r="H17" s="478">
        <v>40</v>
      </c>
      <c r="O17" s="11"/>
      <c r="Q17" s="11"/>
      <c r="R17" s="11"/>
      <c r="S17" s="11"/>
      <c r="T17" s="11"/>
      <c r="U17" s="11"/>
      <c r="V17" s="11"/>
      <c r="W17" s="60"/>
    </row>
    <row r="18" spans="2:23" s="8" customFormat="1" ht="16.5" customHeight="1" thickBot="1" thickTop="1">
      <c r="B18" s="55"/>
      <c r="C18" s="110">
        <v>3</v>
      </c>
      <c r="D18" s="110">
        <v>4</v>
      </c>
      <c r="E18" s="110">
        <v>5</v>
      </c>
      <c r="F18" s="110">
        <v>6</v>
      </c>
      <c r="G18" s="110">
        <v>7</v>
      </c>
      <c r="H18" s="110">
        <v>8</v>
      </c>
      <c r="I18" s="110">
        <v>9</v>
      </c>
      <c r="J18" s="110">
        <v>10</v>
      </c>
      <c r="K18" s="110">
        <v>11</v>
      </c>
      <c r="L18" s="110">
        <v>12</v>
      </c>
      <c r="M18" s="110">
        <v>13</v>
      </c>
      <c r="N18" s="110">
        <v>14</v>
      </c>
      <c r="O18" s="110">
        <v>15</v>
      </c>
      <c r="P18" s="110">
        <v>16</v>
      </c>
      <c r="Q18" s="110">
        <v>17</v>
      </c>
      <c r="R18" s="110">
        <v>18</v>
      </c>
      <c r="S18" s="110">
        <v>19</v>
      </c>
      <c r="T18" s="110">
        <v>20</v>
      </c>
      <c r="U18" s="110">
        <v>21</v>
      </c>
      <c r="V18" s="110">
        <v>22</v>
      </c>
      <c r="W18" s="60"/>
    </row>
    <row r="19" spans="2:23" s="8" customFormat="1" ht="33.75" customHeight="1" thickBot="1" thickTop="1">
      <c r="B19" s="55"/>
      <c r="C19" s="321" t="s">
        <v>28</v>
      </c>
      <c r="D19" s="111" t="s">
        <v>29</v>
      </c>
      <c r="E19" s="111" t="s">
        <v>30</v>
      </c>
      <c r="F19" s="114" t="s">
        <v>58</v>
      </c>
      <c r="G19" s="482" t="s">
        <v>59</v>
      </c>
      <c r="H19" s="483" t="s">
        <v>31</v>
      </c>
      <c r="I19" s="326" t="s">
        <v>35</v>
      </c>
      <c r="J19" s="112" t="s">
        <v>36</v>
      </c>
      <c r="K19" s="482" t="s">
        <v>37</v>
      </c>
      <c r="L19" s="484" t="s">
        <v>38</v>
      </c>
      <c r="M19" s="484" t="s">
        <v>39</v>
      </c>
      <c r="N19" s="119" t="s">
        <v>254</v>
      </c>
      <c r="O19" s="118" t="s">
        <v>42</v>
      </c>
      <c r="P19" s="485" t="s">
        <v>34</v>
      </c>
      <c r="Q19" s="486" t="s">
        <v>71</v>
      </c>
      <c r="R19" s="487" t="s">
        <v>72</v>
      </c>
      <c r="S19" s="488"/>
      <c r="T19" s="489" t="s">
        <v>47</v>
      </c>
      <c r="U19" s="130" t="s">
        <v>49</v>
      </c>
      <c r="V19" s="325" t="s">
        <v>50</v>
      </c>
      <c r="W19" s="60"/>
    </row>
    <row r="20" spans="2:23" s="8" customFormat="1" ht="16.5" customHeight="1" thickTop="1">
      <c r="B20" s="55"/>
      <c r="C20" s="335"/>
      <c r="D20" s="335"/>
      <c r="E20" s="335"/>
      <c r="F20" s="490"/>
      <c r="G20" s="490"/>
      <c r="H20" s="490"/>
      <c r="I20" s="273"/>
      <c r="J20" s="490"/>
      <c r="K20" s="490"/>
      <c r="L20" s="490"/>
      <c r="M20" s="490"/>
      <c r="N20" s="490"/>
      <c r="O20" s="490"/>
      <c r="P20" s="491"/>
      <c r="Q20" s="492"/>
      <c r="R20" s="493"/>
      <c r="S20" s="494"/>
      <c r="T20" s="495"/>
      <c r="U20" s="490"/>
      <c r="V20" s="496"/>
      <c r="W20" s="60"/>
    </row>
    <row r="21" spans="2:23" s="8" customFormat="1" ht="16.5" customHeight="1">
      <c r="B21" s="55"/>
      <c r="C21" s="150"/>
      <c r="D21" s="150"/>
      <c r="E21" s="150"/>
      <c r="F21" s="497"/>
      <c r="G21" s="497"/>
      <c r="H21" s="497"/>
      <c r="I21" s="498"/>
      <c r="J21" s="497"/>
      <c r="K21" s="497"/>
      <c r="L21" s="497"/>
      <c r="M21" s="497"/>
      <c r="N21" s="497"/>
      <c r="O21" s="497"/>
      <c r="P21" s="499"/>
      <c r="Q21" s="500"/>
      <c r="R21" s="501"/>
      <c r="S21" s="502"/>
      <c r="T21" s="503"/>
      <c r="U21" s="497"/>
      <c r="V21" s="504"/>
      <c r="W21" s="60"/>
    </row>
    <row r="22" spans="2:23" s="8" customFormat="1" ht="16.5" customHeight="1">
      <c r="B22" s="55"/>
      <c r="C22" s="150">
        <v>101</v>
      </c>
      <c r="D22" s="150">
        <v>251627</v>
      </c>
      <c r="E22" s="169">
        <v>2598</v>
      </c>
      <c r="F22" s="621" t="s">
        <v>287</v>
      </c>
      <c r="G22" s="621" t="s">
        <v>342</v>
      </c>
      <c r="H22" s="655">
        <v>500</v>
      </c>
      <c r="I22" s="507">
        <f>IF(H22=500,$G$15,IF(H22=220,$G$16,$G$17))</f>
        <v>50.672</v>
      </c>
      <c r="J22" s="508">
        <v>41167.34444444445</v>
      </c>
      <c r="K22" s="509">
        <v>41167.572222222225</v>
      </c>
      <c r="L22" s="510">
        <f aca="true" t="shared" si="0" ref="L22:L41">IF(F22="","",(K22-J22)*24)</f>
        <v>5.466666666674428</v>
      </c>
      <c r="M22" s="511">
        <f aca="true" t="shared" si="1" ref="M22:M41">IF(F22="","",ROUND((K22-J22)*24*60,0))</f>
        <v>328</v>
      </c>
      <c r="N22" s="178" t="s">
        <v>259</v>
      </c>
      <c r="O22" s="180" t="str">
        <f aca="true" t="shared" si="2" ref="O22:O41">IF(F22="","",IF(N22="P","--","NO"))</f>
        <v>--</v>
      </c>
      <c r="P22" s="512">
        <f aca="true" t="shared" si="3" ref="P22:P41">IF(H22=500,$H$15,IF(H22=220,$H$16,$H$17))</f>
        <v>200</v>
      </c>
      <c r="Q22" s="513">
        <f aca="true" t="shared" si="4" ref="Q22:Q41">IF(N22="P",I22*P22*ROUND(M22/60,2)*0.1,"--")</f>
        <v>5543.5168</v>
      </c>
      <c r="R22" s="501" t="str">
        <f aca="true" t="shared" si="5" ref="R22:R41">IF(AND(N22="F",O22="NO"),I22*P22,"--")</f>
        <v>--</v>
      </c>
      <c r="S22" s="502" t="str">
        <f aca="true" t="shared" si="6" ref="S22:S41">IF(N22="F",I22*P22*ROUND(M22/60,2),"--")</f>
        <v>--</v>
      </c>
      <c r="T22" s="503" t="str">
        <f aca="true" t="shared" si="7" ref="T22:T41">IF(N22="RF",I22*P22*ROUND(M22/60,2),"--")</f>
        <v>--</v>
      </c>
      <c r="U22" s="180" t="s">
        <v>79</v>
      </c>
      <c r="V22" s="514">
        <f aca="true" t="shared" si="8" ref="V22:V41">IF(F22="","",SUM(Q22:T22)*IF(U22="SI",1,2))</f>
        <v>5543.5168</v>
      </c>
      <c r="W22" s="60"/>
    </row>
    <row r="23" spans="2:23" s="8" customFormat="1" ht="16.5" customHeight="1">
      <c r="B23" s="55"/>
      <c r="C23" s="150"/>
      <c r="D23" s="150"/>
      <c r="E23" s="169"/>
      <c r="F23" s="621"/>
      <c r="G23" s="621"/>
      <c r="H23" s="655"/>
      <c r="I23" s="507">
        <f>IF(H23=500,$G$15,IF(H23=220,$G$16,$G$17))</f>
        <v>40.54</v>
      </c>
      <c r="J23" s="508"/>
      <c r="K23" s="509"/>
      <c r="L23" s="510">
        <f t="shared" si="0"/>
      </c>
      <c r="M23" s="511">
        <f t="shared" si="1"/>
      </c>
      <c r="N23" s="178"/>
      <c r="O23" s="180">
        <f t="shared" si="2"/>
      </c>
      <c r="P23" s="512">
        <f t="shared" si="3"/>
        <v>40</v>
      </c>
      <c r="Q23" s="513" t="str">
        <f t="shared" si="4"/>
        <v>--</v>
      </c>
      <c r="R23" s="501" t="str">
        <f t="shared" si="5"/>
        <v>--</v>
      </c>
      <c r="S23" s="502" t="str">
        <f t="shared" si="6"/>
        <v>--</v>
      </c>
      <c r="T23" s="503" t="str">
        <f t="shared" si="7"/>
        <v>--</v>
      </c>
      <c r="U23" s="180"/>
      <c r="V23" s="514">
        <f t="shared" si="8"/>
      </c>
      <c r="W23" s="60"/>
    </row>
    <row r="24" spans="2:23" s="8" customFormat="1" ht="16.5" customHeight="1">
      <c r="B24" s="55"/>
      <c r="C24" s="150"/>
      <c r="D24" s="150"/>
      <c r="E24" s="169"/>
      <c r="F24" s="621"/>
      <c r="G24" s="621"/>
      <c r="H24" s="655"/>
      <c r="I24" s="507">
        <f>IF(H24=500,$G$15,IF(H24=220,$G$16,$G$17))</f>
        <v>40.54</v>
      </c>
      <c r="J24" s="508"/>
      <c r="K24" s="509"/>
      <c r="L24" s="510">
        <f t="shared" si="0"/>
      </c>
      <c r="M24" s="511">
        <f t="shared" si="1"/>
      </c>
      <c r="N24" s="178"/>
      <c r="O24" s="180">
        <f t="shared" si="2"/>
      </c>
      <c r="P24" s="512">
        <f t="shared" si="3"/>
        <v>40</v>
      </c>
      <c r="Q24" s="513" t="str">
        <f t="shared" si="4"/>
        <v>--</v>
      </c>
      <c r="R24" s="501" t="str">
        <f t="shared" si="5"/>
        <v>--</v>
      </c>
      <c r="S24" s="502" t="str">
        <f t="shared" si="6"/>
        <v>--</v>
      </c>
      <c r="T24" s="503" t="str">
        <f t="shared" si="7"/>
        <v>--</v>
      </c>
      <c r="U24" s="180"/>
      <c r="V24" s="514">
        <f t="shared" si="8"/>
      </c>
      <c r="W24" s="60"/>
    </row>
    <row r="25" spans="2:23" s="8" customFormat="1" ht="16.5" customHeight="1">
      <c r="B25" s="55"/>
      <c r="C25" s="150"/>
      <c r="D25" s="150"/>
      <c r="E25" s="150"/>
      <c r="F25" s="621"/>
      <c r="G25" s="621"/>
      <c r="H25" s="655"/>
      <c r="I25" s="507"/>
      <c r="J25" s="508"/>
      <c r="K25" s="509"/>
      <c r="L25" s="510">
        <f t="shared" si="0"/>
      </c>
      <c r="M25" s="511">
        <f t="shared" si="1"/>
      </c>
      <c r="N25" s="178"/>
      <c r="O25" s="180">
        <f t="shared" si="2"/>
      </c>
      <c r="P25" s="512">
        <f t="shared" si="3"/>
        <v>40</v>
      </c>
      <c r="Q25" s="513" t="str">
        <f t="shared" si="4"/>
        <v>--</v>
      </c>
      <c r="R25" s="501" t="str">
        <f t="shared" si="5"/>
        <v>--</v>
      </c>
      <c r="S25" s="502" t="str">
        <f t="shared" si="6"/>
        <v>--</v>
      </c>
      <c r="T25" s="503" t="str">
        <f t="shared" si="7"/>
        <v>--</v>
      </c>
      <c r="U25" s="180"/>
      <c r="V25" s="514">
        <f t="shared" si="8"/>
      </c>
      <c r="W25" s="60"/>
    </row>
    <row r="26" spans="2:23" s="8" customFormat="1" ht="16.5" customHeight="1">
      <c r="B26" s="55"/>
      <c r="C26" s="150"/>
      <c r="D26" s="150"/>
      <c r="E26" s="169"/>
      <c r="F26" s="621"/>
      <c r="G26" s="621"/>
      <c r="H26" s="655"/>
      <c r="I26" s="507"/>
      <c r="J26" s="508"/>
      <c r="K26" s="509"/>
      <c r="L26" s="510">
        <f t="shared" si="0"/>
      </c>
      <c r="M26" s="511">
        <f t="shared" si="1"/>
      </c>
      <c r="N26" s="178"/>
      <c r="O26" s="180">
        <f t="shared" si="2"/>
      </c>
      <c r="P26" s="512">
        <f t="shared" si="3"/>
        <v>40</v>
      </c>
      <c r="Q26" s="513" t="str">
        <f t="shared" si="4"/>
        <v>--</v>
      </c>
      <c r="R26" s="501" t="str">
        <f t="shared" si="5"/>
        <v>--</v>
      </c>
      <c r="S26" s="502" t="str">
        <f t="shared" si="6"/>
        <v>--</v>
      </c>
      <c r="T26" s="503" t="str">
        <f t="shared" si="7"/>
        <v>--</v>
      </c>
      <c r="U26" s="180"/>
      <c r="V26" s="514">
        <f t="shared" si="8"/>
      </c>
      <c r="W26" s="60"/>
    </row>
    <row r="27" spans="2:23" s="8" customFormat="1" ht="16.5" customHeight="1">
      <c r="B27" s="55"/>
      <c r="C27" s="150"/>
      <c r="D27" s="150"/>
      <c r="E27" s="150"/>
      <c r="F27" s="621"/>
      <c r="G27" s="621"/>
      <c r="H27" s="655"/>
      <c r="I27" s="507"/>
      <c r="J27" s="508"/>
      <c r="K27" s="509"/>
      <c r="L27" s="510">
        <f t="shared" si="0"/>
      </c>
      <c r="M27" s="511">
        <f t="shared" si="1"/>
      </c>
      <c r="N27" s="178"/>
      <c r="O27" s="180">
        <f t="shared" si="2"/>
      </c>
      <c r="P27" s="512">
        <f t="shared" si="3"/>
        <v>40</v>
      </c>
      <c r="Q27" s="513" t="str">
        <f t="shared" si="4"/>
        <v>--</v>
      </c>
      <c r="R27" s="501" t="str">
        <f t="shared" si="5"/>
        <v>--</v>
      </c>
      <c r="S27" s="502" t="str">
        <f t="shared" si="6"/>
        <v>--</v>
      </c>
      <c r="T27" s="503" t="str">
        <f t="shared" si="7"/>
        <v>--</v>
      </c>
      <c r="U27" s="180"/>
      <c r="V27" s="514">
        <f t="shared" si="8"/>
      </c>
      <c r="W27" s="60"/>
    </row>
    <row r="28" spans="2:23" s="8" customFormat="1" ht="16.5" customHeight="1">
      <c r="B28" s="55"/>
      <c r="C28" s="150"/>
      <c r="D28" s="150"/>
      <c r="E28" s="169"/>
      <c r="F28" s="621"/>
      <c r="G28" s="621"/>
      <c r="H28" s="655"/>
      <c r="I28" s="507"/>
      <c r="J28" s="508"/>
      <c r="K28" s="509"/>
      <c r="L28" s="510">
        <f t="shared" si="0"/>
      </c>
      <c r="M28" s="511">
        <f t="shared" si="1"/>
      </c>
      <c r="N28" s="178"/>
      <c r="O28" s="180">
        <f t="shared" si="2"/>
      </c>
      <c r="P28" s="512">
        <f t="shared" si="3"/>
        <v>40</v>
      </c>
      <c r="Q28" s="513" t="str">
        <f t="shared" si="4"/>
        <v>--</v>
      </c>
      <c r="R28" s="501" t="str">
        <f t="shared" si="5"/>
        <v>--</v>
      </c>
      <c r="S28" s="502" t="str">
        <f t="shared" si="6"/>
        <v>--</v>
      </c>
      <c r="T28" s="503" t="str">
        <f t="shared" si="7"/>
        <v>--</v>
      </c>
      <c r="U28" s="180"/>
      <c r="V28" s="514">
        <f t="shared" si="8"/>
      </c>
      <c r="W28" s="60"/>
    </row>
    <row r="29" spans="2:23" s="8" customFormat="1" ht="16.5" customHeight="1">
      <c r="B29" s="55"/>
      <c r="C29" s="150"/>
      <c r="D29" s="150"/>
      <c r="E29" s="150"/>
      <c r="F29" s="621"/>
      <c r="G29" s="621"/>
      <c r="H29" s="655"/>
      <c r="I29" s="507"/>
      <c r="J29" s="508"/>
      <c r="K29" s="509"/>
      <c r="L29" s="510">
        <f t="shared" si="0"/>
      </c>
      <c r="M29" s="511">
        <f t="shared" si="1"/>
      </c>
      <c r="N29" s="178"/>
      <c r="O29" s="180">
        <f t="shared" si="2"/>
      </c>
      <c r="P29" s="512">
        <f t="shared" si="3"/>
        <v>40</v>
      </c>
      <c r="Q29" s="513" t="str">
        <f t="shared" si="4"/>
        <v>--</v>
      </c>
      <c r="R29" s="501" t="str">
        <f t="shared" si="5"/>
        <v>--</v>
      </c>
      <c r="S29" s="502" t="str">
        <f t="shared" si="6"/>
        <v>--</v>
      </c>
      <c r="T29" s="503" t="str">
        <f t="shared" si="7"/>
        <v>--</v>
      </c>
      <c r="U29" s="180">
        <f aca="true" t="shared" si="9" ref="U29:U41">IF(F29="","","SI")</f>
      </c>
      <c r="V29" s="514">
        <f t="shared" si="8"/>
      </c>
      <c r="W29" s="60"/>
    </row>
    <row r="30" spans="2:23" s="8" customFormat="1" ht="16.5" customHeight="1">
      <c r="B30" s="55"/>
      <c r="C30" s="150"/>
      <c r="D30" s="150"/>
      <c r="E30" s="169"/>
      <c r="F30" s="621"/>
      <c r="G30" s="621"/>
      <c r="H30" s="655"/>
      <c r="I30" s="507"/>
      <c r="J30" s="508"/>
      <c r="K30" s="509"/>
      <c r="L30" s="510">
        <f t="shared" si="0"/>
      </c>
      <c r="M30" s="511">
        <f t="shared" si="1"/>
      </c>
      <c r="N30" s="178"/>
      <c r="O30" s="180">
        <f t="shared" si="2"/>
      </c>
      <c r="P30" s="512">
        <f t="shared" si="3"/>
        <v>40</v>
      </c>
      <c r="Q30" s="513" t="str">
        <f t="shared" si="4"/>
        <v>--</v>
      </c>
      <c r="R30" s="501" t="str">
        <f t="shared" si="5"/>
        <v>--</v>
      </c>
      <c r="S30" s="502" t="str">
        <f t="shared" si="6"/>
        <v>--</v>
      </c>
      <c r="T30" s="503" t="str">
        <f t="shared" si="7"/>
        <v>--</v>
      </c>
      <c r="U30" s="180">
        <f t="shared" si="9"/>
      </c>
      <c r="V30" s="514">
        <f t="shared" si="8"/>
      </c>
      <c r="W30" s="60"/>
    </row>
    <row r="31" spans="2:23" s="8" customFormat="1" ht="16.5" customHeight="1">
      <c r="B31" s="55"/>
      <c r="C31" s="150"/>
      <c r="D31" s="150"/>
      <c r="E31" s="150"/>
      <c r="F31" s="621"/>
      <c r="G31" s="621"/>
      <c r="H31" s="655"/>
      <c r="I31" s="507"/>
      <c r="J31" s="508"/>
      <c r="K31" s="509"/>
      <c r="L31" s="510">
        <f t="shared" si="0"/>
      </c>
      <c r="M31" s="511">
        <f t="shared" si="1"/>
      </c>
      <c r="N31" s="178"/>
      <c r="O31" s="180">
        <f t="shared" si="2"/>
      </c>
      <c r="P31" s="512">
        <f t="shared" si="3"/>
        <v>40</v>
      </c>
      <c r="Q31" s="513" t="str">
        <f t="shared" si="4"/>
        <v>--</v>
      </c>
      <c r="R31" s="501" t="str">
        <f t="shared" si="5"/>
        <v>--</v>
      </c>
      <c r="S31" s="502" t="str">
        <f t="shared" si="6"/>
        <v>--</v>
      </c>
      <c r="T31" s="503" t="str">
        <f t="shared" si="7"/>
        <v>--</v>
      </c>
      <c r="U31" s="180">
        <f t="shared" si="9"/>
      </c>
      <c r="V31" s="514">
        <f t="shared" si="8"/>
      </c>
      <c r="W31" s="60"/>
    </row>
    <row r="32" spans="2:23" s="8" customFormat="1" ht="16.5" customHeight="1">
      <c r="B32" s="55"/>
      <c r="C32" s="150"/>
      <c r="D32" s="150"/>
      <c r="E32" s="169"/>
      <c r="F32" s="621"/>
      <c r="G32" s="621"/>
      <c r="H32" s="655"/>
      <c r="I32" s="507"/>
      <c r="J32" s="508"/>
      <c r="K32" s="509"/>
      <c r="L32" s="510">
        <f t="shared" si="0"/>
      </c>
      <c r="M32" s="511">
        <f t="shared" si="1"/>
      </c>
      <c r="N32" s="178"/>
      <c r="O32" s="180">
        <f t="shared" si="2"/>
      </c>
      <c r="P32" s="512">
        <f t="shared" si="3"/>
        <v>40</v>
      </c>
      <c r="Q32" s="513" t="str">
        <f t="shared" si="4"/>
        <v>--</v>
      </c>
      <c r="R32" s="501" t="str">
        <f t="shared" si="5"/>
        <v>--</v>
      </c>
      <c r="S32" s="502" t="str">
        <f t="shared" si="6"/>
        <v>--</v>
      </c>
      <c r="T32" s="503" t="str">
        <f t="shared" si="7"/>
        <v>--</v>
      </c>
      <c r="U32" s="180">
        <f t="shared" si="9"/>
      </c>
      <c r="V32" s="514">
        <f t="shared" si="8"/>
      </c>
      <c r="W32" s="60"/>
    </row>
    <row r="33" spans="2:23" s="8" customFormat="1" ht="16.5" customHeight="1">
      <c r="B33" s="55"/>
      <c r="C33" s="150"/>
      <c r="D33" s="150"/>
      <c r="E33" s="150"/>
      <c r="F33" s="621"/>
      <c r="G33" s="621"/>
      <c r="H33" s="655"/>
      <c r="I33" s="507"/>
      <c r="J33" s="508"/>
      <c r="K33" s="509"/>
      <c r="L33" s="510">
        <f t="shared" si="0"/>
      </c>
      <c r="M33" s="511">
        <f t="shared" si="1"/>
      </c>
      <c r="N33" s="178"/>
      <c r="O33" s="180">
        <f t="shared" si="2"/>
      </c>
      <c r="P33" s="512">
        <f t="shared" si="3"/>
        <v>40</v>
      </c>
      <c r="Q33" s="513" t="str">
        <f t="shared" si="4"/>
        <v>--</v>
      </c>
      <c r="R33" s="501" t="str">
        <f t="shared" si="5"/>
        <v>--</v>
      </c>
      <c r="S33" s="502" t="str">
        <f t="shared" si="6"/>
        <v>--</v>
      </c>
      <c r="T33" s="503" t="str">
        <f t="shared" si="7"/>
        <v>--</v>
      </c>
      <c r="U33" s="180">
        <f t="shared" si="9"/>
      </c>
      <c r="V33" s="514">
        <f t="shared" si="8"/>
      </c>
      <c r="W33" s="60"/>
    </row>
    <row r="34" spans="2:23" s="8" customFormat="1" ht="16.5" customHeight="1">
      <c r="B34" s="55"/>
      <c r="C34" s="150"/>
      <c r="D34" s="150"/>
      <c r="E34" s="169"/>
      <c r="F34" s="621"/>
      <c r="G34" s="621"/>
      <c r="H34" s="655"/>
      <c r="I34" s="507"/>
      <c r="J34" s="508"/>
      <c r="K34" s="509"/>
      <c r="L34" s="510">
        <f t="shared" si="0"/>
      </c>
      <c r="M34" s="511">
        <f t="shared" si="1"/>
      </c>
      <c r="N34" s="178"/>
      <c r="O34" s="180">
        <f t="shared" si="2"/>
      </c>
      <c r="P34" s="512">
        <f t="shared" si="3"/>
        <v>40</v>
      </c>
      <c r="Q34" s="513" t="str">
        <f t="shared" si="4"/>
        <v>--</v>
      </c>
      <c r="R34" s="501" t="str">
        <f t="shared" si="5"/>
        <v>--</v>
      </c>
      <c r="S34" s="502" t="str">
        <f t="shared" si="6"/>
        <v>--</v>
      </c>
      <c r="T34" s="503" t="str">
        <f t="shared" si="7"/>
        <v>--</v>
      </c>
      <c r="U34" s="180">
        <f t="shared" si="9"/>
      </c>
      <c r="V34" s="514">
        <f t="shared" si="8"/>
      </c>
      <c r="W34" s="60"/>
    </row>
    <row r="35" spans="2:23" s="8" customFormat="1" ht="16.5" customHeight="1">
      <c r="B35" s="55"/>
      <c r="C35" s="150"/>
      <c r="D35" s="150"/>
      <c r="E35" s="150"/>
      <c r="F35" s="505"/>
      <c r="G35" s="505"/>
      <c r="H35" s="506"/>
      <c r="I35" s="507">
        <f aca="true" t="shared" si="10" ref="I35:I41">IF(H35=500,$G$15,IF(H35=220,$G$16,$G$17))</f>
        <v>40.54</v>
      </c>
      <c r="J35" s="508"/>
      <c r="K35" s="509"/>
      <c r="L35" s="510">
        <f t="shared" si="0"/>
      </c>
      <c r="M35" s="511">
        <f t="shared" si="1"/>
      </c>
      <c r="N35" s="178"/>
      <c r="O35" s="180">
        <f t="shared" si="2"/>
      </c>
      <c r="P35" s="512">
        <f t="shared" si="3"/>
        <v>40</v>
      </c>
      <c r="Q35" s="513" t="str">
        <f t="shared" si="4"/>
        <v>--</v>
      </c>
      <c r="R35" s="501" t="str">
        <f t="shared" si="5"/>
        <v>--</v>
      </c>
      <c r="S35" s="502" t="str">
        <f t="shared" si="6"/>
        <v>--</v>
      </c>
      <c r="T35" s="503" t="str">
        <f t="shared" si="7"/>
        <v>--</v>
      </c>
      <c r="U35" s="180">
        <f t="shared" si="9"/>
      </c>
      <c r="V35" s="514">
        <f t="shared" si="8"/>
      </c>
      <c r="W35" s="60"/>
    </row>
    <row r="36" spans="2:23" s="8" customFormat="1" ht="16.5" customHeight="1">
      <c r="B36" s="55"/>
      <c r="C36" s="150"/>
      <c r="D36" s="150"/>
      <c r="E36" s="169"/>
      <c r="F36" s="505"/>
      <c r="G36" s="505"/>
      <c r="H36" s="506"/>
      <c r="I36" s="507">
        <f t="shared" si="10"/>
        <v>40.54</v>
      </c>
      <c r="J36" s="508"/>
      <c r="K36" s="509"/>
      <c r="L36" s="510">
        <f t="shared" si="0"/>
      </c>
      <c r="M36" s="511">
        <f t="shared" si="1"/>
      </c>
      <c r="N36" s="178"/>
      <c r="O36" s="180">
        <f t="shared" si="2"/>
      </c>
      <c r="P36" s="512">
        <f t="shared" si="3"/>
        <v>40</v>
      </c>
      <c r="Q36" s="513" t="str">
        <f t="shared" si="4"/>
        <v>--</v>
      </c>
      <c r="R36" s="501" t="str">
        <f t="shared" si="5"/>
        <v>--</v>
      </c>
      <c r="S36" s="502" t="str">
        <f t="shared" si="6"/>
        <v>--</v>
      </c>
      <c r="T36" s="503" t="str">
        <f t="shared" si="7"/>
        <v>--</v>
      </c>
      <c r="U36" s="180">
        <f t="shared" si="9"/>
      </c>
      <c r="V36" s="514">
        <f t="shared" si="8"/>
      </c>
      <c r="W36" s="60"/>
    </row>
    <row r="37" spans="2:23" s="8" customFormat="1" ht="16.5" customHeight="1">
      <c r="B37" s="55"/>
      <c r="C37" s="150"/>
      <c r="D37" s="150"/>
      <c r="E37" s="150"/>
      <c r="F37" s="505"/>
      <c r="G37" s="505"/>
      <c r="H37" s="506"/>
      <c r="I37" s="507">
        <f t="shared" si="10"/>
        <v>40.54</v>
      </c>
      <c r="J37" s="508"/>
      <c r="K37" s="509"/>
      <c r="L37" s="510">
        <f t="shared" si="0"/>
      </c>
      <c r="M37" s="511">
        <f t="shared" si="1"/>
      </c>
      <c r="N37" s="178"/>
      <c r="O37" s="180">
        <f t="shared" si="2"/>
      </c>
      <c r="P37" s="512">
        <f t="shared" si="3"/>
        <v>40</v>
      </c>
      <c r="Q37" s="513" t="str">
        <f t="shared" si="4"/>
        <v>--</v>
      </c>
      <c r="R37" s="501" t="str">
        <f t="shared" si="5"/>
        <v>--</v>
      </c>
      <c r="S37" s="502" t="str">
        <f t="shared" si="6"/>
        <v>--</v>
      </c>
      <c r="T37" s="503" t="str">
        <f t="shared" si="7"/>
        <v>--</v>
      </c>
      <c r="U37" s="180">
        <f t="shared" si="9"/>
      </c>
      <c r="V37" s="514">
        <f t="shared" si="8"/>
      </c>
      <c r="W37" s="60"/>
    </row>
    <row r="38" spans="2:23" s="8" customFormat="1" ht="16.5" customHeight="1">
      <c r="B38" s="55"/>
      <c r="C38" s="150"/>
      <c r="D38" s="150"/>
      <c r="E38" s="169"/>
      <c r="F38" s="505"/>
      <c r="G38" s="505"/>
      <c r="H38" s="506"/>
      <c r="I38" s="507">
        <f t="shared" si="10"/>
        <v>40.54</v>
      </c>
      <c r="J38" s="508"/>
      <c r="K38" s="509"/>
      <c r="L38" s="510">
        <f t="shared" si="0"/>
      </c>
      <c r="M38" s="511">
        <f t="shared" si="1"/>
      </c>
      <c r="N38" s="178"/>
      <c r="O38" s="180">
        <f t="shared" si="2"/>
      </c>
      <c r="P38" s="512">
        <f t="shared" si="3"/>
        <v>40</v>
      </c>
      <c r="Q38" s="513" t="str">
        <f t="shared" si="4"/>
        <v>--</v>
      </c>
      <c r="R38" s="501" t="str">
        <f t="shared" si="5"/>
        <v>--</v>
      </c>
      <c r="S38" s="502" t="str">
        <f t="shared" si="6"/>
        <v>--</v>
      </c>
      <c r="T38" s="503" t="str">
        <f t="shared" si="7"/>
        <v>--</v>
      </c>
      <c r="U38" s="180">
        <f t="shared" si="9"/>
      </c>
      <c r="V38" s="514">
        <f t="shared" si="8"/>
      </c>
      <c r="W38" s="60"/>
    </row>
    <row r="39" spans="2:23" s="8" customFormat="1" ht="16.5" customHeight="1">
      <c r="B39" s="55"/>
      <c r="C39" s="150"/>
      <c r="D39" s="150"/>
      <c r="E39" s="150"/>
      <c r="F39" s="505"/>
      <c r="G39" s="505"/>
      <c r="H39" s="506"/>
      <c r="I39" s="507">
        <f t="shared" si="10"/>
        <v>40.54</v>
      </c>
      <c r="J39" s="508"/>
      <c r="K39" s="509"/>
      <c r="L39" s="510">
        <f t="shared" si="0"/>
      </c>
      <c r="M39" s="511">
        <f t="shared" si="1"/>
      </c>
      <c r="N39" s="178"/>
      <c r="O39" s="180">
        <f t="shared" si="2"/>
      </c>
      <c r="P39" s="512">
        <f t="shared" si="3"/>
        <v>40</v>
      </c>
      <c r="Q39" s="513" t="str">
        <f t="shared" si="4"/>
        <v>--</v>
      </c>
      <c r="R39" s="501" t="str">
        <f t="shared" si="5"/>
        <v>--</v>
      </c>
      <c r="S39" s="502" t="str">
        <f t="shared" si="6"/>
        <v>--</v>
      </c>
      <c r="T39" s="503" t="str">
        <f t="shared" si="7"/>
        <v>--</v>
      </c>
      <c r="U39" s="180">
        <f t="shared" si="9"/>
      </c>
      <c r="V39" s="514">
        <f t="shared" si="8"/>
      </c>
      <c r="W39" s="60"/>
    </row>
    <row r="40" spans="2:23" s="8" customFormat="1" ht="16.5" customHeight="1">
      <c r="B40" s="55"/>
      <c r="C40" s="150"/>
      <c r="D40" s="150"/>
      <c r="E40" s="169"/>
      <c r="F40" s="505"/>
      <c r="G40" s="505"/>
      <c r="H40" s="506"/>
      <c r="I40" s="507">
        <f t="shared" si="10"/>
        <v>40.54</v>
      </c>
      <c r="J40" s="508"/>
      <c r="K40" s="509"/>
      <c r="L40" s="510">
        <f t="shared" si="0"/>
      </c>
      <c r="M40" s="511">
        <f t="shared" si="1"/>
      </c>
      <c r="N40" s="178"/>
      <c r="O40" s="180">
        <f t="shared" si="2"/>
      </c>
      <c r="P40" s="512">
        <f t="shared" si="3"/>
        <v>40</v>
      </c>
      <c r="Q40" s="513" t="str">
        <f t="shared" si="4"/>
        <v>--</v>
      </c>
      <c r="R40" s="501" t="str">
        <f t="shared" si="5"/>
        <v>--</v>
      </c>
      <c r="S40" s="502" t="str">
        <f t="shared" si="6"/>
        <v>--</v>
      </c>
      <c r="T40" s="503" t="str">
        <f t="shared" si="7"/>
        <v>--</v>
      </c>
      <c r="U40" s="180">
        <f t="shared" si="9"/>
      </c>
      <c r="V40" s="514">
        <f t="shared" si="8"/>
      </c>
      <c r="W40" s="60"/>
    </row>
    <row r="41" spans="2:23" s="8" customFormat="1" ht="16.5" customHeight="1">
      <c r="B41" s="55"/>
      <c r="C41" s="150"/>
      <c r="D41" s="150"/>
      <c r="E41" s="150"/>
      <c r="F41" s="505"/>
      <c r="G41" s="505"/>
      <c r="H41" s="506"/>
      <c r="I41" s="507">
        <f t="shared" si="10"/>
        <v>40.54</v>
      </c>
      <c r="J41" s="508"/>
      <c r="K41" s="509"/>
      <c r="L41" s="510">
        <f t="shared" si="0"/>
      </c>
      <c r="M41" s="511">
        <f t="shared" si="1"/>
      </c>
      <c r="N41" s="178"/>
      <c r="O41" s="180">
        <f t="shared" si="2"/>
      </c>
      <c r="P41" s="512">
        <f t="shared" si="3"/>
        <v>40</v>
      </c>
      <c r="Q41" s="513" t="str">
        <f t="shared" si="4"/>
        <v>--</v>
      </c>
      <c r="R41" s="501" t="str">
        <f t="shared" si="5"/>
        <v>--</v>
      </c>
      <c r="S41" s="502" t="str">
        <f t="shared" si="6"/>
        <v>--</v>
      </c>
      <c r="T41" s="503" t="str">
        <f t="shared" si="7"/>
        <v>--</v>
      </c>
      <c r="U41" s="180">
        <f t="shared" si="9"/>
      </c>
      <c r="V41" s="514">
        <f t="shared" si="8"/>
      </c>
      <c r="W41" s="60"/>
    </row>
    <row r="42" spans="2:23" s="8" customFormat="1" ht="16.5" customHeight="1" thickBot="1">
      <c r="B42" s="55"/>
      <c r="C42" s="208"/>
      <c r="D42" s="208"/>
      <c r="E42" s="208"/>
      <c r="F42" s="208"/>
      <c r="G42" s="208"/>
      <c r="H42" s="208"/>
      <c r="I42" s="386"/>
      <c r="J42" s="515"/>
      <c r="K42" s="515"/>
      <c r="L42" s="516"/>
      <c r="M42" s="516"/>
      <c r="N42" s="515"/>
      <c r="O42" s="215"/>
      <c r="P42" s="517"/>
      <c r="Q42" s="518"/>
      <c r="R42" s="519"/>
      <c r="S42" s="520"/>
      <c r="T42" s="521"/>
      <c r="U42" s="215"/>
      <c r="V42" s="522"/>
      <c r="W42" s="60"/>
    </row>
    <row r="43" spans="2:23" s="8" customFormat="1" ht="16.5" customHeight="1" thickBot="1" thickTop="1">
      <c r="B43" s="55"/>
      <c r="C43" s="229" t="s">
        <v>255</v>
      </c>
      <c r="D43" s="271" t="s">
        <v>341</v>
      </c>
      <c r="E43" s="229"/>
      <c r="F43" s="231"/>
      <c r="G43" s="9"/>
      <c r="H43" s="11"/>
      <c r="I43" s="11"/>
      <c r="J43" s="11"/>
      <c r="K43" s="11"/>
      <c r="L43" s="11"/>
      <c r="M43" s="11"/>
      <c r="N43" s="11"/>
      <c r="O43" s="11"/>
      <c r="P43" s="11"/>
      <c r="Q43" s="523">
        <f>SUM(Q20:Q42)</f>
        <v>5543.5168</v>
      </c>
      <c r="R43" s="524">
        <f>SUM(R20:R42)</f>
        <v>0</v>
      </c>
      <c r="S43" s="525">
        <f>SUM(S20:S42)</f>
        <v>0</v>
      </c>
      <c r="T43" s="526">
        <f>SUM(T20:T42)</f>
        <v>0</v>
      </c>
      <c r="U43" s="527"/>
      <c r="V43" s="528">
        <f>ROUND(SUM(V20:V42),2)</f>
        <v>5543.52</v>
      </c>
      <c r="W43" s="60"/>
    </row>
    <row r="44" spans="2:23" s="8" customFormat="1" ht="16.5" customHeight="1" thickBot="1" thickTop="1">
      <c r="B44" s="245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7"/>
    </row>
    <row r="45" spans="23:25" ht="16.5" customHeight="1" thickTop="1">
      <c r="W45" s="417"/>
      <c r="X45" s="417"/>
      <c r="Y45" s="417"/>
    </row>
    <row r="46" spans="23:25" ht="16.5" customHeight="1">
      <c r="W46" s="417"/>
      <c r="X46" s="417"/>
      <c r="Y46" s="417"/>
    </row>
    <row r="47" spans="23:25" ht="16.5" customHeight="1">
      <c r="W47" s="417"/>
      <c r="X47" s="417"/>
      <c r="Y47" s="417"/>
    </row>
    <row r="48" spans="23:25" ht="16.5" customHeight="1">
      <c r="W48" s="417"/>
      <c r="X48" s="417"/>
      <c r="Y48" s="417"/>
    </row>
    <row r="49" spans="23:25" ht="16.5" customHeight="1">
      <c r="W49" s="417"/>
      <c r="X49" s="417"/>
      <c r="Y49" s="417"/>
    </row>
    <row r="50" spans="6:25" ht="16.5" customHeight="1">
      <c r="F50" s="417"/>
      <c r="G50" s="417"/>
      <c r="H50" s="417"/>
      <c r="I50" s="417"/>
      <c r="J50" s="417"/>
      <c r="K50" s="417"/>
      <c r="L50" s="417"/>
      <c r="M50" s="417"/>
      <c r="N50" s="417"/>
      <c r="O50" s="417"/>
      <c r="P50" s="417"/>
      <c r="Q50" s="417"/>
      <c r="R50" s="417"/>
      <c r="S50" s="417"/>
      <c r="T50" s="417"/>
      <c r="U50" s="417"/>
      <c r="V50" s="417"/>
      <c r="W50" s="417"/>
      <c r="X50" s="417"/>
      <c r="Y50" s="417"/>
    </row>
    <row r="51" spans="6:25" ht="16.5" customHeight="1">
      <c r="F51" s="417"/>
      <c r="G51" s="417"/>
      <c r="H51" s="417"/>
      <c r="I51" s="417"/>
      <c r="J51" s="417"/>
      <c r="K51" s="417"/>
      <c r="L51" s="417"/>
      <c r="M51" s="417"/>
      <c r="N51" s="417"/>
      <c r="O51" s="417"/>
      <c r="P51" s="417"/>
      <c r="Q51" s="417"/>
      <c r="R51" s="417"/>
      <c r="S51" s="417"/>
      <c r="T51" s="417"/>
      <c r="U51" s="417"/>
      <c r="V51" s="417"/>
      <c r="W51" s="417"/>
      <c r="X51" s="417"/>
      <c r="Y51" s="417"/>
    </row>
    <row r="52" spans="6:25" ht="16.5" customHeight="1">
      <c r="F52" s="417"/>
      <c r="G52" s="417"/>
      <c r="H52" s="417"/>
      <c r="I52" s="417"/>
      <c r="J52" s="417"/>
      <c r="K52" s="417"/>
      <c r="L52" s="417"/>
      <c r="M52" s="417"/>
      <c r="N52" s="417"/>
      <c r="O52" s="417"/>
      <c r="P52" s="417"/>
      <c r="Q52" s="417"/>
      <c r="R52" s="417"/>
      <c r="S52" s="417"/>
      <c r="T52" s="417"/>
      <c r="U52" s="417"/>
      <c r="V52" s="417"/>
      <c r="W52" s="417"/>
      <c r="X52" s="417"/>
      <c r="Y52" s="417"/>
    </row>
    <row r="53" spans="6:25" ht="16.5" customHeight="1"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7"/>
      <c r="Q53" s="417"/>
      <c r="R53" s="417"/>
      <c r="S53" s="417"/>
      <c r="T53" s="417"/>
      <c r="U53" s="417"/>
      <c r="V53" s="417"/>
      <c r="W53" s="417"/>
      <c r="X53" s="417"/>
      <c r="Y53" s="417"/>
    </row>
    <row r="54" spans="6:25" ht="16.5" customHeight="1">
      <c r="F54" s="417"/>
      <c r="G54" s="417"/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417"/>
      <c r="S54" s="417"/>
      <c r="T54" s="417"/>
      <c r="U54" s="417"/>
      <c r="V54" s="417"/>
      <c r="W54" s="417"/>
      <c r="X54" s="417"/>
      <c r="Y54" s="417"/>
    </row>
    <row r="55" spans="6:25" ht="16.5" customHeight="1">
      <c r="F55" s="417"/>
      <c r="G55" s="417"/>
      <c r="H55" s="417"/>
      <c r="I55" s="417"/>
      <c r="J55" s="417"/>
      <c r="K55" s="417"/>
      <c r="L55" s="417"/>
      <c r="M55" s="417"/>
      <c r="N55" s="417"/>
      <c r="O55" s="417"/>
      <c r="P55" s="417"/>
      <c r="Q55" s="417"/>
      <c r="R55" s="417"/>
      <c r="S55" s="417"/>
      <c r="T55" s="417"/>
      <c r="U55" s="417"/>
      <c r="V55" s="417"/>
      <c r="W55" s="417"/>
      <c r="X55" s="417"/>
      <c r="Y55" s="417"/>
    </row>
    <row r="56" spans="6:25" ht="16.5" customHeight="1">
      <c r="F56" s="417"/>
      <c r="G56" s="417"/>
      <c r="H56" s="417"/>
      <c r="I56" s="417"/>
      <c r="J56" s="417"/>
      <c r="K56" s="417"/>
      <c r="L56" s="417"/>
      <c r="M56" s="417"/>
      <c r="N56" s="417"/>
      <c r="O56" s="417"/>
      <c r="P56" s="417"/>
      <c r="Q56" s="417"/>
      <c r="R56" s="417"/>
      <c r="S56" s="417"/>
      <c r="T56" s="417"/>
      <c r="U56" s="417"/>
      <c r="V56" s="417"/>
      <c r="W56" s="417"/>
      <c r="X56" s="417"/>
      <c r="Y56" s="417"/>
    </row>
    <row r="57" spans="6:25" ht="16.5" customHeight="1">
      <c r="F57" s="417"/>
      <c r="G57" s="417"/>
      <c r="H57" s="417"/>
      <c r="I57" s="417"/>
      <c r="J57" s="417"/>
      <c r="K57" s="417"/>
      <c r="L57" s="417"/>
      <c r="M57" s="417"/>
      <c r="N57" s="417"/>
      <c r="O57" s="417"/>
      <c r="P57" s="417"/>
      <c r="Q57" s="417"/>
      <c r="R57" s="417"/>
      <c r="S57" s="417"/>
      <c r="T57" s="417"/>
      <c r="U57" s="417"/>
      <c r="V57" s="417"/>
      <c r="W57" s="417"/>
      <c r="X57" s="417"/>
      <c r="Y57" s="417"/>
    </row>
    <row r="58" spans="6:25" ht="16.5" customHeight="1">
      <c r="F58" s="417"/>
      <c r="G58" s="417"/>
      <c r="H58" s="417"/>
      <c r="I58" s="417"/>
      <c r="J58" s="417"/>
      <c r="K58" s="417"/>
      <c r="L58" s="417"/>
      <c r="M58" s="417"/>
      <c r="N58" s="417"/>
      <c r="O58" s="417"/>
      <c r="P58" s="417"/>
      <c r="Q58" s="417"/>
      <c r="R58" s="417"/>
      <c r="S58" s="417"/>
      <c r="T58" s="417"/>
      <c r="U58" s="417"/>
      <c r="V58" s="417"/>
      <c r="W58" s="417"/>
      <c r="X58" s="417"/>
      <c r="Y58" s="417"/>
    </row>
    <row r="59" spans="6:25" ht="16.5" customHeight="1"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7"/>
      <c r="W59" s="417"/>
      <c r="X59" s="417"/>
      <c r="Y59" s="417"/>
    </row>
    <row r="60" spans="6:25" ht="16.5" customHeight="1">
      <c r="F60" s="417"/>
      <c r="G60" s="417"/>
      <c r="H60" s="417"/>
      <c r="I60" s="417"/>
      <c r="J60" s="417"/>
      <c r="K60" s="417"/>
      <c r="L60" s="417"/>
      <c r="M60" s="417"/>
      <c r="N60" s="417"/>
      <c r="O60" s="417"/>
      <c r="P60" s="417"/>
      <c r="Q60" s="417"/>
      <c r="R60" s="417"/>
      <c r="S60" s="417"/>
      <c r="T60" s="417"/>
      <c r="U60" s="417"/>
      <c r="V60" s="417"/>
      <c r="W60" s="417"/>
      <c r="X60" s="417"/>
      <c r="Y60" s="417"/>
    </row>
    <row r="61" spans="6:25" ht="16.5" customHeight="1">
      <c r="F61" s="417"/>
      <c r="G61" s="417"/>
      <c r="H61" s="417"/>
      <c r="I61" s="417"/>
      <c r="J61" s="417"/>
      <c r="K61" s="417"/>
      <c r="L61" s="417"/>
      <c r="M61" s="417"/>
      <c r="N61" s="417"/>
      <c r="O61" s="417"/>
      <c r="P61" s="417"/>
      <c r="Q61" s="417"/>
      <c r="R61" s="417"/>
      <c r="S61" s="417"/>
      <c r="T61" s="417"/>
      <c r="U61" s="417"/>
      <c r="V61" s="417"/>
      <c r="W61" s="417"/>
      <c r="X61" s="417"/>
      <c r="Y61" s="417"/>
    </row>
    <row r="62" spans="6:25" ht="16.5" customHeight="1">
      <c r="F62" s="417"/>
      <c r="G62" s="417"/>
      <c r="H62" s="417"/>
      <c r="I62" s="417"/>
      <c r="J62" s="417"/>
      <c r="K62" s="417"/>
      <c r="L62" s="417"/>
      <c r="M62" s="417"/>
      <c r="N62" s="417"/>
      <c r="O62" s="417"/>
      <c r="P62" s="417"/>
      <c r="Q62" s="417"/>
      <c r="R62" s="417"/>
      <c r="S62" s="417"/>
      <c r="T62" s="417"/>
      <c r="U62" s="417"/>
      <c r="V62" s="417"/>
      <c r="W62" s="417"/>
      <c r="X62" s="417"/>
      <c r="Y62" s="417"/>
    </row>
    <row r="63" spans="6:25" ht="16.5" customHeight="1">
      <c r="F63" s="417"/>
      <c r="G63" s="417"/>
      <c r="H63" s="417"/>
      <c r="I63" s="417"/>
      <c r="J63" s="417"/>
      <c r="K63" s="417"/>
      <c r="L63" s="417"/>
      <c r="M63" s="417"/>
      <c r="N63" s="417"/>
      <c r="O63" s="417"/>
      <c r="P63" s="417"/>
      <c r="Q63" s="417"/>
      <c r="R63" s="417"/>
      <c r="S63" s="417"/>
      <c r="T63" s="417"/>
      <c r="U63" s="417"/>
      <c r="V63" s="417"/>
      <c r="W63" s="417"/>
      <c r="X63" s="417"/>
      <c r="Y63" s="417"/>
    </row>
    <row r="64" spans="6:25" ht="16.5" customHeight="1">
      <c r="F64" s="417"/>
      <c r="G64" s="417"/>
      <c r="H64" s="417"/>
      <c r="I64" s="417"/>
      <c r="J64" s="417"/>
      <c r="K64" s="417"/>
      <c r="L64" s="417"/>
      <c r="M64" s="417"/>
      <c r="N64" s="417"/>
      <c r="O64" s="417"/>
      <c r="P64" s="417"/>
      <c r="Q64" s="417"/>
      <c r="R64" s="417"/>
      <c r="S64" s="417"/>
      <c r="T64" s="417"/>
      <c r="U64" s="417"/>
      <c r="V64" s="417"/>
      <c r="W64" s="417"/>
      <c r="X64" s="417"/>
      <c r="Y64" s="417"/>
    </row>
    <row r="65" spans="6:25" ht="16.5" customHeight="1">
      <c r="F65" s="417"/>
      <c r="G65" s="417"/>
      <c r="H65" s="417"/>
      <c r="I65" s="417"/>
      <c r="J65" s="417"/>
      <c r="K65" s="417"/>
      <c r="L65" s="417"/>
      <c r="M65" s="417"/>
      <c r="N65" s="417"/>
      <c r="O65" s="417"/>
      <c r="P65" s="417"/>
      <c r="Q65" s="417"/>
      <c r="R65" s="417"/>
      <c r="S65" s="417"/>
      <c r="T65" s="417"/>
      <c r="U65" s="417"/>
      <c r="V65" s="417"/>
      <c r="W65" s="417"/>
      <c r="X65" s="417"/>
      <c r="Y65" s="417"/>
    </row>
    <row r="66" spans="6:25" ht="16.5" customHeight="1">
      <c r="F66" s="417"/>
      <c r="G66" s="417"/>
      <c r="H66" s="417"/>
      <c r="I66" s="417"/>
      <c r="J66" s="417"/>
      <c r="K66" s="417"/>
      <c r="L66" s="417"/>
      <c r="M66" s="417"/>
      <c r="N66" s="417"/>
      <c r="O66" s="417"/>
      <c r="P66" s="417"/>
      <c r="Q66" s="417"/>
      <c r="R66" s="417"/>
      <c r="S66" s="417"/>
      <c r="T66" s="417"/>
      <c r="U66" s="417"/>
      <c r="V66" s="417"/>
      <c r="W66" s="417"/>
      <c r="X66" s="417"/>
      <c r="Y66" s="417"/>
    </row>
    <row r="67" spans="6:25" ht="16.5" customHeight="1">
      <c r="F67" s="417"/>
      <c r="G67" s="417"/>
      <c r="H67" s="417"/>
      <c r="I67" s="417"/>
      <c r="J67" s="417"/>
      <c r="K67" s="417"/>
      <c r="L67" s="417"/>
      <c r="M67" s="417"/>
      <c r="N67" s="417"/>
      <c r="O67" s="417"/>
      <c r="P67" s="417"/>
      <c r="Q67" s="417"/>
      <c r="R67" s="417"/>
      <c r="S67" s="417"/>
      <c r="T67" s="417"/>
      <c r="U67" s="417"/>
      <c r="V67" s="417"/>
      <c r="W67" s="417"/>
      <c r="X67" s="417"/>
      <c r="Y67" s="417"/>
    </row>
    <row r="68" spans="6:25" ht="16.5" customHeight="1">
      <c r="F68" s="417"/>
      <c r="G68" s="417"/>
      <c r="H68" s="417"/>
      <c r="I68" s="417"/>
      <c r="J68" s="417"/>
      <c r="K68" s="417"/>
      <c r="L68" s="417"/>
      <c r="M68" s="417"/>
      <c r="N68" s="417"/>
      <c r="O68" s="417"/>
      <c r="P68" s="417"/>
      <c r="Q68" s="417"/>
      <c r="R68" s="417"/>
      <c r="S68" s="417"/>
      <c r="T68" s="417"/>
      <c r="U68" s="417"/>
      <c r="V68" s="417"/>
      <c r="W68" s="417"/>
      <c r="X68" s="417"/>
      <c r="Y68" s="417"/>
    </row>
    <row r="69" spans="6:25" ht="16.5" customHeight="1">
      <c r="F69" s="417"/>
      <c r="G69" s="417"/>
      <c r="H69" s="417"/>
      <c r="I69" s="417"/>
      <c r="J69" s="417"/>
      <c r="K69" s="417"/>
      <c r="L69" s="417"/>
      <c r="M69" s="417"/>
      <c r="N69" s="417"/>
      <c r="O69" s="417"/>
      <c r="P69" s="417"/>
      <c r="Q69" s="417"/>
      <c r="R69" s="417"/>
      <c r="S69" s="417"/>
      <c r="T69" s="417"/>
      <c r="U69" s="417"/>
      <c r="V69" s="417"/>
      <c r="W69" s="417"/>
      <c r="X69" s="417"/>
      <c r="Y69" s="417"/>
    </row>
    <row r="70" spans="6:25" ht="16.5" customHeight="1">
      <c r="F70" s="417"/>
      <c r="G70" s="417"/>
      <c r="H70" s="417"/>
      <c r="I70" s="417"/>
      <c r="J70" s="417"/>
      <c r="K70" s="417"/>
      <c r="L70" s="417"/>
      <c r="M70" s="417"/>
      <c r="N70" s="417"/>
      <c r="O70" s="417"/>
      <c r="P70" s="417"/>
      <c r="Q70" s="417"/>
      <c r="R70" s="417"/>
      <c r="S70" s="417"/>
      <c r="T70" s="417"/>
      <c r="U70" s="417"/>
      <c r="V70" s="417"/>
      <c r="W70" s="417"/>
      <c r="X70" s="417"/>
      <c r="Y70" s="417"/>
    </row>
    <row r="71" spans="6:25" ht="16.5" customHeight="1">
      <c r="F71" s="417"/>
      <c r="G71" s="417"/>
      <c r="H71" s="417"/>
      <c r="I71" s="417"/>
      <c r="J71" s="417"/>
      <c r="K71" s="417"/>
      <c r="L71" s="417"/>
      <c r="M71" s="417"/>
      <c r="N71" s="417"/>
      <c r="O71" s="417"/>
      <c r="P71" s="417"/>
      <c r="Q71" s="417"/>
      <c r="R71" s="417"/>
      <c r="S71" s="417"/>
      <c r="T71" s="417"/>
      <c r="U71" s="417"/>
      <c r="V71" s="417"/>
      <c r="W71" s="417"/>
      <c r="X71" s="417"/>
      <c r="Y71" s="417"/>
    </row>
    <row r="72" spans="6:25" ht="16.5" customHeight="1">
      <c r="F72" s="417"/>
      <c r="G72" s="417"/>
      <c r="H72" s="417"/>
      <c r="I72" s="417"/>
      <c r="J72" s="417"/>
      <c r="K72" s="417"/>
      <c r="L72" s="417"/>
      <c r="M72" s="417"/>
      <c r="N72" s="417"/>
      <c r="O72" s="417"/>
      <c r="P72" s="417"/>
      <c r="Q72" s="417"/>
      <c r="R72" s="417"/>
      <c r="S72" s="417"/>
      <c r="T72" s="417"/>
      <c r="U72" s="417"/>
      <c r="V72" s="417"/>
      <c r="W72" s="417"/>
      <c r="X72" s="417"/>
      <c r="Y72" s="417"/>
    </row>
    <row r="73" spans="6:25" ht="16.5" customHeight="1">
      <c r="F73" s="417"/>
      <c r="G73" s="417"/>
      <c r="H73" s="417"/>
      <c r="I73" s="417"/>
      <c r="J73" s="417"/>
      <c r="K73" s="417"/>
      <c r="L73" s="417"/>
      <c r="M73" s="417"/>
      <c r="N73" s="417"/>
      <c r="O73" s="417"/>
      <c r="P73" s="417"/>
      <c r="Q73" s="417"/>
      <c r="R73" s="417"/>
      <c r="S73" s="417"/>
      <c r="T73" s="417"/>
      <c r="U73" s="417"/>
      <c r="V73" s="417"/>
      <c r="W73" s="417"/>
      <c r="X73" s="417"/>
      <c r="Y73" s="417"/>
    </row>
    <row r="74" spans="6:25" ht="16.5" customHeight="1">
      <c r="F74" s="417"/>
      <c r="G74" s="417"/>
      <c r="H74" s="417"/>
      <c r="I74" s="417"/>
      <c r="J74" s="417"/>
      <c r="K74" s="417"/>
      <c r="L74" s="417"/>
      <c r="M74" s="417"/>
      <c r="N74" s="417"/>
      <c r="O74" s="417"/>
      <c r="P74" s="417"/>
      <c r="Q74" s="417"/>
      <c r="R74" s="417"/>
      <c r="S74" s="417"/>
      <c r="T74" s="417"/>
      <c r="U74" s="417"/>
      <c r="V74" s="417"/>
      <c r="W74" s="417"/>
      <c r="X74" s="417"/>
      <c r="Y74" s="417"/>
    </row>
    <row r="75" spans="6:25" ht="16.5" customHeight="1">
      <c r="F75" s="417"/>
      <c r="G75" s="417"/>
      <c r="H75" s="417"/>
      <c r="I75" s="417"/>
      <c r="J75" s="417"/>
      <c r="K75" s="417"/>
      <c r="L75" s="417"/>
      <c r="M75" s="417"/>
      <c r="N75" s="417"/>
      <c r="O75" s="417"/>
      <c r="P75" s="417"/>
      <c r="Q75" s="417"/>
      <c r="R75" s="417"/>
      <c r="S75" s="417"/>
      <c r="T75" s="417"/>
      <c r="U75" s="417"/>
      <c r="V75" s="417"/>
      <c r="W75" s="417"/>
      <c r="X75" s="417"/>
      <c r="Y75" s="417"/>
    </row>
    <row r="76" spans="6:25" ht="16.5" customHeight="1">
      <c r="F76" s="417"/>
      <c r="G76" s="417"/>
      <c r="H76" s="417"/>
      <c r="I76" s="417"/>
      <c r="J76" s="417"/>
      <c r="K76" s="417"/>
      <c r="L76" s="417"/>
      <c r="M76" s="417"/>
      <c r="N76" s="417"/>
      <c r="O76" s="417"/>
      <c r="P76" s="417"/>
      <c r="Q76" s="417"/>
      <c r="R76" s="417"/>
      <c r="S76" s="417"/>
      <c r="T76" s="417"/>
      <c r="U76" s="417"/>
      <c r="V76" s="417"/>
      <c r="W76" s="417"/>
      <c r="X76" s="417"/>
      <c r="Y76" s="417"/>
    </row>
    <row r="77" spans="6:25" ht="16.5" customHeight="1">
      <c r="F77" s="417"/>
      <c r="G77" s="417"/>
      <c r="H77" s="417"/>
      <c r="I77" s="417"/>
      <c r="J77" s="417"/>
      <c r="K77" s="417"/>
      <c r="L77" s="417"/>
      <c r="M77" s="417"/>
      <c r="N77" s="417"/>
      <c r="O77" s="417"/>
      <c r="P77" s="417"/>
      <c r="Q77" s="417"/>
      <c r="R77" s="417"/>
      <c r="S77" s="417"/>
      <c r="T77" s="417"/>
      <c r="U77" s="417"/>
      <c r="V77" s="417"/>
      <c r="W77" s="417"/>
      <c r="X77" s="417"/>
      <c r="Y77" s="417"/>
    </row>
    <row r="78" spans="6:25" ht="16.5" customHeight="1">
      <c r="F78" s="417"/>
      <c r="G78" s="417"/>
      <c r="H78" s="417"/>
      <c r="I78" s="417"/>
      <c r="J78" s="417"/>
      <c r="K78" s="417"/>
      <c r="L78" s="417"/>
      <c r="M78" s="417"/>
      <c r="N78" s="417"/>
      <c r="O78" s="417"/>
      <c r="P78" s="417"/>
      <c r="Q78" s="417"/>
      <c r="R78" s="417"/>
      <c r="S78" s="417"/>
      <c r="T78" s="417"/>
      <c r="U78" s="417"/>
      <c r="V78" s="417"/>
      <c r="W78" s="417"/>
      <c r="X78" s="417"/>
      <c r="Y78" s="417"/>
    </row>
    <row r="79" spans="6:25" ht="16.5" customHeight="1">
      <c r="F79" s="417"/>
      <c r="G79" s="417"/>
      <c r="H79" s="417"/>
      <c r="I79" s="417"/>
      <c r="J79" s="417"/>
      <c r="K79" s="417"/>
      <c r="L79" s="417"/>
      <c r="M79" s="417"/>
      <c r="N79" s="417"/>
      <c r="O79" s="417"/>
      <c r="P79" s="417"/>
      <c r="Q79" s="417"/>
      <c r="R79" s="417"/>
      <c r="S79" s="417"/>
      <c r="T79" s="417"/>
      <c r="U79" s="417"/>
      <c r="V79" s="417"/>
      <c r="W79" s="417"/>
      <c r="X79" s="417"/>
      <c r="Y79" s="417"/>
    </row>
    <row r="80" spans="6:25" ht="16.5" customHeight="1">
      <c r="F80" s="417"/>
      <c r="G80" s="417"/>
      <c r="H80" s="417"/>
      <c r="I80" s="417"/>
      <c r="J80" s="417"/>
      <c r="K80" s="417"/>
      <c r="L80" s="417"/>
      <c r="M80" s="417"/>
      <c r="N80" s="417"/>
      <c r="O80" s="417"/>
      <c r="P80" s="417"/>
      <c r="Q80" s="417"/>
      <c r="R80" s="417"/>
      <c r="S80" s="417"/>
      <c r="T80" s="417"/>
      <c r="U80" s="417"/>
      <c r="V80" s="417"/>
      <c r="W80" s="417"/>
      <c r="X80" s="417"/>
      <c r="Y80" s="417"/>
    </row>
    <row r="81" spans="6:25" ht="16.5" customHeight="1">
      <c r="F81" s="417"/>
      <c r="G81" s="417"/>
      <c r="H81" s="417"/>
      <c r="I81" s="417"/>
      <c r="J81" s="417"/>
      <c r="K81" s="417"/>
      <c r="L81" s="417"/>
      <c r="M81" s="417"/>
      <c r="N81" s="417"/>
      <c r="O81" s="417"/>
      <c r="P81" s="417"/>
      <c r="Q81" s="417"/>
      <c r="R81" s="417"/>
      <c r="S81" s="417"/>
      <c r="T81" s="417"/>
      <c r="U81" s="417"/>
      <c r="V81" s="417"/>
      <c r="W81" s="417"/>
      <c r="X81" s="417"/>
      <c r="Y81" s="417"/>
    </row>
    <row r="82" spans="6:25" ht="16.5" customHeight="1">
      <c r="F82" s="417"/>
      <c r="G82" s="417"/>
      <c r="H82" s="417"/>
      <c r="I82" s="417"/>
      <c r="J82" s="417"/>
      <c r="K82" s="417"/>
      <c r="L82" s="417"/>
      <c r="M82" s="417"/>
      <c r="N82" s="417"/>
      <c r="O82" s="417"/>
      <c r="P82" s="417"/>
      <c r="Q82" s="417"/>
      <c r="R82" s="417"/>
      <c r="S82" s="417"/>
      <c r="T82" s="417"/>
      <c r="U82" s="417"/>
      <c r="V82" s="417"/>
      <c r="W82" s="417"/>
      <c r="X82" s="417"/>
      <c r="Y82" s="417"/>
    </row>
    <row r="83" spans="6:25" ht="16.5" customHeight="1">
      <c r="F83" s="417"/>
      <c r="G83" s="417"/>
      <c r="H83" s="417"/>
      <c r="I83" s="417"/>
      <c r="J83" s="417"/>
      <c r="K83" s="417"/>
      <c r="L83" s="417"/>
      <c r="M83" s="417"/>
      <c r="N83" s="417"/>
      <c r="O83" s="417"/>
      <c r="P83" s="417"/>
      <c r="Q83" s="417"/>
      <c r="R83" s="417"/>
      <c r="S83" s="417"/>
      <c r="T83" s="417"/>
      <c r="U83" s="417"/>
      <c r="V83" s="417"/>
      <c r="W83" s="417"/>
      <c r="X83" s="417"/>
      <c r="Y83" s="417"/>
    </row>
    <row r="84" spans="6:25" ht="16.5" customHeight="1">
      <c r="F84" s="417"/>
      <c r="G84" s="417"/>
      <c r="H84" s="417"/>
      <c r="I84" s="417"/>
      <c r="J84" s="417"/>
      <c r="K84" s="417"/>
      <c r="L84" s="417"/>
      <c r="M84" s="417"/>
      <c r="N84" s="417"/>
      <c r="O84" s="417"/>
      <c r="P84" s="417"/>
      <c r="Q84" s="417"/>
      <c r="R84" s="417"/>
      <c r="S84" s="417"/>
      <c r="T84" s="417"/>
      <c r="U84" s="417"/>
      <c r="V84" s="417"/>
      <c r="W84" s="417"/>
      <c r="X84" s="417"/>
      <c r="Y84" s="417"/>
    </row>
    <row r="85" spans="6:25" ht="16.5" customHeight="1">
      <c r="F85" s="417"/>
      <c r="G85" s="417"/>
      <c r="H85" s="417"/>
      <c r="I85" s="417"/>
      <c r="J85" s="417"/>
      <c r="K85" s="417"/>
      <c r="L85" s="417"/>
      <c r="M85" s="417"/>
      <c r="N85" s="417"/>
      <c r="O85" s="417"/>
      <c r="P85" s="417"/>
      <c r="Q85" s="417"/>
      <c r="R85" s="417"/>
      <c r="S85" s="417"/>
      <c r="T85" s="417"/>
      <c r="U85" s="417"/>
      <c r="V85" s="417"/>
      <c r="W85" s="417"/>
      <c r="X85" s="417"/>
      <c r="Y85" s="417"/>
    </row>
    <row r="86" spans="6:25" ht="16.5" customHeight="1">
      <c r="F86" s="417"/>
      <c r="G86" s="417"/>
      <c r="H86" s="417"/>
      <c r="I86" s="417"/>
      <c r="J86" s="417"/>
      <c r="K86" s="417"/>
      <c r="L86" s="417"/>
      <c r="M86" s="417"/>
      <c r="N86" s="417"/>
      <c r="O86" s="417"/>
      <c r="P86" s="417"/>
      <c r="Q86" s="417"/>
      <c r="R86" s="417"/>
      <c r="S86" s="417"/>
      <c r="T86" s="417"/>
      <c r="U86" s="417"/>
      <c r="V86" s="417"/>
      <c r="W86" s="417"/>
      <c r="X86" s="417"/>
      <c r="Y86" s="417"/>
    </row>
    <row r="87" spans="6:25" ht="16.5" customHeight="1">
      <c r="F87" s="417"/>
      <c r="G87" s="417"/>
      <c r="H87" s="417"/>
      <c r="I87" s="417"/>
      <c r="J87" s="417"/>
      <c r="K87" s="417"/>
      <c r="L87" s="417"/>
      <c r="M87" s="417"/>
      <c r="N87" s="417"/>
      <c r="O87" s="417"/>
      <c r="P87" s="417"/>
      <c r="Q87" s="417"/>
      <c r="R87" s="417"/>
      <c r="S87" s="417"/>
      <c r="T87" s="417"/>
      <c r="U87" s="417"/>
      <c r="V87" s="417"/>
      <c r="W87" s="417"/>
      <c r="X87" s="417"/>
      <c r="Y87" s="417"/>
    </row>
    <row r="88" spans="6:25" ht="16.5" customHeight="1">
      <c r="F88" s="417"/>
      <c r="G88" s="417"/>
      <c r="H88" s="417"/>
      <c r="I88" s="417"/>
      <c r="J88" s="417"/>
      <c r="K88" s="417"/>
      <c r="L88" s="417"/>
      <c r="M88" s="417"/>
      <c r="N88" s="417"/>
      <c r="O88" s="417"/>
      <c r="P88" s="417"/>
      <c r="Q88" s="417"/>
      <c r="R88" s="417"/>
      <c r="S88" s="417"/>
      <c r="T88" s="417"/>
      <c r="U88" s="417"/>
      <c r="V88" s="417"/>
      <c r="W88" s="417"/>
      <c r="X88" s="417"/>
      <c r="Y88" s="417"/>
    </row>
    <row r="89" spans="6:25" ht="16.5" customHeight="1">
      <c r="F89" s="417"/>
      <c r="G89" s="417"/>
      <c r="H89" s="417"/>
      <c r="I89" s="417"/>
      <c r="J89" s="417"/>
      <c r="K89" s="417"/>
      <c r="L89" s="417"/>
      <c r="M89" s="417"/>
      <c r="N89" s="417"/>
      <c r="O89" s="417"/>
      <c r="P89" s="417"/>
      <c r="Q89" s="417"/>
      <c r="R89" s="417"/>
      <c r="S89" s="417"/>
      <c r="T89" s="417"/>
      <c r="U89" s="417"/>
      <c r="V89" s="417"/>
      <c r="W89" s="417"/>
      <c r="X89" s="417"/>
      <c r="Y89" s="417"/>
    </row>
    <row r="90" spans="6:25" ht="16.5" customHeight="1">
      <c r="F90" s="417"/>
      <c r="G90" s="417"/>
      <c r="H90" s="417"/>
      <c r="I90" s="417"/>
      <c r="J90" s="417"/>
      <c r="K90" s="417"/>
      <c r="L90" s="417"/>
      <c r="M90" s="417"/>
      <c r="N90" s="417"/>
      <c r="O90" s="417"/>
      <c r="P90" s="417"/>
      <c r="Q90" s="417"/>
      <c r="R90" s="417"/>
      <c r="S90" s="417"/>
      <c r="T90" s="417"/>
      <c r="U90" s="417"/>
      <c r="V90" s="417"/>
      <c r="W90" s="417"/>
      <c r="X90" s="417"/>
      <c r="Y90" s="417"/>
    </row>
    <row r="91" spans="6:25" ht="16.5" customHeight="1">
      <c r="F91" s="417"/>
      <c r="G91" s="417"/>
      <c r="H91" s="417"/>
      <c r="I91" s="417"/>
      <c r="J91" s="417"/>
      <c r="K91" s="417"/>
      <c r="L91" s="417"/>
      <c r="M91" s="417"/>
      <c r="N91" s="417"/>
      <c r="O91" s="417"/>
      <c r="P91" s="417"/>
      <c r="Q91" s="417"/>
      <c r="R91" s="417"/>
      <c r="S91" s="417"/>
      <c r="T91" s="417"/>
      <c r="U91" s="417"/>
      <c r="V91" s="417"/>
      <c r="W91" s="417"/>
      <c r="X91" s="417"/>
      <c r="Y91" s="417"/>
    </row>
    <row r="92" spans="6:25" ht="16.5" customHeight="1">
      <c r="F92" s="417"/>
      <c r="G92" s="417"/>
      <c r="H92" s="417"/>
      <c r="I92" s="417"/>
      <c r="J92" s="417"/>
      <c r="K92" s="417"/>
      <c r="L92" s="417"/>
      <c r="M92" s="417"/>
      <c r="N92" s="417"/>
      <c r="O92" s="417"/>
      <c r="P92" s="417"/>
      <c r="Q92" s="417"/>
      <c r="R92" s="417"/>
      <c r="S92" s="417"/>
      <c r="T92" s="417"/>
      <c r="U92" s="417"/>
      <c r="V92" s="417"/>
      <c r="W92" s="417"/>
      <c r="X92" s="417"/>
      <c r="Y92" s="417"/>
    </row>
    <row r="93" spans="6:25" ht="16.5" customHeight="1">
      <c r="F93" s="417"/>
      <c r="G93" s="417"/>
      <c r="H93" s="417"/>
      <c r="I93" s="417"/>
      <c r="J93" s="417"/>
      <c r="K93" s="417"/>
      <c r="L93" s="417"/>
      <c r="M93" s="417"/>
      <c r="N93" s="417"/>
      <c r="O93" s="417"/>
      <c r="P93" s="417"/>
      <c r="Q93" s="417"/>
      <c r="R93" s="417"/>
      <c r="S93" s="417"/>
      <c r="T93" s="417"/>
      <c r="U93" s="417"/>
      <c r="V93" s="417"/>
      <c r="W93" s="417"/>
      <c r="X93" s="417"/>
      <c r="Y93" s="417"/>
    </row>
    <row r="94" spans="6:25" ht="16.5" customHeight="1">
      <c r="F94" s="417"/>
      <c r="G94" s="417"/>
      <c r="H94" s="417"/>
      <c r="I94" s="417"/>
      <c r="J94" s="417"/>
      <c r="K94" s="417"/>
      <c r="L94" s="417"/>
      <c r="M94" s="417"/>
      <c r="N94" s="417"/>
      <c r="O94" s="417"/>
      <c r="P94" s="417"/>
      <c r="Q94" s="417"/>
      <c r="R94" s="417"/>
      <c r="S94" s="417"/>
      <c r="T94" s="417"/>
      <c r="U94" s="417"/>
      <c r="V94" s="417"/>
      <c r="W94" s="417"/>
      <c r="X94" s="417"/>
      <c r="Y94" s="417"/>
    </row>
    <row r="95" spans="6:25" ht="16.5" customHeight="1">
      <c r="F95" s="417"/>
      <c r="G95" s="417"/>
      <c r="H95" s="417"/>
      <c r="I95" s="417"/>
      <c r="J95" s="417"/>
      <c r="K95" s="417"/>
      <c r="L95" s="417"/>
      <c r="M95" s="417"/>
      <c r="N95" s="417"/>
      <c r="O95" s="417"/>
      <c r="P95" s="417"/>
      <c r="Q95" s="417"/>
      <c r="R95" s="417"/>
      <c r="S95" s="417"/>
      <c r="T95" s="417"/>
      <c r="U95" s="417"/>
      <c r="V95" s="417"/>
      <c r="W95" s="417"/>
      <c r="X95" s="417"/>
      <c r="Y95" s="417"/>
    </row>
    <row r="96" spans="6:25" ht="16.5" customHeight="1">
      <c r="F96" s="417"/>
      <c r="G96" s="417"/>
      <c r="H96" s="417"/>
      <c r="I96" s="417"/>
      <c r="J96" s="417"/>
      <c r="K96" s="417"/>
      <c r="L96" s="417"/>
      <c r="M96" s="417"/>
      <c r="N96" s="417"/>
      <c r="O96" s="417"/>
      <c r="P96" s="417"/>
      <c r="Q96" s="417"/>
      <c r="R96" s="417"/>
      <c r="S96" s="417"/>
      <c r="T96" s="417"/>
      <c r="U96" s="417"/>
      <c r="V96" s="417"/>
      <c r="W96" s="417"/>
      <c r="X96" s="417"/>
      <c r="Y96" s="417"/>
    </row>
    <row r="97" spans="6:25" ht="16.5" customHeight="1">
      <c r="F97" s="417"/>
      <c r="G97" s="417"/>
      <c r="H97" s="417"/>
      <c r="I97" s="417"/>
      <c r="J97" s="417"/>
      <c r="K97" s="417"/>
      <c r="L97" s="417"/>
      <c r="M97" s="417"/>
      <c r="N97" s="417"/>
      <c r="O97" s="417"/>
      <c r="P97" s="417"/>
      <c r="Q97" s="417"/>
      <c r="R97" s="417"/>
      <c r="S97" s="417"/>
      <c r="T97" s="417"/>
      <c r="U97" s="417"/>
      <c r="V97" s="417"/>
      <c r="W97" s="417"/>
      <c r="X97" s="417"/>
      <c r="Y97" s="417"/>
    </row>
    <row r="98" spans="6:25" ht="16.5" customHeight="1">
      <c r="F98" s="417"/>
      <c r="G98" s="417"/>
      <c r="H98" s="417"/>
      <c r="I98" s="417"/>
      <c r="J98" s="417"/>
      <c r="K98" s="417"/>
      <c r="L98" s="417"/>
      <c r="M98" s="417"/>
      <c r="N98" s="417"/>
      <c r="O98" s="417"/>
      <c r="P98" s="417"/>
      <c r="Q98" s="417"/>
      <c r="R98" s="417"/>
      <c r="S98" s="417"/>
      <c r="T98" s="417"/>
      <c r="U98" s="417"/>
      <c r="V98" s="417"/>
      <c r="W98" s="417"/>
      <c r="X98" s="417"/>
      <c r="Y98" s="417"/>
    </row>
    <row r="99" spans="6:25" ht="16.5" customHeight="1">
      <c r="F99" s="417"/>
      <c r="G99" s="417"/>
      <c r="H99" s="417"/>
      <c r="I99" s="417"/>
      <c r="J99" s="417"/>
      <c r="K99" s="417"/>
      <c r="L99" s="417"/>
      <c r="M99" s="417"/>
      <c r="N99" s="417"/>
      <c r="O99" s="417"/>
      <c r="P99" s="417"/>
      <c r="Q99" s="417"/>
      <c r="R99" s="417"/>
      <c r="S99" s="417"/>
      <c r="T99" s="417"/>
      <c r="U99" s="417"/>
      <c r="V99" s="417"/>
      <c r="W99" s="417"/>
      <c r="X99" s="417"/>
      <c r="Y99" s="417"/>
    </row>
    <row r="100" spans="6:25" ht="16.5" customHeight="1">
      <c r="F100" s="417"/>
      <c r="G100" s="417"/>
      <c r="H100" s="417"/>
      <c r="I100" s="417"/>
      <c r="J100" s="417"/>
      <c r="K100" s="417"/>
      <c r="L100" s="417"/>
      <c r="M100" s="417"/>
      <c r="N100" s="417"/>
      <c r="O100" s="417"/>
      <c r="P100" s="417"/>
      <c r="Q100" s="417"/>
      <c r="R100" s="417"/>
      <c r="S100" s="417"/>
      <c r="T100" s="417"/>
      <c r="U100" s="417"/>
      <c r="V100" s="417"/>
      <c r="W100" s="417"/>
      <c r="X100" s="417"/>
      <c r="Y100" s="417"/>
    </row>
    <row r="101" spans="6:25" ht="16.5" customHeight="1">
      <c r="F101" s="417"/>
      <c r="G101" s="417"/>
      <c r="H101" s="417"/>
      <c r="I101" s="417"/>
      <c r="J101" s="417"/>
      <c r="K101" s="417"/>
      <c r="L101" s="417"/>
      <c r="M101" s="417"/>
      <c r="N101" s="417"/>
      <c r="O101" s="417"/>
      <c r="P101" s="417"/>
      <c r="Q101" s="417"/>
      <c r="R101" s="417"/>
      <c r="S101" s="417"/>
      <c r="T101" s="417"/>
      <c r="U101" s="417"/>
      <c r="V101" s="417"/>
      <c r="W101" s="417"/>
      <c r="X101" s="417"/>
      <c r="Y101" s="417"/>
    </row>
    <row r="102" spans="6:25" ht="16.5" customHeight="1">
      <c r="F102" s="417"/>
      <c r="G102" s="417"/>
      <c r="H102" s="417"/>
      <c r="I102" s="417"/>
      <c r="J102" s="417"/>
      <c r="K102" s="417"/>
      <c r="L102" s="417"/>
      <c r="M102" s="417"/>
      <c r="N102" s="417"/>
      <c r="O102" s="417"/>
      <c r="P102" s="417"/>
      <c r="Q102" s="417"/>
      <c r="R102" s="417"/>
      <c r="S102" s="417"/>
      <c r="T102" s="417"/>
      <c r="U102" s="417"/>
      <c r="V102" s="417"/>
      <c r="W102" s="417"/>
      <c r="X102" s="417"/>
      <c r="Y102" s="417"/>
    </row>
    <row r="103" spans="6:25" ht="16.5" customHeight="1">
      <c r="F103" s="417"/>
      <c r="G103" s="417"/>
      <c r="H103" s="417"/>
      <c r="I103" s="417"/>
      <c r="J103" s="417"/>
      <c r="K103" s="417"/>
      <c r="L103" s="417"/>
      <c r="M103" s="417"/>
      <c r="N103" s="417"/>
      <c r="O103" s="417"/>
      <c r="P103" s="417"/>
      <c r="Q103" s="417"/>
      <c r="R103" s="417"/>
      <c r="S103" s="417"/>
      <c r="T103" s="417"/>
      <c r="U103" s="417"/>
      <c r="V103" s="417"/>
      <c r="W103" s="417"/>
      <c r="X103" s="417"/>
      <c r="Y103" s="417"/>
    </row>
    <row r="104" spans="6:25" ht="16.5" customHeight="1">
      <c r="F104" s="417"/>
      <c r="G104" s="417"/>
      <c r="H104" s="417"/>
      <c r="I104" s="417"/>
      <c r="J104" s="417"/>
      <c r="K104" s="417"/>
      <c r="L104" s="417"/>
      <c r="M104" s="417"/>
      <c r="N104" s="417"/>
      <c r="O104" s="417"/>
      <c r="P104" s="417"/>
      <c r="Q104" s="417"/>
      <c r="R104" s="417"/>
      <c r="S104" s="417"/>
      <c r="T104" s="417"/>
      <c r="U104" s="417"/>
      <c r="V104" s="417"/>
      <c r="W104" s="417"/>
      <c r="X104" s="417"/>
      <c r="Y104" s="417"/>
    </row>
    <row r="105" spans="6:25" ht="16.5" customHeight="1">
      <c r="F105" s="417"/>
      <c r="G105" s="417"/>
      <c r="H105" s="417"/>
      <c r="I105" s="417"/>
      <c r="J105" s="417"/>
      <c r="K105" s="417"/>
      <c r="L105" s="417"/>
      <c r="M105" s="417"/>
      <c r="N105" s="417"/>
      <c r="O105" s="417"/>
      <c r="P105" s="417"/>
      <c r="Q105" s="417"/>
      <c r="R105" s="417"/>
      <c r="S105" s="417"/>
      <c r="T105" s="417"/>
      <c r="U105" s="417"/>
      <c r="V105" s="417"/>
      <c r="W105" s="417"/>
      <c r="X105" s="417"/>
      <c r="Y105" s="417"/>
    </row>
    <row r="106" spans="6:25" ht="16.5" customHeight="1">
      <c r="F106" s="417"/>
      <c r="G106" s="417"/>
      <c r="H106" s="417"/>
      <c r="I106" s="417"/>
      <c r="J106" s="417"/>
      <c r="K106" s="417"/>
      <c r="L106" s="417"/>
      <c r="M106" s="417"/>
      <c r="N106" s="417"/>
      <c r="O106" s="417"/>
      <c r="P106" s="417"/>
      <c r="Q106" s="417"/>
      <c r="R106" s="417"/>
      <c r="S106" s="417"/>
      <c r="T106" s="417"/>
      <c r="U106" s="417"/>
      <c r="V106" s="417"/>
      <c r="W106" s="417"/>
      <c r="X106" s="417"/>
      <c r="Y106" s="417"/>
    </row>
    <row r="107" spans="6:25" ht="16.5" customHeight="1">
      <c r="F107" s="417"/>
      <c r="G107" s="417"/>
      <c r="H107" s="417"/>
      <c r="I107" s="417"/>
      <c r="J107" s="417"/>
      <c r="K107" s="417"/>
      <c r="L107" s="417"/>
      <c r="M107" s="417"/>
      <c r="N107" s="417"/>
      <c r="O107" s="417"/>
      <c r="P107" s="417"/>
      <c r="Q107" s="417"/>
      <c r="R107" s="417"/>
      <c r="S107" s="417"/>
      <c r="T107" s="417"/>
      <c r="U107" s="417"/>
      <c r="V107" s="417"/>
      <c r="W107" s="417"/>
      <c r="X107" s="417"/>
      <c r="Y107" s="417"/>
    </row>
    <row r="108" spans="6:25" ht="16.5" customHeight="1">
      <c r="F108" s="417"/>
      <c r="G108" s="417"/>
      <c r="H108" s="417"/>
      <c r="I108" s="417"/>
      <c r="J108" s="417"/>
      <c r="K108" s="417"/>
      <c r="L108" s="417"/>
      <c r="M108" s="417"/>
      <c r="N108" s="417"/>
      <c r="O108" s="417"/>
      <c r="P108" s="417"/>
      <c r="Q108" s="417"/>
      <c r="R108" s="417"/>
      <c r="S108" s="417"/>
      <c r="T108" s="417"/>
      <c r="U108" s="417"/>
      <c r="V108" s="417"/>
      <c r="W108" s="417"/>
      <c r="X108" s="417"/>
      <c r="Y108" s="417"/>
    </row>
    <row r="109" spans="6:25" ht="16.5" customHeight="1">
      <c r="F109" s="417"/>
      <c r="G109" s="417"/>
      <c r="H109" s="417"/>
      <c r="I109" s="417"/>
      <c r="J109" s="417"/>
      <c r="K109" s="417"/>
      <c r="L109" s="417"/>
      <c r="M109" s="417"/>
      <c r="N109" s="417"/>
      <c r="O109" s="417"/>
      <c r="P109" s="417"/>
      <c r="Q109" s="417"/>
      <c r="R109" s="417"/>
      <c r="S109" s="417"/>
      <c r="T109" s="417"/>
      <c r="U109" s="417"/>
      <c r="V109" s="417"/>
      <c r="W109" s="417"/>
      <c r="X109" s="417"/>
      <c r="Y109" s="417"/>
    </row>
    <row r="110" spans="6:25" ht="16.5" customHeight="1">
      <c r="F110" s="417"/>
      <c r="G110" s="417"/>
      <c r="H110" s="417"/>
      <c r="I110" s="417"/>
      <c r="J110" s="417"/>
      <c r="K110" s="417"/>
      <c r="L110" s="417"/>
      <c r="M110" s="417"/>
      <c r="N110" s="417"/>
      <c r="O110" s="417"/>
      <c r="P110" s="417"/>
      <c r="Q110" s="417"/>
      <c r="R110" s="417"/>
      <c r="S110" s="417"/>
      <c r="T110" s="417"/>
      <c r="U110" s="417"/>
      <c r="V110" s="417"/>
      <c r="W110" s="417"/>
      <c r="X110" s="417"/>
      <c r="Y110" s="417"/>
    </row>
    <row r="111" spans="6:25" ht="16.5" customHeight="1">
      <c r="F111" s="417"/>
      <c r="G111" s="417"/>
      <c r="H111" s="417"/>
      <c r="I111" s="417"/>
      <c r="J111" s="417"/>
      <c r="K111" s="417"/>
      <c r="L111" s="417"/>
      <c r="M111" s="417"/>
      <c r="N111" s="417"/>
      <c r="O111" s="417"/>
      <c r="P111" s="417"/>
      <c r="Q111" s="417"/>
      <c r="R111" s="417"/>
      <c r="S111" s="417"/>
      <c r="T111" s="417"/>
      <c r="U111" s="417"/>
      <c r="V111" s="417"/>
      <c r="W111" s="417"/>
      <c r="X111" s="417"/>
      <c r="Y111" s="417"/>
    </row>
    <row r="112" spans="6:25" ht="16.5" customHeight="1">
      <c r="F112" s="417"/>
      <c r="G112" s="417"/>
      <c r="H112" s="417"/>
      <c r="I112" s="417"/>
      <c r="J112" s="417"/>
      <c r="K112" s="417"/>
      <c r="L112" s="417"/>
      <c r="M112" s="417"/>
      <c r="N112" s="417"/>
      <c r="O112" s="417"/>
      <c r="P112" s="417"/>
      <c r="Q112" s="417"/>
      <c r="R112" s="417"/>
      <c r="S112" s="417"/>
      <c r="T112" s="417"/>
      <c r="U112" s="417"/>
      <c r="V112" s="417"/>
      <c r="W112" s="417"/>
      <c r="X112" s="417"/>
      <c r="Y112" s="417"/>
    </row>
    <row r="113" spans="6:25" ht="16.5" customHeight="1">
      <c r="F113" s="417"/>
      <c r="G113" s="417"/>
      <c r="H113" s="417"/>
      <c r="I113" s="417"/>
      <c r="J113" s="417"/>
      <c r="K113" s="417"/>
      <c r="L113" s="417"/>
      <c r="M113" s="417"/>
      <c r="N113" s="417"/>
      <c r="O113" s="417"/>
      <c r="P113" s="417"/>
      <c r="Q113" s="417"/>
      <c r="R113" s="417"/>
      <c r="S113" s="417"/>
      <c r="T113" s="417"/>
      <c r="U113" s="417"/>
      <c r="V113" s="417"/>
      <c r="W113" s="417"/>
      <c r="X113" s="417"/>
      <c r="Y113" s="417"/>
    </row>
    <row r="114" spans="6:25" ht="16.5" customHeight="1">
      <c r="F114" s="417"/>
      <c r="G114" s="417"/>
      <c r="H114" s="417"/>
      <c r="I114" s="417"/>
      <c r="J114" s="417"/>
      <c r="K114" s="417"/>
      <c r="L114" s="417"/>
      <c r="M114" s="417"/>
      <c r="N114" s="417"/>
      <c r="O114" s="417"/>
      <c r="P114" s="417"/>
      <c r="Q114" s="417"/>
      <c r="R114" s="417"/>
      <c r="S114" s="417"/>
      <c r="T114" s="417"/>
      <c r="U114" s="417"/>
      <c r="V114" s="417"/>
      <c r="W114" s="417"/>
      <c r="X114" s="417"/>
      <c r="Y114" s="417"/>
    </row>
    <row r="115" spans="6:25" ht="16.5" customHeight="1">
      <c r="F115" s="417"/>
      <c r="G115" s="417"/>
      <c r="H115" s="417"/>
      <c r="I115" s="417"/>
      <c r="J115" s="417"/>
      <c r="K115" s="417"/>
      <c r="L115" s="417"/>
      <c r="M115" s="417"/>
      <c r="N115" s="417"/>
      <c r="O115" s="417"/>
      <c r="P115" s="417"/>
      <c r="Q115" s="417"/>
      <c r="R115" s="417"/>
      <c r="S115" s="417"/>
      <c r="T115" s="417"/>
      <c r="U115" s="417"/>
      <c r="V115" s="417"/>
      <c r="W115" s="417"/>
      <c r="X115" s="417"/>
      <c r="Y115" s="417"/>
    </row>
    <row r="116" spans="6:25" ht="16.5" customHeight="1">
      <c r="F116" s="417"/>
      <c r="G116" s="417"/>
      <c r="H116" s="417"/>
      <c r="I116" s="417"/>
      <c r="J116" s="417"/>
      <c r="K116" s="417"/>
      <c r="L116" s="417"/>
      <c r="M116" s="417"/>
      <c r="N116" s="417"/>
      <c r="O116" s="417"/>
      <c r="P116" s="417"/>
      <c r="Q116" s="417"/>
      <c r="R116" s="417"/>
      <c r="S116" s="417"/>
      <c r="T116" s="417"/>
      <c r="U116" s="417"/>
      <c r="V116" s="417"/>
      <c r="W116" s="417"/>
      <c r="X116" s="417"/>
      <c r="Y116" s="417"/>
    </row>
    <row r="117" spans="6:25" ht="16.5" customHeight="1">
      <c r="F117" s="417"/>
      <c r="G117" s="417"/>
      <c r="H117" s="417"/>
      <c r="I117" s="417"/>
      <c r="J117" s="417"/>
      <c r="K117" s="417"/>
      <c r="L117" s="417"/>
      <c r="M117" s="417"/>
      <c r="N117" s="417"/>
      <c r="O117" s="417"/>
      <c r="P117" s="417"/>
      <c r="Q117" s="417"/>
      <c r="R117" s="417"/>
      <c r="S117" s="417"/>
      <c r="T117" s="417"/>
      <c r="U117" s="417"/>
      <c r="V117" s="417"/>
      <c r="W117" s="417"/>
      <c r="X117" s="417"/>
      <c r="Y117" s="417"/>
    </row>
    <row r="118" spans="6:25" ht="16.5" customHeight="1">
      <c r="F118" s="417"/>
      <c r="G118" s="417"/>
      <c r="H118" s="417"/>
      <c r="I118" s="417"/>
      <c r="J118" s="417"/>
      <c r="K118" s="417"/>
      <c r="L118" s="417"/>
      <c r="M118" s="417"/>
      <c r="N118" s="417"/>
      <c r="O118" s="417"/>
      <c r="P118" s="417"/>
      <c r="Q118" s="417"/>
      <c r="R118" s="417"/>
      <c r="S118" s="417"/>
      <c r="T118" s="417"/>
      <c r="U118" s="417"/>
      <c r="V118" s="417"/>
      <c r="W118" s="417"/>
      <c r="X118" s="417"/>
      <c r="Y118" s="417"/>
    </row>
    <row r="119" spans="6:25" ht="16.5" customHeight="1">
      <c r="F119" s="417"/>
      <c r="G119" s="417"/>
      <c r="H119" s="417"/>
      <c r="I119" s="417"/>
      <c r="J119" s="417"/>
      <c r="K119" s="417"/>
      <c r="L119" s="417"/>
      <c r="M119" s="417"/>
      <c r="N119" s="417"/>
      <c r="O119" s="417"/>
      <c r="P119" s="417"/>
      <c r="Q119" s="417"/>
      <c r="R119" s="417"/>
      <c r="S119" s="417"/>
      <c r="T119" s="417"/>
      <c r="U119" s="417"/>
      <c r="V119" s="417"/>
      <c r="W119" s="417"/>
      <c r="X119" s="417"/>
      <c r="Y119" s="417"/>
    </row>
    <row r="120" spans="6:25" ht="16.5" customHeight="1">
      <c r="F120" s="417"/>
      <c r="G120" s="417"/>
      <c r="H120" s="417"/>
      <c r="I120" s="417"/>
      <c r="J120" s="417"/>
      <c r="K120" s="417"/>
      <c r="L120" s="417"/>
      <c r="M120" s="417"/>
      <c r="N120" s="417"/>
      <c r="O120" s="417"/>
      <c r="P120" s="417"/>
      <c r="Q120" s="417"/>
      <c r="R120" s="417"/>
      <c r="S120" s="417"/>
      <c r="T120" s="417"/>
      <c r="U120" s="417"/>
      <c r="V120" s="417"/>
      <c r="W120" s="417"/>
      <c r="X120" s="417"/>
      <c r="Y120" s="417"/>
    </row>
    <row r="121" spans="6:25" ht="16.5" customHeight="1">
      <c r="F121" s="417"/>
      <c r="G121" s="417"/>
      <c r="H121" s="417"/>
      <c r="I121" s="417"/>
      <c r="J121" s="417"/>
      <c r="K121" s="417"/>
      <c r="L121" s="417"/>
      <c r="M121" s="417"/>
      <c r="N121" s="417"/>
      <c r="O121" s="417"/>
      <c r="P121" s="417"/>
      <c r="Q121" s="417"/>
      <c r="R121" s="417"/>
      <c r="S121" s="417"/>
      <c r="T121" s="417"/>
      <c r="U121" s="417"/>
      <c r="V121" s="417"/>
      <c r="W121" s="417"/>
      <c r="X121" s="417"/>
      <c r="Y121" s="417"/>
    </row>
    <row r="122" spans="6:25" ht="16.5" customHeight="1">
      <c r="F122" s="417"/>
      <c r="G122" s="417"/>
      <c r="H122" s="417"/>
      <c r="I122" s="417"/>
      <c r="J122" s="417"/>
      <c r="K122" s="417"/>
      <c r="L122" s="417"/>
      <c r="M122" s="417"/>
      <c r="N122" s="417"/>
      <c r="O122" s="417"/>
      <c r="P122" s="417"/>
      <c r="Q122" s="417"/>
      <c r="R122" s="417"/>
      <c r="S122" s="417"/>
      <c r="T122" s="417"/>
      <c r="U122" s="417"/>
      <c r="V122" s="417"/>
      <c r="W122" s="417"/>
      <c r="X122" s="417"/>
      <c r="Y122" s="417"/>
    </row>
    <row r="123" spans="6:25" ht="16.5" customHeight="1">
      <c r="F123" s="417"/>
      <c r="G123" s="417"/>
      <c r="H123" s="417"/>
      <c r="I123" s="417"/>
      <c r="J123" s="417"/>
      <c r="K123" s="417"/>
      <c r="L123" s="417"/>
      <c r="M123" s="417"/>
      <c r="N123" s="417"/>
      <c r="O123" s="417"/>
      <c r="P123" s="417"/>
      <c r="Q123" s="417"/>
      <c r="R123" s="417"/>
      <c r="S123" s="417"/>
      <c r="T123" s="417"/>
      <c r="U123" s="417"/>
      <c r="V123" s="417"/>
      <c r="W123" s="417"/>
      <c r="X123" s="417"/>
      <c r="Y123" s="417"/>
    </row>
    <row r="124" spans="6:25" ht="16.5" customHeight="1">
      <c r="F124" s="417"/>
      <c r="G124" s="417"/>
      <c r="H124" s="417"/>
      <c r="I124" s="417"/>
      <c r="J124" s="417"/>
      <c r="K124" s="417"/>
      <c r="L124" s="417"/>
      <c r="M124" s="417"/>
      <c r="N124" s="417"/>
      <c r="O124" s="417"/>
      <c r="P124" s="417"/>
      <c r="Q124" s="417"/>
      <c r="R124" s="417"/>
      <c r="S124" s="417"/>
      <c r="T124" s="417"/>
      <c r="U124" s="417"/>
      <c r="V124" s="417"/>
      <c r="W124" s="417"/>
      <c r="X124" s="417"/>
      <c r="Y124" s="417"/>
    </row>
    <row r="125" spans="6:25" ht="16.5" customHeight="1">
      <c r="F125" s="417"/>
      <c r="G125" s="417"/>
      <c r="H125" s="417"/>
      <c r="I125" s="417"/>
      <c r="J125" s="417"/>
      <c r="K125" s="417"/>
      <c r="L125" s="417"/>
      <c r="M125" s="417"/>
      <c r="N125" s="417"/>
      <c r="O125" s="417"/>
      <c r="P125" s="417"/>
      <c r="Q125" s="417"/>
      <c r="R125" s="417"/>
      <c r="S125" s="417"/>
      <c r="T125" s="417"/>
      <c r="U125" s="417"/>
      <c r="V125" s="417"/>
      <c r="W125" s="417"/>
      <c r="X125" s="417"/>
      <c r="Y125" s="417"/>
    </row>
    <row r="126" spans="6:25" ht="16.5" customHeight="1">
      <c r="F126" s="417"/>
      <c r="G126" s="417"/>
      <c r="H126" s="417"/>
      <c r="I126" s="417"/>
      <c r="J126" s="417"/>
      <c r="K126" s="417"/>
      <c r="L126" s="417"/>
      <c r="M126" s="417"/>
      <c r="N126" s="417"/>
      <c r="O126" s="417"/>
      <c r="P126" s="417"/>
      <c r="Q126" s="417"/>
      <c r="R126" s="417"/>
      <c r="S126" s="417"/>
      <c r="T126" s="417"/>
      <c r="U126" s="417"/>
      <c r="V126" s="417"/>
      <c r="W126" s="417"/>
      <c r="X126" s="417"/>
      <c r="Y126" s="417"/>
    </row>
    <row r="127" spans="6:25" ht="16.5" customHeight="1">
      <c r="F127" s="417"/>
      <c r="G127" s="417"/>
      <c r="H127" s="417"/>
      <c r="I127" s="417"/>
      <c r="J127" s="417"/>
      <c r="K127" s="417"/>
      <c r="L127" s="417"/>
      <c r="M127" s="417"/>
      <c r="N127" s="417"/>
      <c r="O127" s="417"/>
      <c r="P127" s="417"/>
      <c r="Q127" s="417"/>
      <c r="R127" s="417"/>
      <c r="S127" s="417"/>
      <c r="T127" s="417"/>
      <c r="U127" s="417"/>
      <c r="V127" s="417"/>
      <c r="W127" s="417"/>
      <c r="X127" s="417"/>
      <c r="Y127" s="417"/>
    </row>
    <row r="128" spans="6:25" ht="16.5" customHeight="1">
      <c r="F128" s="417"/>
      <c r="G128" s="417"/>
      <c r="H128" s="417"/>
      <c r="I128" s="417"/>
      <c r="J128" s="417"/>
      <c r="K128" s="417"/>
      <c r="L128" s="417"/>
      <c r="M128" s="417"/>
      <c r="N128" s="417"/>
      <c r="O128" s="417"/>
      <c r="P128" s="417"/>
      <c r="Q128" s="417"/>
      <c r="R128" s="417"/>
      <c r="S128" s="417"/>
      <c r="T128" s="417"/>
      <c r="U128" s="417"/>
      <c r="V128" s="417"/>
      <c r="W128" s="417"/>
      <c r="X128" s="417"/>
      <c r="Y128" s="417"/>
    </row>
    <row r="129" spans="6:25" ht="16.5" customHeight="1">
      <c r="F129" s="417"/>
      <c r="G129" s="417"/>
      <c r="H129" s="417"/>
      <c r="I129" s="417"/>
      <c r="J129" s="417"/>
      <c r="K129" s="417"/>
      <c r="L129" s="417"/>
      <c r="M129" s="417"/>
      <c r="N129" s="417"/>
      <c r="O129" s="417"/>
      <c r="P129" s="417"/>
      <c r="Q129" s="417"/>
      <c r="R129" s="417"/>
      <c r="S129" s="417"/>
      <c r="T129" s="417"/>
      <c r="U129" s="417"/>
      <c r="V129" s="417"/>
      <c r="W129" s="417"/>
      <c r="X129" s="417"/>
      <c r="Y129" s="417"/>
    </row>
    <row r="130" spans="6:25" ht="16.5" customHeight="1">
      <c r="F130" s="417"/>
      <c r="G130" s="417"/>
      <c r="H130" s="417"/>
      <c r="I130" s="417"/>
      <c r="J130" s="417"/>
      <c r="K130" s="417"/>
      <c r="L130" s="417"/>
      <c r="M130" s="417"/>
      <c r="N130" s="417"/>
      <c r="O130" s="417"/>
      <c r="P130" s="417"/>
      <c r="Q130" s="417"/>
      <c r="R130" s="417"/>
      <c r="S130" s="417"/>
      <c r="T130" s="417"/>
      <c r="U130" s="417"/>
      <c r="V130" s="417"/>
      <c r="W130" s="417"/>
      <c r="X130" s="417"/>
      <c r="Y130" s="417"/>
    </row>
    <row r="131" spans="6:25" ht="16.5" customHeight="1">
      <c r="F131" s="417"/>
      <c r="G131" s="417"/>
      <c r="H131" s="417"/>
      <c r="I131" s="417"/>
      <c r="J131" s="417"/>
      <c r="K131" s="417"/>
      <c r="L131" s="417"/>
      <c r="M131" s="417"/>
      <c r="N131" s="417"/>
      <c r="O131" s="417"/>
      <c r="P131" s="417"/>
      <c r="Q131" s="417"/>
      <c r="R131" s="417"/>
      <c r="S131" s="417"/>
      <c r="T131" s="417"/>
      <c r="U131" s="417"/>
      <c r="V131" s="417"/>
      <c r="W131" s="417"/>
      <c r="X131" s="417"/>
      <c r="Y131" s="417"/>
    </row>
    <row r="132" spans="6:25" ht="16.5" customHeight="1">
      <c r="F132" s="417"/>
      <c r="G132" s="417"/>
      <c r="H132" s="417"/>
      <c r="I132" s="417"/>
      <c r="J132" s="417"/>
      <c r="K132" s="417"/>
      <c r="L132" s="417"/>
      <c r="M132" s="417"/>
      <c r="N132" s="417"/>
      <c r="O132" s="417"/>
      <c r="P132" s="417"/>
      <c r="Q132" s="417"/>
      <c r="R132" s="417"/>
      <c r="S132" s="417"/>
      <c r="T132" s="417"/>
      <c r="U132" s="417"/>
      <c r="V132" s="417"/>
      <c r="W132" s="417"/>
      <c r="X132" s="417"/>
      <c r="Y132" s="417"/>
    </row>
    <row r="133" spans="6:25" ht="16.5" customHeight="1">
      <c r="F133" s="417"/>
      <c r="G133" s="417"/>
      <c r="H133" s="417"/>
      <c r="I133" s="417"/>
      <c r="J133" s="417"/>
      <c r="K133" s="417"/>
      <c r="L133" s="417"/>
      <c r="M133" s="417"/>
      <c r="N133" s="417"/>
      <c r="O133" s="417"/>
      <c r="P133" s="417"/>
      <c r="Q133" s="417"/>
      <c r="R133" s="417"/>
      <c r="S133" s="417"/>
      <c r="T133" s="417"/>
      <c r="U133" s="417"/>
      <c r="V133" s="417"/>
      <c r="W133" s="417"/>
      <c r="X133" s="417"/>
      <c r="Y133" s="417"/>
    </row>
    <row r="134" spans="6:25" ht="16.5" customHeight="1">
      <c r="F134" s="417"/>
      <c r="G134" s="417"/>
      <c r="H134" s="417"/>
      <c r="I134" s="417"/>
      <c r="J134" s="417"/>
      <c r="K134" s="417"/>
      <c r="L134" s="417"/>
      <c r="M134" s="417"/>
      <c r="N134" s="417"/>
      <c r="O134" s="417"/>
      <c r="P134" s="417"/>
      <c r="Q134" s="417"/>
      <c r="R134" s="417"/>
      <c r="S134" s="417"/>
      <c r="T134" s="417"/>
      <c r="U134" s="417"/>
      <c r="V134" s="417"/>
      <c r="W134" s="417"/>
      <c r="X134" s="417"/>
      <c r="Y134" s="417"/>
    </row>
    <row r="135" spans="6:25" ht="16.5" customHeight="1">
      <c r="F135" s="417"/>
      <c r="G135" s="417"/>
      <c r="H135" s="417"/>
      <c r="I135" s="417"/>
      <c r="J135" s="417"/>
      <c r="K135" s="417"/>
      <c r="L135" s="417"/>
      <c r="M135" s="417"/>
      <c r="N135" s="417"/>
      <c r="O135" s="417"/>
      <c r="P135" s="417"/>
      <c r="Q135" s="417"/>
      <c r="R135" s="417"/>
      <c r="S135" s="417"/>
      <c r="T135" s="417"/>
      <c r="U135" s="417"/>
      <c r="V135" s="417"/>
      <c r="W135" s="417"/>
      <c r="X135" s="417"/>
      <c r="Y135" s="417"/>
    </row>
    <row r="136" spans="6:25" ht="16.5" customHeight="1">
      <c r="F136" s="417"/>
      <c r="G136" s="417"/>
      <c r="H136" s="417"/>
      <c r="I136" s="417"/>
      <c r="J136" s="417"/>
      <c r="K136" s="417"/>
      <c r="L136" s="417"/>
      <c r="M136" s="417"/>
      <c r="N136" s="417"/>
      <c r="O136" s="417"/>
      <c r="P136" s="417"/>
      <c r="Q136" s="417"/>
      <c r="R136" s="417"/>
      <c r="S136" s="417"/>
      <c r="T136" s="417"/>
      <c r="U136" s="417"/>
      <c r="V136" s="417"/>
      <c r="W136" s="417"/>
      <c r="X136" s="417"/>
      <c r="Y136" s="417"/>
    </row>
    <row r="137" spans="6:25" ht="16.5" customHeight="1">
      <c r="F137" s="417"/>
      <c r="G137" s="417"/>
      <c r="H137" s="417"/>
      <c r="I137" s="417"/>
      <c r="J137" s="417"/>
      <c r="K137" s="417"/>
      <c r="L137" s="417"/>
      <c r="M137" s="417"/>
      <c r="N137" s="417"/>
      <c r="O137" s="417"/>
      <c r="P137" s="417"/>
      <c r="Q137" s="417"/>
      <c r="R137" s="417"/>
      <c r="S137" s="417"/>
      <c r="T137" s="417"/>
      <c r="U137" s="417"/>
      <c r="V137" s="417"/>
      <c r="W137" s="417"/>
      <c r="X137" s="417"/>
      <c r="Y137" s="417"/>
    </row>
    <row r="138" spans="6:25" ht="16.5" customHeight="1">
      <c r="F138" s="417"/>
      <c r="G138" s="417"/>
      <c r="H138" s="417"/>
      <c r="I138" s="417"/>
      <c r="J138" s="417"/>
      <c r="K138" s="417"/>
      <c r="L138" s="417"/>
      <c r="M138" s="417"/>
      <c r="N138" s="417"/>
      <c r="O138" s="417"/>
      <c r="P138" s="417"/>
      <c r="Q138" s="417"/>
      <c r="R138" s="417"/>
      <c r="S138" s="417"/>
      <c r="T138" s="417"/>
      <c r="U138" s="417"/>
      <c r="V138" s="417"/>
      <c r="W138" s="417"/>
      <c r="X138" s="417"/>
      <c r="Y138" s="417"/>
    </row>
    <row r="139" spans="6:25" ht="16.5" customHeight="1">
      <c r="F139" s="417"/>
      <c r="G139" s="417"/>
      <c r="H139" s="417"/>
      <c r="I139" s="417"/>
      <c r="J139" s="417"/>
      <c r="K139" s="417"/>
      <c r="L139" s="417"/>
      <c r="M139" s="417"/>
      <c r="N139" s="417"/>
      <c r="O139" s="417"/>
      <c r="P139" s="417"/>
      <c r="Q139" s="417"/>
      <c r="R139" s="417"/>
      <c r="S139" s="417"/>
      <c r="T139" s="417"/>
      <c r="U139" s="417"/>
      <c r="V139" s="417"/>
      <c r="W139" s="417"/>
      <c r="X139" s="417"/>
      <c r="Y139" s="417"/>
    </row>
    <row r="140" spans="6:25" ht="16.5" customHeight="1">
      <c r="F140" s="417"/>
      <c r="G140" s="417"/>
      <c r="H140" s="417"/>
      <c r="I140" s="417"/>
      <c r="J140" s="417"/>
      <c r="K140" s="417"/>
      <c r="L140" s="417"/>
      <c r="M140" s="417"/>
      <c r="N140" s="417"/>
      <c r="O140" s="417"/>
      <c r="P140" s="417"/>
      <c r="Q140" s="417"/>
      <c r="R140" s="417"/>
      <c r="S140" s="417"/>
      <c r="T140" s="417"/>
      <c r="U140" s="417"/>
      <c r="V140" s="417"/>
      <c r="W140" s="417"/>
      <c r="X140" s="417"/>
      <c r="Y140" s="417"/>
    </row>
    <row r="141" spans="6:25" ht="16.5" customHeight="1">
      <c r="F141" s="417"/>
      <c r="G141" s="417"/>
      <c r="H141" s="417"/>
      <c r="I141" s="417"/>
      <c r="J141" s="417"/>
      <c r="K141" s="417"/>
      <c r="L141" s="417"/>
      <c r="M141" s="417"/>
      <c r="N141" s="417"/>
      <c r="O141" s="417"/>
      <c r="P141" s="417"/>
      <c r="Q141" s="417"/>
      <c r="R141" s="417"/>
      <c r="S141" s="417"/>
      <c r="T141" s="417"/>
      <c r="U141" s="417"/>
      <c r="V141" s="417"/>
      <c r="W141" s="417"/>
      <c r="X141" s="417"/>
      <c r="Y141" s="417"/>
    </row>
    <row r="142" spans="6:25" ht="16.5" customHeight="1">
      <c r="F142" s="417"/>
      <c r="G142" s="417"/>
      <c r="H142" s="417"/>
      <c r="I142" s="417"/>
      <c r="J142" s="417"/>
      <c r="K142" s="417"/>
      <c r="L142" s="417"/>
      <c r="M142" s="417"/>
      <c r="N142" s="417"/>
      <c r="O142" s="417"/>
      <c r="P142" s="417"/>
      <c r="Q142" s="417"/>
      <c r="R142" s="417"/>
      <c r="S142" s="417"/>
      <c r="T142" s="417"/>
      <c r="U142" s="417"/>
      <c r="V142" s="417"/>
      <c r="W142" s="417"/>
      <c r="X142" s="417"/>
      <c r="Y142" s="417"/>
    </row>
    <row r="143" spans="6:25" ht="16.5" customHeight="1">
      <c r="F143" s="417"/>
      <c r="G143" s="417"/>
      <c r="H143" s="417"/>
      <c r="I143" s="417"/>
      <c r="J143" s="417"/>
      <c r="K143" s="417"/>
      <c r="L143" s="417"/>
      <c r="M143" s="417"/>
      <c r="N143" s="417"/>
      <c r="O143" s="417"/>
      <c r="P143" s="417"/>
      <c r="Q143" s="417"/>
      <c r="R143" s="417"/>
      <c r="S143" s="417"/>
      <c r="T143" s="417"/>
      <c r="U143" s="417"/>
      <c r="V143" s="417"/>
      <c r="W143" s="417"/>
      <c r="X143" s="417"/>
      <c r="Y143" s="417"/>
    </row>
    <row r="144" spans="6:25" ht="16.5" customHeight="1">
      <c r="F144" s="417"/>
      <c r="G144" s="417"/>
      <c r="H144" s="417"/>
      <c r="I144" s="417"/>
      <c r="J144" s="417"/>
      <c r="K144" s="417"/>
      <c r="L144" s="417"/>
      <c r="M144" s="417"/>
      <c r="N144" s="417"/>
      <c r="O144" s="417"/>
      <c r="P144" s="417"/>
      <c r="Q144" s="417"/>
      <c r="R144" s="417"/>
      <c r="S144" s="417"/>
      <c r="T144" s="417"/>
      <c r="U144" s="417"/>
      <c r="V144" s="417"/>
      <c r="W144" s="417"/>
      <c r="X144" s="417"/>
      <c r="Y144" s="417"/>
    </row>
    <row r="145" spans="6:25" ht="16.5" customHeight="1">
      <c r="F145" s="417"/>
      <c r="G145" s="417"/>
      <c r="H145" s="417"/>
      <c r="I145" s="417"/>
      <c r="J145" s="417"/>
      <c r="K145" s="417"/>
      <c r="L145" s="417"/>
      <c r="M145" s="417"/>
      <c r="N145" s="417"/>
      <c r="O145" s="417"/>
      <c r="P145" s="417"/>
      <c r="Q145" s="417"/>
      <c r="R145" s="417"/>
      <c r="S145" s="417"/>
      <c r="T145" s="417"/>
      <c r="U145" s="417"/>
      <c r="V145" s="417"/>
      <c r="W145" s="417"/>
      <c r="X145" s="417"/>
      <c r="Y145" s="417"/>
    </row>
    <row r="146" spans="6:25" ht="16.5" customHeight="1">
      <c r="F146" s="417"/>
      <c r="G146" s="417"/>
      <c r="H146" s="417"/>
      <c r="I146" s="417"/>
      <c r="J146" s="417"/>
      <c r="K146" s="417"/>
      <c r="L146" s="417"/>
      <c r="M146" s="417"/>
      <c r="N146" s="417"/>
      <c r="O146" s="417"/>
      <c r="P146" s="417"/>
      <c r="Q146" s="417"/>
      <c r="R146" s="417"/>
      <c r="S146" s="417"/>
      <c r="T146" s="417"/>
      <c r="U146" s="417"/>
      <c r="V146" s="417"/>
      <c r="W146" s="417"/>
      <c r="X146" s="417"/>
      <c r="Y146" s="417"/>
    </row>
    <row r="147" spans="6:25" ht="16.5" customHeight="1">
      <c r="F147" s="417"/>
      <c r="G147" s="417"/>
      <c r="H147" s="417"/>
      <c r="I147" s="417"/>
      <c r="J147" s="417"/>
      <c r="K147" s="417"/>
      <c r="L147" s="417"/>
      <c r="M147" s="417"/>
      <c r="N147" s="417"/>
      <c r="O147" s="417"/>
      <c r="P147" s="417"/>
      <c r="Q147" s="417"/>
      <c r="R147" s="417"/>
      <c r="S147" s="417"/>
      <c r="T147" s="417"/>
      <c r="U147" s="417"/>
      <c r="V147" s="417"/>
      <c r="W147" s="417"/>
      <c r="X147" s="417"/>
      <c r="Y147" s="417"/>
    </row>
    <row r="148" spans="6:25" ht="16.5" customHeight="1">
      <c r="F148" s="417"/>
      <c r="G148" s="417"/>
      <c r="H148" s="417"/>
      <c r="I148" s="417"/>
      <c r="J148" s="417"/>
      <c r="K148" s="417"/>
      <c r="L148" s="417"/>
      <c r="M148" s="417"/>
      <c r="N148" s="417"/>
      <c r="O148" s="417"/>
      <c r="P148" s="417"/>
      <c r="Q148" s="417"/>
      <c r="R148" s="417"/>
      <c r="S148" s="417"/>
      <c r="T148" s="417"/>
      <c r="U148" s="417"/>
      <c r="V148" s="417"/>
      <c r="W148" s="417"/>
      <c r="X148" s="417"/>
      <c r="Y148" s="417"/>
    </row>
    <row r="149" spans="6:25" ht="16.5" customHeight="1">
      <c r="F149" s="417"/>
      <c r="G149" s="417"/>
      <c r="H149" s="417"/>
      <c r="I149" s="417"/>
      <c r="J149" s="417"/>
      <c r="K149" s="417"/>
      <c r="L149" s="417"/>
      <c r="M149" s="417"/>
      <c r="N149" s="417"/>
      <c r="O149" s="417"/>
      <c r="P149" s="417"/>
      <c r="Q149" s="417"/>
      <c r="R149" s="417"/>
      <c r="S149" s="417"/>
      <c r="T149" s="417"/>
      <c r="U149" s="417"/>
      <c r="V149" s="417"/>
      <c r="W149" s="417"/>
      <c r="X149" s="417"/>
      <c r="Y149" s="417"/>
    </row>
    <row r="150" spans="6:25" ht="16.5" customHeight="1">
      <c r="F150" s="417"/>
      <c r="G150" s="417"/>
      <c r="H150" s="417"/>
      <c r="I150" s="417"/>
      <c r="J150" s="417"/>
      <c r="K150" s="417"/>
      <c r="L150" s="417"/>
      <c r="M150" s="417"/>
      <c r="N150" s="417"/>
      <c r="O150" s="417"/>
      <c r="P150" s="417"/>
      <c r="Q150" s="417"/>
      <c r="R150" s="417"/>
      <c r="S150" s="417"/>
      <c r="T150" s="417"/>
      <c r="U150" s="417"/>
      <c r="V150" s="417"/>
      <c r="W150" s="417"/>
      <c r="X150" s="417"/>
      <c r="Y150" s="417"/>
    </row>
    <row r="151" spans="6:25" ht="16.5" customHeight="1">
      <c r="F151" s="417"/>
      <c r="G151" s="417"/>
      <c r="H151" s="417"/>
      <c r="I151" s="417"/>
      <c r="J151" s="417"/>
      <c r="K151" s="417"/>
      <c r="L151" s="417"/>
      <c r="M151" s="417"/>
      <c r="N151" s="417"/>
      <c r="O151" s="417"/>
      <c r="P151" s="417"/>
      <c r="Q151" s="417"/>
      <c r="R151" s="417"/>
      <c r="S151" s="417"/>
      <c r="T151" s="417"/>
      <c r="U151" s="417"/>
      <c r="V151" s="417"/>
      <c r="W151" s="417"/>
      <c r="X151" s="417"/>
      <c r="Y151" s="417"/>
    </row>
    <row r="152" spans="6:25" ht="16.5" customHeight="1">
      <c r="F152" s="417"/>
      <c r="G152" s="417"/>
      <c r="H152" s="417"/>
      <c r="I152" s="417"/>
      <c r="J152" s="417"/>
      <c r="K152" s="417"/>
      <c r="L152" s="417"/>
      <c r="M152" s="417"/>
      <c r="N152" s="417"/>
      <c r="O152" s="417"/>
      <c r="P152" s="417"/>
      <c r="Q152" s="417"/>
      <c r="R152" s="417"/>
      <c r="S152" s="417"/>
      <c r="T152" s="417"/>
      <c r="U152" s="417"/>
      <c r="V152" s="417"/>
      <c r="W152" s="417"/>
      <c r="X152" s="417"/>
      <c r="Y152" s="417"/>
    </row>
    <row r="153" spans="6:25" ht="16.5" customHeight="1">
      <c r="F153" s="417"/>
      <c r="G153" s="417"/>
      <c r="H153" s="417"/>
      <c r="I153" s="417"/>
      <c r="J153" s="417"/>
      <c r="K153" s="417"/>
      <c r="L153" s="417"/>
      <c r="M153" s="417"/>
      <c r="N153" s="417"/>
      <c r="O153" s="417"/>
      <c r="P153" s="417"/>
      <c r="Q153" s="417"/>
      <c r="R153" s="417"/>
      <c r="S153" s="417"/>
      <c r="T153" s="417"/>
      <c r="U153" s="417"/>
      <c r="V153" s="417"/>
      <c r="W153" s="417"/>
      <c r="X153" s="417"/>
      <c r="Y153" s="417"/>
    </row>
    <row r="154" spans="6:25" ht="16.5" customHeight="1">
      <c r="F154" s="417"/>
      <c r="G154" s="417"/>
      <c r="H154" s="417"/>
      <c r="I154" s="417"/>
      <c r="J154" s="417"/>
      <c r="K154" s="417"/>
      <c r="L154" s="417"/>
      <c r="M154" s="417"/>
      <c r="N154" s="417"/>
      <c r="O154" s="417"/>
      <c r="P154" s="417"/>
      <c r="Q154" s="417"/>
      <c r="R154" s="417"/>
      <c r="S154" s="417"/>
      <c r="T154" s="417"/>
      <c r="U154" s="417"/>
      <c r="V154" s="417"/>
      <c r="W154" s="417"/>
      <c r="X154" s="417"/>
      <c r="Y154" s="417"/>
    </row>
    <row r="155" spans="6:25" ht="16.5" customHeight="1">
      <c r="F155" s="417"/>
      <c r="G155" s="417"/>
      <c r="H155" s="417"/>
      <c r="I155" s="417"/>
      <c r="J155" s="417"/>
      <c r="K155" s="417"/>
      <c r="L155" s="417"/>
      <c r="M155" s="417"/>
      <c r="N155" s="417"/>
      <c r="O155" s="417"/>
      <c r="P155" s="417"/>
      <c r="Q155" s="417"/>
      <c r="R155" s="417"/>
      <c r="S155" s="417"/>
      <c r="T155" s="417"/>
      <c r="U155" s="417"/>
      <c r="V155" s="417"/>
      <c r="W155" s="417"/>
      <c r="X155" s="417"/>
      <c r="Y155" s="417"/>
    </row>
    <row r="156" spans="6:25" ht="16.5" customHeight="1">
      <c r="F156" s="417"/>
      <c r="G156" s="417"/>
      <c r="H156" s="417"/>
      <c r="I156" s="417"/>
      <c r="J156" s="417"/>
      <c r="K156" s="417"/>
      <c r="L156" s="417"/>
      <c r="M156" s="417"/>
      <c r="N156" s="417"/>
      <c r="O156" s="417"/>
      <c r="P156" s="417"/>
      <c r="Q156" s="417"/>
      <c r="R156" s="417"/>
      <c r="S156" s="417"/>
      <c r="T156" s="417"/>
      <c r="U156" s="417"/>
      <c r="V156" s="417"/>
      <c r="W156" s="417"/>
      <c r="X156" s="417"/>
      <c r="Y156" s="417"/>
    </row>
    <row r="157" spans="6:25" ht="16.5" customHeight="1">
      <c r="F157" s="417"/>
      <c r="G157" s="417"/>
      <c r="H157" s="417"/>
      <c r="I157" s="417"/>
      <c r="J157" s="417"/>
      <c r="K157" s="417"/>
      <c r="L157" s="417"/>
      <c r="M157" s="417"/>
      <c r="N157" s="417"/>
      <c r="O157" s="417"/>
      <c r="P157" s="417"/>
      <c r="Q157" s="417"/>
      <c r="R157" s="417"/>
      <c r="S157" s="417"/>
      <c r="T157" s="417"/>
      <c r="U157" s="417"/>
      <c r="V157" s="417"/>
      <c r="W157" s="417"/>
      <c r="X157" s="417"/>
      <c r="Y157" s="417"/>
    </row>
    <row r="160" ht="12.75"/>
    <row r="161" ht="12.75"/>
    <row r="162" ht="12.75"/>
    <row r="163" ht="12.75"/>
    <row r="164" ht="12.75"/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5" r:id="rId3"/>
  <headerFooter alignWithMargins="0">
    <oddFooter>&amp;L&amp;"Times New Roman,Normal"&amp;8&amp;F-&amp;A</oddFooter>
  </headerFooter>
  <drawing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5"/>
  <sheetViews>
    <sheetView zoomScale="60" zoomScaleNormal="60" zoomScalePageLayoutView="0" workbookViewId="0" topLeftCell="A1">
      <selection activeCell="N51" sqref="N51"/>
    </sheetView>
  </sheetViews>
  <sheetFormatPr defaultColWidth="11.421875" defaultRowHeight="16.5" customHeight="1"/>
  <cols>
    <col min="1" max="2" width="4.140625" style="770" customWidth="1"/>
    <col min="3" max="3" width="5.421875" style="770" customWidth="1"/>
    <col min="4" max="4" width="14.57421875" style="770" customWidth="1"/>
    <col min="5" max="5" width="15.421875" style="770" customWidth="1"/>
    <col min="6" max="6" width="36.7109375" style="770" customWidth="1"/>
    <col min="7" max="7" width="32.57421875" style="770" customWidth="1"/>
    <col min="8" max="8" width="9.421875" style="770" customWidth="1"/>
    <col min="9" max="9" width="5.7109375" style="770" hidden="1" customWidth="1"/>
    <col min="10" max="10" width="16.7109375" style="770" customWidth="1"/>
    <col min="11" max="11" width="16.57421875" style="770" customWidth="1"/>
    <col min="12" max="14" width="9.7109375" style="770" customWidth="1"/>
    <col min="15" max="15" width="6.00390625" style="770" bestFit="1" customWidth="1"/>
    <col min="16" max="16" width="3.7109375" style="770" hidden="1" customWidth="1"/>
    <col min="17" max="17" width="13.140625" style="770" hidden="1" customWidth="1"/>
    <col min="18" max="19" width="5.7109375" style="770" hidden="1" customWidth="1"/>
    <col min="20" max="20" width="12.28125" style="770" hidden="1" customWidth="1"/>
    <col min="21" max="21" width="9.7109375" style="770" customWidth="1"/>
    <col min="22" max="22" width="15.7109375" style="770" customWidth="1"/>
    <col min="23" max="23" width="4.140625" style="770" customWidth="1"/>
    <col min="24" max="16384" width="11.421875" style="770" customWidth="1"/>
  </cols>
  <sheetData>
    <row r="1" spans="1:23" s="657" customFormat="1" ht="26.25">
      <c r="A1" s="656"/>
      <c r="W1" s="658"/>
    </row>
    <row r="2" spans="1:23" s="657" customFormat="1" ht="26.25">
      <c r="A2" s="656"/>
      <c r="B2" s="659" t="str">
        <f>'TOT-0912'!B2</f>
        <v>ANEXO IV al Memorándum  D.T.E.E.  N° 295 / 2014</v>
      </c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659"/>
      <c r="T2" s="659"/>
      <c r="U2" s="659"/>
      <c r="V2" s="659"/>
      <c r="W2" s="659"/>
    </row>
    <row r="3" s="661" customFormat="1" ht="15.75" customHeight="1">
      <c r="A3" s="660"/>
    </row>
    <row r="4" spans="1:4" s="664" customFormat="1" ht="11.25">
      <c r="A4" s="662" t="s">
        <v>2</v>
      </c>
      <c r="B4" s="663"/>
      <c r="C4" s="663"/>
      <c r="D4" s="663"/>
    </row>
    <row r="5" spans="1:4" s="664" customFormat="1" ht="11.25">
      <c r="A5" s="662" t="s">
        <v>3</v>
      </c>
      <c r="B5" s="663"/>
      <c r="C5" s="663"/>
      <c r="D5" s="663"/>
    </row>
    <row r="6" s="661" customFormat="1" ht="13.5" thickBot="1"/>
    <row r="7" spans="2:23" s="661" customFormat="1" ht="13.5" thickTop="1">
      <c r="B7" s="665"/>
      <c r="C7" s="666"/>
      <c r="D7" s="666"/>
      <c r="E7" s="666"/>
      <c r="F7" s="666"/>
      <c r="G7" s="666"/>
      <c r="H7" s="666"/>
      <c r="I7" s="666"/>
      <c r="J7" s="666"/>
      <c r="K7" s="666"/>
      <c r="L7" s="666"/>
      <c r="M7" s="666"/>
      <c r="N7" s="666"/>
      <c r="O7" s="666"/>
      <c r="P7" s="666"/>
      <c r="Q7" s="666"/>
      <c r="R7" s="666"/>
      <c r="S7" s="666"/>
      <c r="T7" s="666"/>
      <c r="U7" s="666"/>
      <c r="V7" s="666"/>
      <c r="W7" s="667"/>
    </row>
    <row r="8" spans="2:23" s="668" customFormat="1" ht="20.25">
      <c r="B8" s="669"/>
      <c r="C8" s="670"/>
      <c r="D8" s="670"/>
      <c r="E8" s="670"/>
      <c r="F8" s="671" t="s">
        <v>23</v>
      </c>
      <c r="N8" s="672"/>
      <c r="O8" s="672"/>
      <c r="P8" s="673"/>
      <c r="Q8" s="670"/>
      <c r="R8" s="670"/>
      <c r="S8" s="670"/>
      <c r="T8" s="670"/>
      <c r="U8" s="670"/>
      <c r="V8" s="670"/>
      <c r="W8" s="674"/>
    </row>
    <row r="9" spans="2:23" s="661" customFormat="1" ht="12.75">
      <c r="B9" s="675"/>
      <c r="C9" s="676"/>
      <c r="D9" s="676"/>
      <c r="E9" s="676"/>
      <c r="F9" s="677"/>
      <c r="G9" s="677"/>
      <c r="H9" s="677"/>
      <c r="I9" s="677"/>
      <c r="J9" s="677"/>
      <c r="K9" s="677"/>
      <c r="L9" s="677"/>
      <c r="M9" s="677"/>
      <c r="N9" s="677"/>
      <c r="O9" s="677"/>
      <c r="P9" s="677"/>
      <c r="Q9" s="676"/>
      <c r="R9" s="676"/>
      <c r="S9" s="676"/>
      <c r="T9" s="676"/>
      <c r="U9" s="676"/>
      <c r="V9" s="676"/>
      <c r="W9" s="678"/>
    </row>
    <row r="10" spans="2:23" s="668" customFormat="1" ht="20.25">
      <c r="B10" s="669"/>
      <c r="C10" s="670"/>
      <c r="D10" s="670"/>
      <c r="E10" s="670"/>
      <c r="F10" s="679" t="s">
        <v>65</v>
      </c>
      <c r="G10" s="680"/>
      <c r="H10" s="672"/>
      <c r="I10" s="681"/>
      <c r="K10" s="681"/>
      <c r="L10" s="681"/>
      <c r="M10" s="681"/>
      <c r="N10" s="681"/>
      <c r="O10" s="681"/>
      <c r="P10" s="681"/>
      <c r="Q10" s="670"/>
      <c r="R10" s="670"/>
      <c r="S10" s="670"/>
      <c r="T10" s="670"/>
      <c r="U10" s="670"/>
      <c r="V10" s="670"/>
      <c r="W10" s="674"/>
    </row>
    <row r="11" spans="2:23" s="661" customFormat="1" ht="13.5">
      <c r="B11" s="675"/>
      <c r="C11" s="676"/>
      <c r="D11" s="676"/>
      <c r="E11" s="676"/>
      <c r="F11" s="682"/>
      <c r="G11" s="682"/>
      <c r="H11" s="660"/>
      <c r="I11" s="683"/>
      <c r="J11" s="684"/>
      <c r="K11" s="683"/>
      <c r="L11" s="683"/>
      <c r="M11" s="683"/>
      <c r="N11" s="683"/>
      <c r="O11" s="683"/>
      <c r="P11" s="683"/>
      <c r="Q11" s="676"/>
      <c r="R11" s="676"/>
      <c r="S11" s="676"/>
      <c r="T11" s="676"/>
      <c r="U11" s="676"/>
      <c r="V11" s="676"/>
      <c r="W11" s="678"/>
    </row>
    <row r="12" spans="2:23" s="668" customFormat="1" ht="20.25">
      <c r="B12" s="669"/>
      <c r="C12" s="670"/>
      <c r="D12" s="670"/>
      <c r="E12" s="670"/>
      <c r="F12" s="679" t="s">
        <v>369</v>
      </c>
      <c r="G12" s="680"/>
      <c r="H12" s="672"/>
      <c r="I12" s="681"/>
      <c r="K12" s="681"/>
      <c r="L12" s="681"/>
      <c r="M12" s="681"/>
      <c r="N12" s="681"/>
      <c r="O12" s="681"/>
      <c r="P12" s="681"/>
      <c r="Q12" s="670"/>
      <c r="R12" s="670"/>
      <c r="S12" s="670"/>
      <c r="T12" s="670"/>
      <c r="U12" s="670"/>
      <c r="V12" s="670"/>
      <c r="W12" s="674"/>
    </row>
    <row r="13" spans="2:23" s="661" customFormat="1" ht="13.5">
      <c r="B13" s="675"/>
      <c r="C13" s="676"/>
      <c r="D13" s="676"/>
      <c r="E13" s="676"/>
      <c r="F13" s="682"/>
      <c r="G13" s="682"/>
      <c r="H13" s="660"/>
      <c r="I13" s="683"/>
      <c r="J13" s="684"/>
      <c r="K13" s="683"/>
      <c r="L13" s="683"/>
      <c r="M13" s="683"/>
      <c r="N13" s="683"/>
      <c r="O13" s="683"/>
      <c r="P13" s="683"/>
      <c r="Q13" s="676"/>
      <c r="R13" s="676"/>
      <c r="S13" s="676"/>
      <c r="T13" s="676"/>
      <c r="U13" s="676"/>
      <c r="V13" s="676"/>
      <c r="W13" s="678"/>
    </row>
    <row r="14" spans="2:23" s="661" customFormat="1" ht="19.5">
      <c r="B14" s="685" t="str">
        <f>'TOT-0912'!B14</f>
        <v>Desde el 01 al 30 de septiembre de 2012</v>
      </c>
      <c r="C14" s="686"/>
      <c r="D14" s="686"/>
      <c r="E14" s="686"/>
      <c r="F14" s="686"/>
      <c r="G14" s="686"/>
      <c r="H14" s="686"/>
      <c r="I14" s="687"/>
      <c r="J14" s="687"/>
      <c r="K14" s="687"/>
      <c r="L14" s="687"/>
      <c r="M14" s="687"/>
      <c r="N14" s="687"/>
      <c r="O14" s="687"/>
      <c r="P14" s="687"/>
      <c r="Q14" s="686"/>
      <c r="R14" s="686"/>
      <c r="S14" s="686"/>
      <c r="T14" s="686"/>
      <c r="U14" s="686"/>
      <c r="V14" s="686"/>
      <c r="W14" s="688"/>
    </row>
    <row r="15" spans="2:23" s="661" customFormat="1" ht="14.25" thickBot="1">
      <c r="B15" s="689"/>
      <c r="C15" s="690"/>
      <c r="D15" s="690"/>
      <c r="E15" s="690"/>
      <c r="F15" s="690"/>
      <c r="G15" s="690"/>
      <c r="H15" s="690"/>
      <c r="I15" s="691"/>
      <c r="J15" s="691"/>
      <c r="K15" s="691"/>
      <c r="L15" s="691"/>
      <c r="M15" s="691"/>
      <c r="N15" s="691"/>
      <c r="O15" s="691"/>
      <c r="P15" s="691"/>
      <c r="Q15" s="690"/>
      <c r="R15" s="690"/>
      <c r="S15" s="690"/>
      <c r="T15" s="690"/>
      <c r="U15" s="690"/>
      <c r="V15" s="690"/>
      <c r="W15" s="692"/>
    </row>
    <row r="16" spans="2:23" s="661" customFormat="1" ht="15" thickBot="1" thickTop="1">
      <c r="B16" s="675"/>
      <c r="C16" s="676"/>
      <c r="D16" s="676"/>
      <c r="E16" s="676"/>
      <c r="F16" s="693"/>
      <c r="G16" s="693"/>
      <c r="H16" s="694" t="s">
        <v>67</v>
      </c>
      <c r="I16" s="676"/>
      <c r="J16" s="684"/>
      <c r="K16" s="676"/>
      <c r="L16" s="676"/>
      <c r="M16" s="676"/>
      <c r="N16" s="676"/>
      <c r="O16" s="676"/>
      <c r="P16" s="676"/>
      <c r="Q16" s="676"/>
      <c r="R16" s="676"/>
      <c r="S16" s="676"/>
      <c r="T16" s="676"/>
      <c r="U16" s="676"/>
      <c r="V16" s="676"/>
      <c r="W16" s="678"/>
    </row>
    <row r="17" spans="2:23" s="661" customFormat="1" ht="16.5" customHeight="1" thickBot="1" thickTop="1">
      <c r="B17" s="675"/>
      <c r="C17" s="676"/>
      <c r="D17" s="676"/>
      <c r="E17" s="676"/>
      <c r="F17" s="695" t="s">
        <v>68</v>
      </c>
      <c r="G17" s="696" t="s">
        <v>336</v>
      </c>
      <c r="H17" s="697">
        <v>200</v>
      </c>
      <c r="V17" s="698"/>
      <c r="W17" s="678"/>
    </row>
    <row r="18" spans="2:23" s="661" customFormat="1" ht="16.5" customHeight="1" thickBot="1" thickTop="1">
      <c r="B18" s="675"/>
      <c r="C18" s="676"/>
      <c r="D18" s="676"/>
      <c r="E18" s="676"/>
      <c r="F18" s="699" t="s">
        <v>69</v>
      </c>
      <c r="G18" s="700" t="s">
        <v>336</v>
      </c>
      <c r="H18" s="697">
        <v>100</v>
      </c>
      <c r="O18" s="676"/>
      <c r="P18" s="676"/>
      <c r="Q18" s="676"/>
      <c r="R18" s="676"/>
      <c r="S18" s="676"/>
      <c r="T18" s="676"/>
      <c r="U18" s="676"/>
      <c r="V18" s="676"/>
      <c r="W18" s="678"/>
    </row>
    <row r="19" spans="2:23" s="661" customFormat="1" ht="16.5" customHeight="1" thickBot="1" thickTop="1">
      <c r="B19" s="675"/>
      <c r="C19" s="676"/>
      <c r="D19" s="676"/>
      <c r="E19" s="676"/>
      <c r="F19" s="701" t="s">
        <v>70</v>
      </c>
      <c r="G19" s="700">
        <f>0.6*110.573</f>
        <v>66.34379999999999</v>
      </c>
      <c r="H19" s="697">
        <v>40</v>
      </c>
      <c r="K19" s="702"/>
      <c r="L19" s="703"/>
      <c r="M19" s="676"/>
      <c r="O19" s="676"/>
      <c r="Q19" s="676"/>
      <c r="R19" s="676"/>
      <c r="S19" s="676"/>
      <c r="T19" s="676"/>
      <c r="U19" s="676"/>
      <c r="V19" s="676"/>
      <c r="W19" s="678"/>
    </row>
    <row r="20" spans="2:23" s="661" customFormat="1" ht="16.5" customHeight="1" thickBot="1" thickTop="1">
      <c r="B20" s="675"/>
      <c r="C20" s="704">
        <v>3</v>
      </c>
      <c r="D20" s="704">
        <v>4</v>
      </c>
      <c r="E20" s="704">
        <v>5</v>
      </c>
      <c r="F20" s="704">
        <v>6</v>
      </c>
      <c r="G20" s="704">
        <v>7</v>
      </c>
      <c r="H20" s="704">
        <v>8</v>
      </c>
      <c r="I20" s="704">
        <v>9</v>
      </c>
      <c r="J20" s="704">
        <v>10</v>
      </c>
      <c r="K20" s="704">
        <v>11</v>
      </c>
      <c r="L20" s="704">
        <v>12</v>
      </c>
      <c r="M20" s="704">
        <v>13</v>
      </c>
      <c r="N20" s="704">
        <v>14</v>
      </c>
      <c r="O20" s="704">
        <v>15</v>
      </c>
      <c r="P20" s="704">
        <v>16</v>
      </c>
      <c r="Q20" s="704">
        <v>17</v>
      </c>
      <c r="R20" s="704">
        <v>18</v>
      </c>
      <c r="S20" s="704">
        <v>19</v>
      </c>
      <c r="T20" s="704">
        <v>20</v>
      </c>
      <c r="U20" s="704">
        <v>21</v>
      </c>
      <c r="V20" s="704">
        <v>22</v>
      </c>
      <c r="W20" s="678"/>
    </row>
    <row r="21" spans="2:23" s="661" customFormat="1" ht="33.75" customHeight="1" thickBot="1" thickTop="1">
      <c r="B21" s="675"/>
      <c r="C21" s="705" t="s">
        <v>28</v>
      </c>
      <c r="D21" s="706" t="s">
        <v>29</v>
      </c>
      <c r="E21" s="706" t="s">
        <v>30</v>
      </c>
      <c r="F21" s="707" t="s">
        <v>58</v>
      </c>
      <c r="G21" s="708" t="s">
        <v>59</v>
      </c>
      <c r="H21" s="709" t="s">
        <v>31</v>
      </c>
      <c r="I21" s="710" t="s">
        <v>35</v>
      </c>
      <c r="J21" s="711" t="s">
        <v>36</v>
      </c>
      <c r="K21" s="708" t="s">
        <v>37</v>
      </c>
      <c r="L21" s="712" t="s">
        <v>38</v>
      </c>
      <c r="M21" s="712" t="s">
        <v>39</v>
      </c>
      <c r="N21" s="713" t="s">
        <v>254</v>
      </c>
      <c r="O21" s="714" t="s">
        <v>42</v>
      </c>
      <c r="P21" s="715" t="s">
        <v>34</v>
      </c>
      <c r="Q21" s="716" t="s">
        <v>71</v>
      </c>
      <c r="R21" s="717" t="s">
        <v>72</v>
      </c>
      <c r="S21" s="718"/>
      <c r="T21" s="719" t="s">
        <v>47</v>
      </c>
      <c r="U21" s="720" t="s">
        <v>49</v>
      </c>
      <c r="V21" s="721" t="s">
        <v>50</v>
      </c>
      <c r="W21" s="678"/>
    </row>
    <row r="22" spans="2:23" s="661" customFormat="1" ht="16.5" customHeight="1" thickTop="1">
      <c r="B22" s="675"/>
      <c r="C22" s="722"/>
      <c r="D22" s="722"/>
      <c r="E22" s="722"/>
      <c r="F22" s="723"/>
      <c r="G22" s="723"/>
      <c r="H22" s="723"/>
      <c r="I22" s="724"/>
      <c r="J22" s="723"/>
      <c r="K22" s="723"/>
      <c r="L22" s="723"/>
      <c r="M22" s="723"/>
      <c r="N22" s="723"/>
      <c r="O22" s="723"/>
      <c r="P22" s="725"/>
      <c r="Q22" s="726"/>
      <c r="R22" s="727"/>
      <c r="S22" s="728"/>
      <c r="T22" s="729"/>
      <c r="U22" s="723"/>
      <c r="V22" s="730"/>
      <c r="W22" s="678"/>
    </row>
    <row r="23" spans="2:23" s="661" customFormat="1" ht="16.5" customHeight="1">
      <c r="B23" s="675"/>
      <c r="C23" s="731"/>
      <c r="D23" s="731"/>
      <c r="E23" s="731"/>
      <c r="F23" s="732"/>
      <c r="G23" s="732"/>
      <c r="H23" s="732"/>
      <c r="I23" s="733"/>
      <c r="J23" s="732"/>
      <c r="K23" s="732"/>
      <c r="L23" s="732"/>
      <c r="M23" s="732"/>
      <c r="N23" s="732"/>
      <c r="O23" s="732"/>
      <c r="P23" s="734"/>
      <c r="Q23" s="735"/>
      <c r="R23" s="736"/>
      <c r="S23" s="737"/>
      <c r="T23" s="738"/>
      <c r="U23" s="732"/>
      <c r="V23" s="739"/>
      <c r="W23" s="678"/>
    </row>
    <row r="24" spans="2:23" s="661" customFormat="1" ht="16.5" customHeight="1">
      <c r="B24" s="675"/>
      <c r="C24" s="731">
        <v>102</v>
      </c>
      <c r="D24" s="731">
        <v>252063</v>
      </c>
      <c r="E24" s="731">
        <v>4944</v>
      </c>
      <c r="F24" s="740" t="s">
        <v>343</v>
      </c>
      <c r="G24" s="740" t="s">
        <v>344</v>
      </c>
      <c r="H24" s="740">
        <v>132</v>
      </c>
      <c r="I24" s="741">
        <f aca="true" t="shared" si="0" ref="I24:I39">IF(H24=500,$G$17,IF(H24=220,$G$18,$G$19))</f>
        <v>66.34379999999999</v>
      </c>
      <c r="J24" s="742">
        <v>41182.339583333334</v>
      </c>
      <c r="K24" s="743">
        <v>41182.49652777778</v>
      </c>
      <c r="L24" s="744">
        <f>IF(F24="","",(K24-J24)*24)</f>
        <v>3.766666666720994</v>
      </c>
      <c r="M24" s="745">
        <f>IF(F24="","",ROUND((K24-J24)*24*60,0))</f>
        <v>226</v>
      </c>
      <c r="N24" s="746" t="s">
        <v>259</v>
      </c>
      <c r="O24" s="747" t="str">
        <f>IF(F24="","",IF(N24="P","--","NO"))</f>
        <v>--</v>
      </c>
      <c r="P24" s="748">
        <f>IF(H24=500,$H$17,IF(H24=220,$H$18,$H$19))</f>
        <v>40</v>
      </c>
      <c r="Q24" s="749">
        <f>IF(N24="P",I24*P24*ROUND(M24/60,2)*0.1,"--")</f>
        <v>1000.4645039999998</v>
      </c>
      <c r="R24" s="736" t="str">
        <f>IF(AND(N24="F",O24="NO"),I24*P24,"--")</f>
        <v>--</v>
      </c>
      <c r="S24" s="737" t="str">
        <f>IF(N24="F",I24*P24*ROUND(M24/60,2),"--")</f>
        <v>--</v>
      </c>
      <c r="T24" s="738" t="str">
        <f>IF(N24="RF",I24*P24*ROUND(M24/60,2),"--")</f>
        <v>--</v>
      </c>
      <c r="U24" s="747" t="str">
        <f>IF(F24="","","SI")</f>
        <v>SI</v>
      </c>
      <c r="V24" s="750">
        <f>IF(F24="","",SUM(Q24:T24)*IF(U24="SI",1,2))</f>
        <v>1000.4645039999998</v>
      </c>
      <c r="W24" s="678"/>
    </row>
    <row r="25" spans="2:23" s="661" customFormat="1" ht="16.5" customHeight="1">
      <c r="B25" s="675"/>
      <c r="C25" s="731"/>
      <c r="D25" s="731"/>
      <c r="E25" s="731"/>
      <c r="F25" s="740"/>
      <c r="G25" s="740"/>
      <c r="H25" s="740"/>
      <c r="I25" s="741">
        <f t="shared" si="0"/>
        <v>66.34379999999999</v>
      </c>
      <c r="J25" s="742"/>
      <c r="K25" s="743"/>
      <c r="L25" s="744">
        <f>IF(F25="","",(K25-J25)*24)</f>
      </c>
      <c r="M25" s="745">
        <f>IF(F25="","",ROUND((K25-J25)*24*60,0))</f>
      </c>
      <c r="N25" s="746"/>
      <c r="O25" s="747">
        <f>IF(F25="","",IF(N25="P","--","NO"))</f>
      </c>
      <c r="P25" s="748">
        <f>IF(H25=500,$H$17,IF(H25=220,$H$18,$H$19))</f>
        <v>40</v>
      </c>
      <c r="Q25" s="749" t="str">
        <f>IF(N25="P",I25*P25*ROUND(M25/60,2)*0.1,"--")</f>
        <v>--</v>
      </c>
      <c r="R25" s="736" t="str">
        <f>IF(AND(N25="F",O25="NO"),I25*P25,"--")</f>
        <v>--</v>
      </c>
      <c r="S25" s="737" t="str">
        <f>IF(N25="F",I25*P25*ROUND(M25/60,2),"--")</f>
        <v>--</v>
      </c>
      <c r="T25" s="738" t="str">
        <f>IF(N25="RF",I25*P25*ROUND(M25/60,2),"--")</f>
        <v>--</v>
      </c>
      <c r="U25" s="747">
        <f>IF(F25="","","SI")</f>
      </c>
      <c r="V25" s="750">
        <f>IF(F25="","",SUM(Q25:T25)*IF(U25="SI",1,2))</f>
      </c>
      <c r="W25" s="678"/>
    </row>
    <row r="26" spans="2:23" s="661" customFormat="1" ht="16.5" customHeight="1">
      <c r="B26" s="675"/>
      <c r="C26" s="731"/>
      <c r="D26" s="731"/>
      <c r="E26" s="731"/>
      <c r="F26" s="740"/>
      <c r="G26" s="740"/>
      <c r="H26" s="740"/>
      <c r="I26" s="741">
        <f t="shared" si="0"/>
        <v>66.34379999999999</v>
      </c>
      <c r="J26" s="742"/>
      <c r="K26" s="743"/>
      <c r="L26" s="744"/>
      <c r="M26" s="745"/>
      <c r="N26" s="746"/>
      <c r="O26" s="747"/>
      <c r="P26" s="748"/>
      <c r="Q26" s="749"/>
      <c r="R26" s="736"/>
      <c r="S26" s="737"/>
      <c r="T26" s="738"/>
      <c r="U26" s="747"/>
      <c r="V26" s="750"/>
      <c r="W26" s="678"/>
    </row>
    <row r="27" spans="2:23" s="661" customFormat="1" ht="16.5" customHeight="1">
      <c r="B27" s="675"/>
      <c r="C27" s="731"/>
      <c r="D27" s="731"/>
      <c r="E27" s="731"/>
      <c r="F27" s="751"/>
      <c r="G27" s="751"/>
      <c r="H27" s="752"/>
      <c r="I27" s="741">
        <f t="shared" si="0"/>
        <v>66.34379999999999</v>
      </c>
      <c r="J27" s="742"/>
      <c r="K27" s="743"/>
      <c r="L27" s="744">
        <f aca="true" t="shared" si="1" ref="L27:L39">IF(F27="","",(K27-J27)*24)</f>
      </c>
      <c r="M27" s="745">
        <f aca="true" t="shared" si="2" ref="M27:M39">IF(F27="","",ROUND((K27-J27)*24*60,0))</f>
      </c>
      <c r="N27" s="746"/>
      <c r="O27" s="747">
        <f aca="true" t="shared" si="3" ref="O27:O39">IF(F27="","",IF(N27="P","--","NO"))</f>
      </c>
      <c r="P27" s="748">
        <f aca="true" t="shared" si="4" ref="P27:P39">IF(H27=500,$H$17,IF(H27=220,$H$18,$H$19))</f>
        <v>40</v>
      </c>
      <c r="Q27" s="749" t="str">
        <f aca="true" t="shared" si="5" ref="Q27:Q39">IF(N27="P",I27*P27*ROUND(M27/60,2)*0.1,"--")</f>
        <v>--</v>
      </c>
      <c r="R27" s="736" t="str">
        <f aca="true" t="shared" si="6" ref="R27:R39">IF(AND(N27="F",O27="NO"),I27*P27,"--")</f>
        <v>--</v>
      </c>
      <c r="S27" s="737" t="str">
        <f aca="true" t="shared" si="7" ref="S27:S39">IF(N27="F",I27*P27*ROUND(M27/60,2),"--")</f>
        <v>--</v>
      </c>
      <c r="T27" s="738" t="str">
        <f aca="true" t="shared" si="8" ref="T27:T39">IF(N27="RF",I27*P27*ROUND(M27/60,2),"--")</f>
        <v>--</v>
      </c>
      <c r="U27" s="747">
        <f aca="true" t="shared" si="9" ref="U27:U39">IF(F27="","","SI")</f>
      </c>
      <c r="V27" s="750">
        <f aca="true" t="shared" si="10" ref="V27:V39">IF(F27="","",SUM(Q27:T27)*IF(U27="SI",1,2))</f>
      </c>
      <c r="W27" s="678"/>
    </row>
    <row r="28" spans="2:23" s="661" customFormat="1" ht="16.5" customHeight="1">
      <c r="B28" s="675"/>
      <c r="C28" s="731"/>
      <c r="D28" s="731"/>
      <c r="E28" s="731"/>
      <c r="F28" s="751"/>
      <c r="G28" s="751"/>
      <c r="H28" s="752"/>
      <c r="I28" s="741">
        <f t="shared" si="0"/>
        <v>66.34379999999999</v>
      </c>
      <c r="J28" s="742"/>
      <c r="K28" s="743"/>
      <c r="L28" s="744">
        <f t="shared" si="1"/>
      </c>
      <c r="M28" s="745">
        <f t="shared" si="2"/>
      </c>
      <c r="N28" s="746"/>
      <c r="O28" s="747">
        <f t="shared" si="3"/>
      </c>
      <c r="P28" s="748">
        <f t="shared" si="4"/>
        <v>40</v>
      </c>
      <c r="Q28" s="749" t="str">
        <f t="shared" si="5"/>
        <v>--</v>
      </c>
      <c r="R28" s="736" t="str">
        <f t="shared" si="6"/>
        <v>--</v>
      </c>
      <c r="S28" s="737" t="str">
        <f t="shared" si="7"/>
        <v>--</v>
      </c>
      <c r="T28" s="738" t="str">
        <f t="shared" si="8"/>
        <v>--</v>
      </c>
      <c r="U28" s="747">
        <f t="shared" si="9"/>
      </c>
      <c r="V28" s="750">
        <f t="shared" si="10"/>
      </c>
      <c r="W28" s="678"/>
    </row>
    <row r="29" spans="2:23" s="661" customFormat="1" ht="16.5" customHeight="1">
      <c r="B29" s="675"/>
      <c r="C29" s="731"/>
      <c r="D29" s="731"/>
      <c r="E29" s="731"/>
      <c r="F29" s="751"/>
      <c r="G29" s="751"/>
      <c r="H29" s="752"/>
      <c r="I29" s="741">
        <f t="shared" si="0"/>
        <v>66.34379999999999</v>
      </c>
      <c r="J29" s="742"/>
      <c r="K29" s="743"/>
      <c r="L29" s="744">
        <f t="shared" si="1"/>
      </c>
      <c r="M29" s="745">
        <f t="shared" si="2"/>
      </c>
      <c r="N29" s="746"/>
      <c r="O29" s="747">
        <f t="shared" si="3"/>
      </c>
      <c r="P29" s="748">
        <f t="shared" si="4"/>
        <v>40</v>
      </c>
      <c r="Q29" s="749" t="str">
        <f t="shared" si="5"/>
        <v>--</v>
      </c>
      <c r="R29" s="736" t="str">
        <f t="shared" si="6"/>
        <v>--</v>
      </c>
      <c r="S29" s="737" t="str">
        <f t="shared" si="7"/>
        <v>--</v>
      </c>
      <c r="T29" s="738" t="str">
        <f t="shared" si="8"/>
        <v>--</v>
      </c>
      <c r="U29" s="747">
        <f t="shared" si="9"/>
      </c>
      <c r="V29" s="750">
        <f t="shared" si="10"/>
      </c>
      <c r="W29" s="678"/>
    </row>
    <row r="30" spans="2:23" s="661" customFormat="1" ht="16.5" customHeight="1">
      <c r="B30" s="675"/>
      <c r="C30" s="731"/>
      <c r="D30" s="731"/>
      <c r="E30" s="731"/>
      <c r="F30" s="751"/>
      <c r="G30" s="751"/>
      <c r="H30" s="752"/>
      <c r="I30" s="741">
        <f t="shared" si="0"/>
        <v>66.34379999999999</v>
      </c>
      <c r="J30" s="742"/>
      <c r="K30" s="743"/>
      <c r="L30" s="744">
        <f t="shared" si="1"/>
      </c>
      <c r="M30" s="745">
        <f t="shared" si="2"/>
      </c>
      <c r="N30" s="746"/>
      <c r="O30" s="747">
        <f t="shared" si="3"/>
      </c>
      <c r="P30" s="748">
        <f t="shared" si="4"/>
        <v>40</v>
      </c>
      <c r="Q30" s="749" t="str">
        <f t="shared" si="5"/>
        <v>--</v>
      </c>
      <c r="R30" s="736" t="str">
        <f t="shared" si="6"/>
        <v>--</v>
      </c>
      <c r="S30" s="737" t="str">
        <f t="shared" si="7"/>
        <v>--</v>
      </c>
      <c r="T30" s="738" t="str">
        <f t="shared" si="8"/>
        <v>--</v>
      </c>
      <c r="U30" s="747">
        <f t="shared" si="9"/>
      </c>
      <c r="V30" s="750">
        <f t="shared" si="10"/>
      </c>
      <c r="W30" s="678"/>
    </row>
    <row r="31" spans="2:23" s="661" customFormat="1" ht="16.5" customHeight="1">
      <c r="B31" s="675"/>
      <c r="C31" s="731"/>
      <c r="D31" s="731"/>
      <c r="E31" s="731"/>
      <c r="F31" s="751"/>
      <c r="G31" s="751"/>
      <c r="H31" s="752"/>
      <c r="I31" s="741">
        <f t="shared" si="0"/>
        <v>66.34379999999999</v>
      </c>
      <c r="J31" s="742"/>
      <c r="K31" s="743"/>
      <c r="L31" s="744">
        <f t="shared" si="1"/>
      </c>
      <c r="M31" s="745">
        <f t="shared" si="2"/>
      </c>
      <c r="N31" s="746"/>
      <c r="O31" s="747">
        <f t="shared" si="3"/>
      </c>
      <c r="P31" s="748">
        <f t="shared" si="4"/>
        <v>40</v>
      </c>
      <c r="Q31" s="749" t="str">
        <f t="shared" si="5"/>
        <v>--</v>
      </c>
      <c r="R31" s="736" t="str">
        <f t="shared" si="6"/>
        <v>--</v>
      </c>
      <c r="S31" s="737" t="str">
        <f t="shared" si="7"/>
        <v>--</v>
      </c>
      <c r="T31" s="738" t="str">
        <f t="shared" si="8"/>
        <v>--</v>
      </c>
      <c r="U31" s="747">
        <f t="shared" si="9"/>
      </c>
      <c r="V31" s="750">
        <f t="shared" si="10"/>
      </c>
      <c r="W31" s="678"/>
    </row>
    <row r="32" spans="2:23" s="661" customFormat="1" ht="16.5" customHeight="1">
      <c r="B32" s="675"/>
      <c r="C32" s="731"/>
      <c r="D32" s="731"/>
      <c r="E32" s="731"/>
      <c r="F32" s="751"/>
      <c r="G32" s="751"/>
      <c r="H32" s="752"/>
      <c r="I32" s="741">
        <f t="shared" si="0"/>
        <v>66.34379999999999</v>
      </c>
      <c r="J32" s="742"/>
      <c r="K32" s="743"/>
      <c r="L32" s="744">
        <f t="shared" si="1"/>
      </c>
      <c r="M32" s="745">
        <f t="shared" si="2"/>
      </c>
      <c r="N32" s="746"/>
      <c r="O32" s="747">
        <f t="shared" si="3"/>
      </c>
      <c r="P32" s="748">
        <f t="shared" si="4"/>
        <v>40</v>
      </c>
      <c r="Q32" s="749" t="str">
        <f t="shared" si="5"/>
        <v>--</v>
      </c>
      <c r="R32" s="736" t="str">
        <f t="shared" si="6"/>
        <v>--</v>
      </c>
      <c r="S32" s="737" t="str">
        <f t="shared" si="7"/>
        <v>--</v>
      </c>
      <c r="T32" s="738" t="str">
        <f t="shared" si="8"/>
        <v>--</v>
      </c>
      <c r="U32" s="747">
        <f t="shared" si="9"/>
      </c>
      <c r="V32" s="750">
        <f t="shared" si="10"/>
      </c>
      <c r="W32" s="678"/>
    </row>
    <row r="33" spans="2:23" s="661" customFormat="1" ht="16.5" customHeight="1">
      <c r="B33" s="675"/>
      <c r="C33" s="731"/>
      <c r="D33" s="731"/>
      <c r="E33" s="731"/>
      <c r="F33" s="751"/>
      <c r="G33" s="751"/>
      <c r="H33" s="752"/>
      <c r="I33" s="741">
        <f t="shared" si="0"/>
        <v>66.34379999999999</v>
      </c>
      <c r="J33" s="742"/>
      <c r="K33" s="743"/>
      <c r="L33" s="744">
        <f t="shared" si="1"/>
      </c>
      <c r="M33" s="745">
        <f t="shared" si="2"/>
      </c>
      <c r="N33" s="746"/>
      <c r="O33" s="747">
        <f t="shared" si="3"/>
      </c>
      <c r="P33" s="748">
        <f t="shared" si="4"/>
        <v>40</v>
      </c>
      <c r="Q33" s="749" t="str">
        <f t="shared" si="5"/>
        <v>--</v>
      </c>
      <c r="R33" s="736" t="str">
        <f t="shared" si="6"/>
        <v>--</v>
      </c>
      <c r="S33" s="737" t="str">
        <f t="shared" si="7"/>
        <v>--</v>
      </c>
      <c r="T33" s="738" t="str">
        <f t="shared" si="8"/>
        <v>--</v>
      </c>
      <c r="U33" s="747">
        <f t="shared" si="9"/>
      </c>
      <c r="V33" s="750">
        <f t="shared" si="10"/>
      </c>
      <c r="W33" s="678"/>
    </row>
    <row r="34" spans="2:23" s="661" customFormat="1" ht="16.5" customHeight="1">
      <c r="B34" s="675"/>
      <c r="C34" s="731"/>
      <c r="D34" s="731"/>
      <c r="E34" s="731"/>
      <c r="F34" s="751"/>
      <c r="G34" s="751"/>
      <c r="H34" s="752"/>
      <c r="I34" s="741">
        <f t="shared" si="0"/>
        <v>66.34379999999999</v>
      </c>
      <c r="J34" s="742"/>
      <c r="K34" s="743"/>
      <c r="L34" s="744">
        <f t="shared" si="1"/>
      </c>
      <c r="M34" s="745">
        <f t="shared" si="2"/>
      </c>
      <c r="N34" s="746"/>
      <c r="O34" s="747">
        <f t="shared" si="3"/>
      </c>
      <c r="P34" s="748">
        <f t="shared" si="4"/>
        <v>40</v>
      </c>
      <c r="Q34" s="749" t="str">
        <f t="shared" si="5"/>
        <v>--</v>
      </c>
      <c r="R34" s="736" t="str">
        <f t="shared" si="6"/>
        <v>--</v>
      </c>
      <c r="S34" s="737" t="str">
        <f t="shared" si="7"/>
        <v>--</v>
      </c>
      <c r="T34" s="738" t="str">
        <f t="shared" si="8"/>
        <v>--</v>
      </c>
      <c r="U34" s="747">
        <f t="shared" si="9"/>
      </c>
      <c r="V34" s="750">
        <f t="shared" si="10"/>
      </c>
      <c r="W34" s="678"/>
    </row>
    <row r="35" spans="2:23" s="661" customFormat="1" ht="16.5" customHeight="1">
      <c r="B35" s="675"/>
      <c r="C35" s="731"/>
      <c r="D35" s="731"/>
      <c r="E35" s="731"/>
      <c r="F35" s="751"/>
      <c r="G35" s="751"/>
      <c r="H35" s="752"/>
      <c r="I35" s="741">
        <f t="shared" si="0"/>
        <v>66.34379999999999</v>
      </c>
      <c r="J35" s="742"/>
      <c r="K35" s="743"/>
      <c r="L35" s="744">
        <f t="shared" si="1"/>
      </c>
      <c r="M35" s="745">
        <f t="shared" si="2"/>
      </c>
      <c r="N35" s="746"/>
      <c r="O35" s="747">
        <f t="shared" si="3"/>
      </c>
      <c r="P35" s="748">
        <f t="shared" si="4"/>
        <v>40</v>
      </c>
      <c r="Q35" s="749" t="str">
        <f t="shared" si="5"/>
        <v>--</v>
      </c>
      <c r="R35" s="736" t="str">
        <f t="shared" si="6"/>
        <v>--</v>
      </c>
      <c r="S35" s="737" t="str">
        <f t="shared" si="7"/>
        <v>--</v>
      </c>
      <c r="T35" s="738" t="str">
        <f t="shared" si="8"/>
        <v>--</v>
      </c>
      <c r="U35" s="747">
        <f t="shared" si="9"/>
      </c>
      <c r="V35" s="750">
        <f t="shared" si="10"/>
      </c>
      <c r="W35" s="678"/>
    </row>
    <row r="36" spans="2:23" s="661" customFormat="1" ht="16.5" customHeight="1">
      <c r="B36" s="675"/>
      <c r="C36" s="731"/>
      <c r="D36" s="731"/>
      <c r="E36" s="731"/>
      <c r="F36" s="751"/>
      <c r="G36" s="751"/>
      <c r="H36" s="752"/>
      <c r="I36" s="741">
        <f t="shared" si="0"/>
        <v>66.34379999999999</v>
      </c>
      <c r="J36" s="742"/>
      <c r="K36" s="743"/>
      <c r="L36" s="744">
        <f t="shared" si="1"/>
      </c>
      <c r="M36" s="745">
        <f t="shared" si="2"/>
      </c>
      <c r="N36" s="746"/>
      <c r="O36" s="747">
        <f t="shared" si="3"/>
      </c>
      <c r="P36" s="748">
        <f t="shared" si="4"/>
        <v>40</v>
      </c>
      <c r="Q36" s="749" t="str">
        <f t="shared" si="5"/>
        <v>--</v>
      </c>
      <c r="R36" s="736" t="str">
        <f t="shared" si="6"/>
        <v>--</v>
      </c>
      <c r="S36" s="737" t="str">
        <f t="shared" si="7"/>
        <v>--</v>
      </c>
      <c r="T36" s="738" t="str">
        <f t="shared" si="8"/>
        <v>--</v>
      </c>
      <c r="U36" s="747">
        <f t="shared" si="9"/>
      </c>
      <c r="V36" s="750">
        <f t="shared" si="10"/>
      </c>
      <c r="W36" s="678"/>
    </row>
    <row r="37" spans="2:23" s="661" customFormat="1" ht="16.5" customHeight="1">
      <c r="B37" s="675"/>
      <c r="C37" s="731"/>
      <c r="D37" s="731"/>
      <c r="E37" s="731"/>
      <c r="F37" s="751"/>
      <c r="G37" s="751"/>
      <c r="H37" s="752"/>
      <c r="I37" s="741">
        <f t="shared" si="0"/>
        <v>66.34379999999999</v>
      </c>
      <c r="J37" s="742"/>
      <c r="K37" s="743"/>
      <c r="L37" s="744">
        <f t="shared" si="1"/>
      </c>
      <c r="M37" s="745">
        <f t="shared" si="2"/>
      </c>
      <c r="N37" s="746"/>
      <c r="O37" s="747">
        <f t="shared" si="3"/>
      </c>
      <c r="P37" s="748">
        <f t="shared" si="4"/>
        <v>40</v>
      </c>
      <c r="Q37" s="749" t="str">
        <f t="shared" si="5"/>
        <v>--</v>
      </c>
      <c r="R37" s="736" t="str">
        <f t="shared" si="6"/>
        <v>--</v>
      </c>
      <c r="S37" s="737" t="str">
        <f t="shared" si="7"/>
        <v>--</v>
      </c>
      <c r="T37" s="738" t="str">
        <f t="shared" si="8"/>
        <v>--</v>
      </c>
      <c r="U37" s="747">
        <f t="shared" si="9"/>
      </c>
      <c r="V37" s="750">
        <f t="shared" si="10"/>
      </c>
      <c r="W37" s="678"/>
    </row>
    <row r="38" spans="2:23" s="661" customFormat="1" ht="16.5" customHeight="1">
      <c r="B38" s="675"/>
      <c r="C38" s="731"/>
      <c r="D38" s="731"/>
      <c r="E38" s="731"/>
      <c r="F38" s="751"/>
      <c r="G38" s="751"/>
      <c r="H38" s="752"/>
      <c r="I38" s="741">
        <f t="shared" si="0"/>
        <v>66.34379999999999</v>
      </c>
      <c r="J38" s="742"/>
      <c r="K38" s="743"/>
      <c r="L38" s="744">
        <f t="shared" si="1"/>
      </c>
      <c r="M38" s="745">
        <f t="shared" si="2"/>
      </c>
      <c r="N38" s="746"/>
      <c r="O38" s="747">
        <f t="shared" si="3"/>
      </c>
      <c r="P38" s="748">
        <f t="shared" si="4"/>
        <v>40</v>
      </c>
      <c r="Q38" s="749" t="str">
        <f t="shared" si="5"/>
        <v>--</v>
      </c>
      <c r="R38" s="736" t="str">
        <f t="shared" si="6"/>
        <v>--</v>
      </c>
      <c r="S38" s="737" t="str">
        <f t="shared" si="7"/>
        <v>--</v>
      </c>
      <c r="T38" s="738" t="str">
        <f t="shared" si="8"/>
        <v>--</v>
      </c>
      <c r="U38" s="747">
        <f t="shared" si="9"/>
      </c>
      <c r="V38" s="750">
        <f t="shared" si="10"/>
      </c>
      <c r="W38" s="678"/>
    </row>
    <row r="39" spans="2:23" s="661" customFormat="1" ht="16.5" customHeight="1">
      <c r="B39" s="675"/>
      <c r="C39" s="731"/>
      <c r="D39" s="731"/>
      <c r="E39" s="731"/>
      <c r="F39" s="751"/>
      <c r="G39" s="751"/>
      <c r="H39" s="752"/>
      <c r="I39" s="741">
        <f t="shared" si="0"/>
        <v>66.34379999999999</v>
      </c>
      <c r="J39" s="742"/>
      <c r="K39" s="743"/>
      <c r="L39" s="744">
        <f t="shared" si="1"/>
      </c>
      <c r="M39" s="745">
        <f t="shared" si="2"/>
      </c>
      <c r="N39" s="746"/>
      <c r="O39" s="747">
        <f t="shared" si="3"/>
      </c>
      <c r="P39" s="748">
        <f t="shared" si="4"/>
        <v>40</v>
      </c>
      <c r="Q39" s="749" t="str">
        <f t="shared" si="5"/>
        <v>--</v>
      </c>
      <c r="R39" s="736" t="str">
        <f t="shared" si="6"/>
        <v>--</v>
      </c>
      <c r="S39" s="737" t="str">
        <f t="shared" si="7"/>
        <v>--</v>
      </c>
      <c r="T39" s="738" t="str">
        <f t="shared" si="8"/>
        <v>--</v>
      </c>
      <c r="U39" s="747">
        <f t="shared" si="9"/>
      </c>
      <c r="V39" s="750">
        <f t="shared" si="10"/>
      </c>
      <c r="W39" s="678"/>
    </row>
    <row r="40" spans="2:23" s="661" customFormat="1" ht="16.5" customHeight="1" thickBot="1">
      <c r="B40" s="675"/>
      <c r="C40" s="731"/>
      <c r="D40" s="753"/>
      <c r="E40" s="731"/>
      <c r="F40" s="754"/>
      <c r="G40" s="754"/>
      <c r="H40" s="755"/>
      <c r="I40" s="756"/>
      <c r="J40" s="757"/>
      <c r="K40" s="757"/>
      <c r="L40" s="758"/>
      <c r="M40" s="758"/>
      <c r="N40" s="757"/>
      <c r="O40" s="759"/>
      <c r="P40" s="760"/>
      <c r="Q40" s="761"/>
      <c r="R40" s="762"/>
      <c r="S40" s="763"/>
      <c r="T40" s="764"/>
      <c r="U40" s="759"/>
      <c r="V40" s="765"/>
      <c r="W40" s="678"/>
    </row>
    <row r="41" spans="2:23" s="661" customFormat="1" ht="16.5" customHeight="1" thickBot="1" thickTop="1">
      <c r="B41" s="675"/>
      <c r="C41" s="766" t="s">
        <v>327</v>
      </c>
      <c r="D41" s="767" t="s">
        <v>345</v>
      </c>
      <c r="E41" s="768"/>
      <c r="F41" s="769"/>
      <c r="G41" s="770"/>
      <c r="H41" s="676"/>
      <c r="I41" s="676"/>
      <c r="J41" s="676"/>
      <c r="K41" s="676"/>
      <c r="L41" s="676"/>
      <c r="M41" s="676"/>
      <c r="N41" s="676"/>
      <c r="O41" s="676"/>
      <c r="P41" s="676"/>
      <c r="Q41" s="771">
        <f>SUM(Q22:Q40)</f>
        <v>1000.4645039999998</v>
      </c>
      <c r="R41" s="772">
        <f>SUM(R22:R40)</f>
        <v>0</v>
      </c>
      <c r="S41" s="773">
        <f>SUM(S22:S40)</f>
        <v>0</v>
      </c>
      <c r="T41" s="774">
        <f>SUM(T22:T40)</f>
        <v>0</v>
      </c>
      <c r="U41" s="775"/>
      <c r="V41" s="776">
        <f>ROUND(SUM(V22:V40),2)</f>
        <v>1000.46</v>
      </c>
      <c r="W41" s="678"/>
    </row>
    <row r="42" spans="2:23" s="661" customFormat="1" ht="16.5" customHeight="1" thickBot="1" thickTop="1">
      <c r="B42" s="777"/>
      <c r="C42" s="778"/>
      <c r="D42" s="778"/>
      <c r="E42" s="778"/>
      <c r="F42" s="778"/>
      <c r="G42" s="778"/>
      <c r="H42" s="778"/>
      <c r="I42" s="778"/>
      <c r="J42" s="778"/>
      <c r="K42" s="778"/>
      <c r="L42" s="778"/>
      <c r="M42" s="778"/>
      <c r="N42" s="778"/>
      <c r="O42" s="778"/>
      <c r="P42" s="778"/>
      <c r="Q42" s="778"/>
      <c r="R42" s="778"/>
      <c r="S42" s="778"/>
      <c r="T42" s="778"/>
      <c r="U42" s="778"/>
      <c r="V42" s="778"/>
      <c r="W42" s="779"/>
    </row>
    <row r="43" spans="23:25" ht="16.5" customHeight="1" thickTop="1">
      <c r="W43" s="780"/>
      <c r="X43" s="780"/>
      <c r="Y43" s="780"/>
    </row>
    <row r="44" spans="23:25" ht="16.5" customHeight="1">
      <c r="W44" s="780"/>
      <c r="X44" s="780"/>
      <c r="Y44" s="780"/>
    </row>
    <row r="45" spans="6:25" ht="16.5" customHeight="1">
      <c r="F45" s="770" t="s">
        <v>346</v>
      </c>
      <c r="W45" s="780"/>
      <c r="X45" s="780"/>
      <c r="Y45" s="780"/>
    </row>
    <row r="46" spans="23:25" ht="16.5" customHeight="1">
      <c r="W46" s="780"/>
      <c r="X46" s="780"/>
      <c r="Y46" s="780"/>
    </row>
    <row r="47" spans="23:25" ht="16.5" customHeight="1">
      <c r="W47" s="780"/>
      <c r="X47" s="780"/>
      <c r="Y47" s="780"/>
    </row>
    <row r="48" spans="6:25" ht="16.5" customHeight="1">
      <c r="F48" s="780"/>
      <c r="G48" s="780"/>
      <c r="H48" s="780"/>
      <c r="I48" s="780"/>
      <c r="J48" s="780"/>
      <c r="K48" s="780"/>
      <c r="L48" s="780"/>
      <c r="M48" s="780"/>
      <c r="N48" s="780"/>
      <c r="O48" s="780"/>
      <c r="P48" s="780"/>
      <c r="Q48" s="780"/>
      <c r="R48" s="780"/>
      <c r="S48" s="780"/>
      <c r="T48" s="780"/>
      <c r="U48" s="780"/>
      <c r="V48" s="780"/>
      <c r="W48" s="780"/>
      <c r="X48" s="780"/>
      <c r="Y48" s="780"/>
    </row>
    <row r="49" spans="6:25" ht="16.5" customHeight="1">
      <c r="F49" s="780"/>
      <c r="G49" s="780"/>
      <c r="H49" s="780"/>
      <c r="I49" s="780"/>
      <c r="J49" s="780"/>
      <c r="K49" s="780"/>
      <c r="L49" s="780"/>
      <c r="M49" s="780"/>
      <c r="N49" s="780"/>
      <c r="O49" s="780"/>
      <c r="P49" s="780"/>
      <c r="Q49" s="780"/>
      <c r="R49" s="780"/>
      <c r="S49" s="780"/>
      <c r="T49" s="780"/>
      <c r="U49" s="780"/>
      <c r="V49" s="780"/>
      <c r="W49" s="780"/>
      <c r="X49" s="780"/>
      <c r="Y49" s="780"/>
    </row>
    <row r="50" spans="6:25" ht="16.5" customHeight="1">
      <c r="F50" s="780"/>
      <c r="G50" s="780"/>
      <c r="H50" s="780"/>
      <c r="I50" s="780"/>
      <c r="J50" s="780"/>
      <c r="K50" s="780"/>
      <c r="L50" s="780"/>
      <c r="M50" s="780"/>
      <c r="N50" s="780"/>
      <c r="O50" s="780"/>
      <c r="P50" s="780"/>
      <c r="Q50" s="780"/>
      <c r="R50" s="780"/>
      <c r="S50" s="780"/>
      <c r="T50" s="780"/>
      <c r="U50" s="780"/>
      <c r="V50" s="780"/>
      <c r="W50" s="780"/>
      <c r="X50" s="780"/>
      <c r="Y50" s="780"/>
    </row>
    <row r="51" spans="6:25" ht="16.5" customHeight="1">
      <c r="F51" s="780"/>
      <c r="G51" s="780"/>
      <c r="H51" s="780"/>
      <c r="I51" s="780"/>
      <c r="J51" s="780"/>
      <c r="K51" s="780"/>
      <c r="L51" s="780"/>
      <c r="M51" s="780"/>
      <c r="N51" s="780"/>
      <c r="O51" s="780"/>
      <c r="P51" s="780"/>
      <c r="Q51" s="780"/>
      <c r="R51" s="780"/>
      <c r="S51" s="780"/>
      <c r="T51" s="780"/>
      <c r="U51" s="780"/>
      <c r="V51" s="780"/>
      <c r="W51" s="780"/>
      <c r="X51" s="780"/>
      <c r="Y51" s="780"/>
    </row>
    <row r="52" spans="6:25" ht="16.5" customHeight="1">
      <c r="F52" s="780"/>
      <c r="G52" s="780"/>
      <c r="H52" s="780"/>
      <c r="I52" s="780"/>
      <c r="J52" s="780"/>
      <c r="K52" s="780"/>
      <c r="L52" s="780"/>
      <c r="M52" s="780"/>
      <c r="N52" s="780"/>
      <c r="O52" s="780"/>
      <c r="P52" s="780"/>
      <c r="Q52" s="780"/>
      <c r="R52" s="780"/>
      <c r="S52" s="780"/>
      <c r="T52" s="780"/>
      <c r="U52" s="780"/>
      <c r="V52" s="780"/>
      <c r="W52" s="780"/>
      <c r="X52" s="780"/>
      <c r="Y52" s="780"/>
    </row>
    <row r="53" spans="6:25" ht="16.5" customHeight="1">
      <c r="F53" s="780"/>
      <c r="G53" s="780"/>
      <c r="H53" s="780"/>
      <c r="I53" s="780"/>
      <c r="J53" s="780"/>
      <c r="K53" s="780"/>
      <c r="L53" s="780"/>
      <c r="M53" s="780"/>
      <c r="N53" s="780"/>
      <c r="O53" s="780"/>
      <c r="P53" s="780"/>
      <c r="Q53" s="780"/>
      <c r="R53" s="780"/>
      <c r="S53" s="780"/>
      <c r="T53" s="780"/>
      <c r="U53" s="780"/>
      <c r="V53" s="780"/>
      <c r="W53" s="780"/>
      <c r="X53" s="780"/>
      <c r="Y53" s="780"/>
    </row>
    <row r="54" spans="6:25" ht="16.5" customHeight="1">
      <c r="F54" s="780"/>
      <c r="G54" s="780"/>
      <c r="H54" s="780"/>
      <c r="I54" s="780"/>
      <c r="J54" s="780"/>
      <c r="K54" s="780"/>
      <c r="L54" s="780"/>
      <c r="M54" s="780"/>
      <c r="N54" s="780"/>
      <c r="O54" s="780"/>
      <c r="P54" s="780"/>
      <c r="Q54" s="780"/>
      <c r="R54" s="780"/>
      <c r="S54" s="780"/>
      <c r="T54" s="780"/>
      <c r="U54" s="780"/>
      <c r="V54" s="780"/>
      <c r="W54" s="780"/>
      <c r="X54" s="780"/>
      <c r="Y54" s="780"/>
    </row>
    <row r="55" spans="6:25" ht="16.5" customHeight="1">
      <c r="F55" s="780"/>
      <c r="G55" s="780"/>
      <c r="H55" s="780"/>
      <c r="I55" s="780"/>
      <c r="J55" s="780"/>
      <c r="K55" s="780"/>
      <c r="L55" s="780"/>
      <c r="M55" s="780"/>
      <c r="N55" s="780"/>
      <c r="O55" s="780"/>
      <c r="P55" s="780"/>
      <c r="Q55" s="780"/>
      <c r="R55" s="780"/>
      <c r="S55" s="780"/>
      <c r="T55" s="780"/>
      <c r="U55" s="780"/>
      <c r="V55" s="780"/>
      <c r="W55" s="780"/>
      <c r="X55" s="780"/>
      <c r="Y55" s="780"/>
    </row>
    <row r="56" spans="6:25" ht="16.5" customHeight="1">
      <c r="F56" s="780"/>
      <c r="G56" s="780"/>
      <c r="H56" s="780"/>
      <c r="I56" s="780"/>
      <c r="J56" s="780"/>
      <c r="K56" s="780"/>
      <c r="L56" s="780"/>
      <c r="M56" s="780"/>
      <c r="N56" s="780"/>
      <c r="O56" s="780"/>
      <c r="P56" s="780"/>
      <c r="Q56" s="780"/>
      <c r="R56" s="780"/>
      <c r="S56" s="780"/>
      <c r="T56" s="780"/>
      <c r="U56" s="780"/>
      <c r="V56" s="780"/>
      <c r="W56" s="780"/>
      <c r="X56" s="780"/>
      <c r="Y56" s="780"/>
    </row>
    <row r="57" spans="6:25" ht="16.5" customHeight="1">
      <c r="F57" s="780"/>
      <c r="G57" s="780"/>
      <c r="H57" s="780"/>
      <c r="I57" s="780"/>
      <c r="J57" s="780"/>
      <c r="K57" s="780"/>
      <c r="L57" s="780"/>
      <c r="M57" s="780"/>
      <c r="N57" s="780"/>
      <c r="O57" s="780"/>
      <c r="P57" s="780"/>
      <c r="Q57" s="780"/>
      <c r="R57" s="780"/>
      <c r="S57" s="780"/>
      <c r="T57" s="780"/>
      <c r="U57" s="780"/>
      <c r="V57" s="780"/>
      <c r="W57" s="780"/>
      <c r="X57" s="780"/>
      <c r="Y57" s="780"/>
    </row>
    <row r="58" spans="6:25" ht="16.5" customHeight="1">
      <c r="F58" s="780"/>
      <c r="G58" s="780"/>
      <c r="H58" s="780"/>
      <c r="I58" s="780"/>
      <c r="J58" s="780"/>
      <c r="K58" s="780"/>
      <c r="L58" s="780"/>
      <c r="M58" s="780"/>
      <c r="N58" s="780"/>
      <c r="O58" s="780"/>
      <c r="P58" s="780"/>
      <c r="Q58" s="780"/>
      <c r="R58" s="780"/>
      <c r="S58" s="780"/>
      <c r="T58" s="780"/>
      <c r="U58" s="780"/>
      <c r="V58" s="780"/>
      <c r="W58" s="780"/>
      <c r="X58" s="780"/>
      <c r="Y58" s="780"/>
    </row>
    <row r="59" spans="6:25" ht="16.5" customHeight="1">
      <c r="F59" s="780"/>
      <c r="G59" s="780"/>
      <c r="H59" s="780"/>
      <c r="I59" s="780"/>
      <c r="J59" s="780"/>
      <c r="K59" s="780"/>
      <c r="L59" s="780"/>
      <c r="M59" s="780"/>
      <c r="N59" s="780"/>
      <c r="O59" s="780"/>
      <c r="P59" s="780"/>
      <c r="Q59" s="780"/>
      <c r="R59" s="780"/>
      <c r="S59" s="780"/>
      <c r="T59" s="780"/>
      <c r="U59" s="780"/>
      <c r="V59" s="780"/>
      <c r="W59" s="780"/>
      <c r="X59" s="780"/>
      <c r="Y59" s="780"/>
    </row>
    <row r="60" spans="6:25" ht="16.5" customHeight="1">
      <c r="F60" s="780"/>
      <c r="G60" s="780"/>
      <c r="H60" s="780"/>
      <c r="I60" s="780"/>
      <c r="J60" s="780"/>
      <c r="K60" s="780"/>
      <c r="L60" s="780"/>
      <c r="M60" s="780"/>
      <c r="N60" s="780"/>
      <c r="O60" s="780"/>
      <c r="P60" s="780"/>
      <c r="Q60" s="780"/>
      <c r="R60" s="780"/>
      <c r="S60" s="780"/>
      <c r="T60" s="780"/>
      <c r="U60" s="780"/>
      <c r="V60" s="780"/>
      <c r="W60" s="780"/>
      <c r="X60" s="780"/>
      <c r="Y60" s="780"/>
    </row>
    <row r="61" spans="6:25" ht="16.5" customHeight="1">
      <c r="F61" s="780"/>
      <c r="G61" s="780"/>
      <c r="H61" s="780"/>
      <c r="I61" s="780"/>
      <c r="J61" s="780"/>
      <c r="K61" s="780"/>
      <c r="L61" s="780"/>
      <c r="M61" s="780"/>
      <c r="N61" s="780"/>
      <c r="O61" s="780"/>
      <c r="P61" s="780"/>
      <c r="Q61" s="780"/>
      <c r="R61" s="780"/>
      <c r="S61" s="780"/>
      <c r="T61" s="780"/>
      <c r="U61" s="780"/>
      <c r="V61" s="780"/>
      <c r="W61" s="780"/>
      <c r="X61" s="780"/>
      <c r="Y61" s="780"/>
    </row>
    <row r="62" spans="6:25" ht="16.5" customHeight="1">
      <c r="F62" s="780"/>
      <c r="G62" s="780"/>
      <c r="H62" s="780"/>
      <c r="I62" s="780"/>
      <c r="J62" s="780"/>
      <c r="K62" s="780"/>
      <c r="L62" s="780"/>
      <c r="M62" s="780"/>
      <c r="N62" s="780"/>
      <c r="O62" s="780"/>
      <c r="P62" s="780"/>
      <c r="Q62" s="780"/>
      <c r="R62" s="780"/>
      <c r="S62" s="780"/>
      <c r="T62" s="780"/>
      <c r="U62" s="780"/>
      <c r="V62" s="780"/>
      <c r="W62" s="780"/>
      <c r="X62" s="780"/>
      <c r="Y62" s="780"/>
    </row>
    <row r="63" spans="6:25" ht="16.5" customHeight="1">
      <c r="F63" s="780"/>
      <c r="G63" s="780"/>
      <c r="H63" s="780"/>
      <c r="I63" s="780"/>
      <c r="J63" s="780"/>
      <c r="K63" s="780"/>
      <c r="L63" s="780"/>
      <c r="M63" s="780"/>
      <c r="N63" s="780"/>
      <c r="O63" s="780"/>
      <c r="P63" s="780"/>
      <c r="Q63" s="780"/>
      <c r="R63" s="780"/>
      <c r="S63" s="780"/>
      <c r="T63" s="780"/>
      <c r="U63" s="780"/>
      <c r="V63" s="780"/>
      <c r="W63" s="780"/>
      <c r="X63" s="780"/>
      <c r="Y63" s="780"/>
    </row>
    <row r="64" spans="6:25" ht="16.5" customHeight="1">
      <c r="F64" s="780"/>
      <c r="G64" s="780"/>
      <c r="H64" s="780"/>
      <c r="I64" s="780"/>
      <c r="J64" s="780"/>
      <c r="K64" s="780"/>
      <c r="L64" s="780"/>
      <c r="M64" s="780"/>
      <c r="N64" s="780"/>
      <c r="O64" s="780"/>
      <c r="P64" s="780"/>
      <c r="Q64" s="780"/>
      <c r="R64" s="780"/>
      <c r="S64" s="780"/>
      <c r="T64" s="780"/>
      <c r="U64" s="780"/>
      <c r="V64" s="780"/>
      <c r="W64" s="780"/>
      <c r="X64" s="780"/>
      <c r="Y64" s="780"/>
    </row>
    <row r="65" spans="6:25" ht="16.5" customHeight="1">
      <c r="F65" s="780"/>
      <c r="G65" s="780"/>
      <c r="H65" s="780"/>
      <c r="I65" s="780"/>
      <c r="J65" s="780"/>
      <c r="K65" s="780"/>
      <c r="L65" s="780"/>
      <c r="M65" s="780"/>
      <c r="N65" s="780"/>
      <c r="O65" s="780"/>
      <c r="P65" s="780"/>
      <c r="Q65" s="780"/>
      <c r="R65" s="780"/>
      <c r="S65" s="780"/>
      <c r="T65" s="780"/>
      <c r="U65" s="780"/>
      <c r="V65" s="780"/>
      <c r="W65" s="780"/>
      <c r="X65" s="780"/>
      <c r="Y65" s="780"/>
    </row>
    <row r="66" spans="6:25" ht="16.5" customHeight="1">
      <c r="F66" s="780"/>
      <c r="G66" s="780"/>
      <c r="H66" s="780"/>
      <c r="I66" s="780"/>
      <c r="J66" s="780"/>
      <c r="K66" s="780"/>
      <c r="L66" s="780"/>
      <c r="M66" s="780"/>
      <c r="N66" s="780"/>
      <c r="O66" s="780"/>
      <c r="P66" s="780"/>
      <c r="Q66" s="780"/>
      <c r="R66" s="780"/>
      <c r="S66" s="780"/>
      <c r="T66" s="780"/>
      <c r="U66" s="780"/>
      <c r="V66" s="780"/>
      <c r="W66" s="780"/>
      <c r="X66" s="780"/>
      <c r="Y66" s="780"/>
    </row>
    <row r="67" spans="6:25" ht="16.5" customHeight="1">
      <c r="F67" s="780"/>
      <c r="G67" s="780"/>
      <c r="H67" s="780"/>
      <c r="I67" s="780"/>
      <c r="J67" s="780"/>
      <c r="K67" s="780"/>
      <c r="L67" s="780"/>
      <c r="M67" s="780"/>
      <c r="N67" s="780"/>
      <c r="O67" s="780"/>
      <c r="P67" s="780"/>
      <c r="Q67" s="780"/>
      <c r="R67" s="780"/>
      <c r="S67" s="780"/>
      <c r="T67" s="780"/>
      <c r="U67" s="780"/>
      <c r="V67" s="780"/>
      <c r="W67" s="780"/>
      <c r="X67" s="780"/>
      <c r="Y67" s="780"/>
    </row>
    <row r="68" spans="6:25" ht="16.5" customHeight="1">
      <c r="F68" s="780"/>
      <c r="G68" s="780"/>
      <c r="H68" s="780"/>
      <c r="I68" s="780"/>
      <c r="J68" s="780"/>
      <c r="K68" s="780"/>
      <c r="L68" s="780"/>
      <c r="M68" s="780"/>
      <c r="N68" s="780"/>
      <c r="O68" s="780"/>
      <c r="P68" s="780"/>
      <c r="Q68" s="780"/>
      <c r="R68" s="780"/>
      <c r="S68" s="780"/>
      <c r="T68" s="780"/>
      <c r="U68" s="780"/>
      <c r="V68" s="780"/>
      <c r="W68" s="780"/>
      <c r="X68" s="780"/>
      <c r="Y68" s="780"/>
    </row>
    <row r="69" spans="6:25" ht="16.5" customHeight="1">
      <c r="F69" s="780"/>
      <c r="G69" s="780"/>
      <c r="H69" s="780"/>
      <c r="I69" s="780"/>
      <c r="J69" s="780"/>
      <c r="K69" s="780"/>
      <c r="L69" s="780"/>
      <c r="M69" s="780"/>
      <c r="N69" s="780"/>
      <c r="O69" s="780"/>
      <c r="P69" s="780"/>
      <c r="Q69" s="780"/>
      <c r="R69" s="780"/>
      <c r="S69" s="780"/>
      <c r="T69" s="780"/>
      <c r="U69" s="780"/>
      <c r="V69" s="780"/>
      <c r="W69" s="780"/>
      <c r="X69" s="780"/>
      <c r="Y69" s="780"/>
    </row>
    <row r="70" spans="6:25" ht="16.5" customHeight="1">
      <c r="F70" s="780"/>
      <c r="G70" s="780"/>
      <c r="H70" s="780"/>
      <c r="I70" s="780"/>
      <c r="J70" s="780"/>
      <c r="K70" s="780"/>
      <c r="L70" s="780"/>
      <c r="M70" s="780"/>
      <c r="N70" s="780"/>
      <c r="O70" s="780"/>
      <c r="P70" s="780"/>
      <c r="Q70" s="780"/>
      <c r="R70" s="780"/>
      <c r="S70" s="780"/>
      <c r="T70" s="780"/>
      <c r="U70" s="780"/>
      <c r="V70" s="780"/>
      <c r="W70" s="780"/>
      <c r="X70" s="780"/>
      <c r="Y70" s="780"/>
    </row>
    <row r="71" spans="6:25" ht="16.5" customHeight="1">
      <c r="F71" s="780"/>
      <c r="G71" s="780"/>
      <c r="H71" s="780"/>
      <c r="I71" s="780"/>
      <c r="J71" s="780"/>
      <c r="K71" s="780"/>
      <c r="L71" s="780"/>
      <c r="M71" s="780"/>
      <c r="N71" s="780"/>
      <c r="O71" s="780"/>
      <c r="P71" s="780"/>
      <c r="Q71" s="780"/>
      <c r="R71" s="780"/>
      <c r="S71" s="780"/>
      <c r="T71" s="780"/>
      <c r="U71" s="780"/>
      <c r="V71" s="780"/>
      <c r="W71" s="780"/>
      <c r="X71" s="780"/>
      <c r="Y71" s="780"/>
    </row>
    <row r="72" spans="6:25" ht="16.5" customHeight="1">
      <c r="F72" s="780"/>
      <c r="G72" s="780"/>
      <c r="H72" s="780"/>
      <c r="I72" s="780"/>
      <c r="J72" s="780"/>
      <c r="K72" s="780"/>
      <c r="L72" s="780"/>
      <c r="M72" s="780"/>
      <c r="N72" s="780"/>
      <c r="O72" s="780"/>
      <c r="P72" s="780"/>
      <c r="Q72" s="780"/>
      <c r="R72" s="780"/>
      <c r="S72" s="780"/>
      <c r="T72" s="780"/>
      <c r="U72" s="780"/>
      <c r="V72" s="780"/>
      <c r="W72" s="780"/>
      <c r="X72" s="780"/>
      <c r="Y72" s="780"/>
    </row>
    <row r="73" spans="6:25" ht="16.5" customHeight="1">
      <c r="F73" s="780"/>
      <c r="G73" s="780"/>
      <c r="H73" s="780"/>
      <c r="I73" s="780"/>
      <c r="J73" s="780"/>
      <c r="K73" s="780"/>
      <c r="L73" s="780"/>
      <c r="M73" s="780"/>
      <c r="N73" s="780"/>
      <c r="O73" s="780"/>
      <c r="P73" s="780"/>
      <c r="Q73" s="780"/>
      <c r="R73" s="780"/>
      <c r="S73" s="780"/>
      <c r="T73" s="780"/>
      <c r="U73" s="780"/>
      <c r="V73" s="780"/>
      <c r="W73" s="780"/>
      <c r="X73" s="780"/>
      <c r="Y73" s="780"/>
    </row>
    <row r="74" spans="6:25" ht="16.5" customHeight="1">
      <c r="F74" s="780"/>
      <c r="G74" s="780"/>
      <c r="H74" s="780"/>
      <c r="I74" s="780"/>
      <c r="J74" s="780"/>
      <c r="K74" s="780"/>
      <c r="L74" s="780"/>
      <c r="M74" s="780"/>
      <c r="N74" s="780"/>
      <c r="O74" s="780"/>
      <c r="P74" s="780"/>
      <c r="Q74" s="780"/>
      <c r="R74" s="780"/>
      <c r="S74" s="780"/>
      <c r="T74" s="780"/>
      <c r="U74" s="780"/>
      <c r="V74" s="780"/>
      <c r="W74" s="780"/>
      <c r="X74" s="780"/>
      <c r="Y74" s="780"/>
    </row>
    <row r="75" spans="6:25" ht="16.5" customHeight="1">
      <c r="F75" s="780"/>
      <c r="G75" s="780"/>
      <c r="H75" s="780"/>
      <c r="I75" s="780"/>
      <c r="J75" s="780"/>
      <c r="K75" s="780"/>
      <c r="L75" s="780"/>
      <c r="M75" s="780"/>
      <c r="N75" s="780"/>
      <c r="O75" s="780"/>
      <c r="P75" s="780"/>
      <c r="Q75" s="780"/>
      <c r="R75" s="780"/>
      <c r="S75" s="780"/>
      <c r="T75" s="780"/>
      <c r="U75" s="780"/>
      <c r="V75" s="780"/>
      <c r="W75" s="780"/>
      <c r="X75" s="780"/>
      <c r="Y75" s="780"/>
    </row>
    <row r="76" spans="6:25" ht="16.5" customHeight="1">
      <c r="F76" s="780"/>
      <c r="G76" s="780"/>
      <c r="H76" s="780"/>
      <c r="I76" s="780"/>
      <c r="J76" s="780"/>
      <c r="K76" s="780"/>
      <c r="L76" s="780"/>
      <c r="M76" s="780"/>
      <c r="N76" s="780"/>
      <c r="O76" s="780"/>
      <c r="P76" s="780"/>
      <c r="Q76" s="780"/>
      <c r="R76" s="780"/>
      <c r="S76" s="780"/>
      <c r="T76" s="780"/>
      <c r="U76" s="780"/>
      <c r="V76" s="780"/>
      <c r="W76" s="780"/>
      <c r="X76" s="780"/>
      <c r="Y76" s="780"/>
    </row>
    <row r="77" spans="6:25" ht="16.5" customHeight="1">
      <c r="F77" s="780"/>
      <c r="G77" s="780"/>
      <c r="H77" s="780"/>
      <c r="I77" s="780"/>
      <c r="J77" s="780"/>
      <c r="K77" s="780"/>
      <c r="L77" s="780"/>
      <c r="M77" s="780"/>
      <c r="N77" s="780"/>
      <c r="O77" s="780"/>
      <c r="P77" s="780"/>
      <c r="Q77" s="780"/>
      <c r="R77" s="780"/>
      <c r="S77" s="780"/>
      <c r="T77" s="780"/>
      <c r="U77" s="780"/>
      <c r="V77" s="780"/>
      <c r="W77" s="780"/>
      <c r="X77" s="780"/>
      <c r="Y77" s="780"/>
    </row>
    <row r="78" spans="6:25" ht="16.5" customHeight="1">
      <c r="F78" s="780"/>
      <c r="G78" s="780"/>
      <c r="H78" s="780"/>
      <c r="I78" s="780"/>
      <c r="J78" s="780"/>
      <c r="K78" s="780"/>
      <c r="L78" s="780"/>
      <c r="M78" s="780"/>
      <c r="N78" s="780"/>
      <c r="O78" s="780"/>
      <c r="P78" s="780"/>
      <c r="Q78" s="780"/>
      <c r="R78" s="780"/>
      <c r="S78" s="780"/>
      <c r="T78" s="780"/>
      <c r="U78" s="780"/>
      <c r="V78" s="780"/>
      <c r="W78" s="780"/>
      <c r="X78" s="780"/>
      <c r="Y78" s="780"/>
    </row>
    <row r="79" spans="6:25" ht="16.5" customHeight="1">
      <c r="F79" s="780"/>
      <c r="G79" s="780"/>
      <c r="H79" s="780"/>
      <c r="I79" s="780"/>
      <c r="J79" s="780"/>
      <c r="K79" s="780"/>
      <c r="L79" s="780"/>
      <c r="M79" s="780"/>
      <c r="N79" s="780"/>
      <c r="O79" s="780"/>
      <c r="P79" s="780"/>
      <c r="Q79" s="780"/>
      <c r="R79" s="780"/>
      <c r="S79" s="780"/>
      <c r="T79" s="780"/>
      <c r="U79" s="780"/>
      <c r="V79" s="780"/>
      <c r="W79" s="780"/>
      <c r="X79" s="780"/>
      <c r="Y79" s="780"/>
    </row>
    <row r="80" spans="6:25" ht="16.5" customHeight="1">
      <c r="F80" s="780"/>
      <c r="G80" s="780"/>
      <c r="H80" s="780"/>
      <c r="I80" s="780"/>
      <c r="J80" s="780"/>
      <c r="K80" s="780"/>
      <c r="L80" s="780"/>
      <c r="M80" s="780"/>
      <c r="N80" s="780"/>
      <c r="O80" s="780"/>
      <c r="P80" s="780"/>
      <c r="Q80" s="780"/>
      <c r="R80" s="780"/>
      <c r="S80" s="780"/>
      <c r="T80" s="780"/>
      <c r="U80" s="780"/>
      <c r="V80" s="780"/>
      <c r="W80" s="780"/>
      <c r="X80" s="780"/>
      <c r="Y80" s="780"/>
    </row>
    <row r="81" spans="6:25" ht="16.5" customHeight="1">
      <c r="F81" s="780"/>
      <c r="G81" s="780"/>
      <c r="H81" s="780"/>
      <c r="I81" s="780"/>
      <c r="J81" s="780"/>
      <c r="K81" s="780"/>
      <c r="L81" s="780"/>
      <c r="M81" s="780"/>
      <c r="N81" s="780"/>
      <c r="O81" s="780"/>
      <c r="P81" s="780"/>
      <c r="Q81" s="780"/>
      <c r="R81" s="780"/>
      <c r="S81" s="780"/>
      <c r="T81" s="780"/>
      <c r="U81" s="780"/>
      <c r="V81" s="780"/>
      <c r="W81" s="780"/>
      <c r="X81" s="780"/>
      <c r="Y81" s="780"/>
    </row>
    <row r="82" spans="6:25" ht="16.5" customHeight="1">
      <c r="F82" s="780"/>
      <c r="G82" s="780"/>
      <c r="H82" s="780"/>
      <c r="I82" s="780"/>
      <c r="J82" s="780"/>
      <c r="K82" s="780"/>
      <c r="L82" s="780"/>
      <c r="M82" s="780"/>
      <c r="N82" s="780"/>
      <c r="O82" s="780"/>
      <c r="P82" s="780"/>
      <c r="Q82" s="780"/>
      <c r="R82" s="780"/>
      <c r="S82" s="780"/>
      <c r="T82" s="780"/>
      <c r="U82" s="780"/>
      <c r="V82" s="780"/>
      <c r="W82" s="780"/>
      <c r="X82" s="780"/>
      <c r="Y82" s="780"/>
    </row>
    <row r="83" spans="6:25" ht="16.5" customHeight="1">
      <c r="F83" s="780"/>
      <c r="G83" s="780"/>
      <c r="H83" s="780"/>
      <c r="I83" s="780"/>
      <c r="J83" s="780"/>
      <c r="K83" s="780"/>
      <c r="L83" s="780"/>
      <c r="M83" s="780"/>
      <c r="N83" s="780"/>
      <c r="O83" s="780"/>
      <c r="P83" s="780"/>
      <c r="Q83" s="780"/>
      <c r="R83" s="780"/>
      <c r="S83" s="780"/>
      <c r="T83" s="780"/>
      <c r="U83" s="780"/>
      <c r="V83" s="780"/>
      <c r="W83" s="780"/>
      <c r="X83" s="780"/>
      <c r="Y83" s="780"/>
    </row>
    <row r="84" spans="6:25" ht="16.5" customHeight="1">
      <c r="F84" s="780"/>
      <c r="G84" s="780"/>
      <c r="H84" s="780"/>
      <c r="I84" s="780"/>
      <c r="J84" s="780"/>
      <c r="K84" s="780"/>
      <c r="L84" s="780"/>
      <c r="M84" s="780"/>
      <c r="N84" s="780"/>
      <c r="O84" s="780"/>
      <c r="P84" s="780"/>
      <c r="Q84" s="780"/>
      <c r="R84" s="780"/>
      <c r="S84" s="780"/>
      <c r="T84" s="780"/>
      <c r="U84" s="780"/>
      <c r="V84" s="780"/>
      <c r="W84" s="780"/>
      <c r="X84" s="780"/>
      <c r="Y84" s="780"/>
    </row>
    <row r="85" spans="6:25" ht="16.5" customHeight="1">
      <c r="F85" s="780"/>
      <c r="G85" s="780"/>
      <c r="H85" s="780"/>
      <c r="I85" s="780"/>
      <c r="J85" s="780"/>
      <c r="K85" s="780"/>
      <c r="L85" s="780"/>
      <c r="M85" s="780"/>
      <c r="N85" s="780"/>
      <c r="O85" s="780"/>
      <c r="P85" s="780"/>
      <c r="Q85" s="780"/>
      <c r="R85" s="780"/>
      <c r="S85" s="780"/>
      <c r="T85" s="780"/>
      <c r="U85" s="780"/>
      <c r="V85" s="780"/>
      <c r="W85" s="780"/>
      <c r="X85" s="780"/>
      <c r="Y85" s="780"/>
    </row>
    <row r="86" spans="6:25" ht="16.5" customHeight="1"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</row>
    <row r="87" spans="6:25" ht="16.5" customHeight="1">
      <c r="F87" s="780"/>
      <c r="G87" s="780"/>
      <c r="H87" s="780"/>
      <c r="I87" s="780"/>
      <c r="J87" s="780"/>
      <c r="K87" s="780"/>
      <c r="L87" s="780"/>
      <c r="M87" s="780"/>
      <c r="N87" s="780"/>
      <c r="O87" s="780"/>
      <c r="P87" s="780"/>
      <c r="Q87" s="780"/>
      <c r="R87" s="780"/>
      <c r="S87" s="780"/>
      <c r="T87" s="780"/>
      <c r="U87" s="780"/>
      <c r="V87" s="780"/>
      <c r="W87" s="780"/>
      <c r="X87" s="780"/>
      <c r="Y87" s="780"/>
    </row>
    <row r="88" spans="6:25" ht="16.5" customHeight="1">
      <c r="F88" s="780"/>
      <c r="G88" s="780"/>
      <c r="H88" s="780"/>
      <c r="I88" s="780"/>
      <c r="J88" s="780"/>
      <c r="K88" s="780"/>
      <c r="L88" s="780"/>
      <c r="M88" s="780"/>
      <c r="N88" s="780"/>
      <c r="O88" s="780"/>
      <c r="P88" s="780"/>
      <c r="Q88" s="780"/>
      <c r="R88" s="780"/>
      <c r="S88" s="780"/>
      <c r="T88" s="780"/>
      <c r="U88" s="780"/>
      <c r="V88" s="780"/>
      <c r="W88" s="780"/>
      <c r="X88" s="780"/>
      <c r="Y88" s="780"/>
    </row>
    <row r="89" spans="6:25" ht="16.5" customHeight="1">
      <c r="F89" s="780"/>
      <c r="G89" s="780"/>
      <c r="H89" s="780"/>
      <c r="I89" s="780"/>
      <c r="J89" s="780"/>
      <c r="K89" s="780"/>
      <c r="L89" s="780"/>
      <c r="M89" s="780"/>
      <c r="N89" s="780"/>
      <c r="O89" s="780"/>
      <c r="P89" s="780"/>
      <c r="Q89" s="780"/>
      <c r="R89" s="780"/>
      <c r="S89" s="780"/>
      <c r="T89" s="780"/>
      <c r="U89" s="780"/>
      <c r="V89" s="780"/>
      <c r="W89" s="780"/>
      <c r="X89" s="780"/>
      <c r="Y89" s="780"/>
    </row>
    <row r="90" spans="6:25" ht="16.5" customHeight="1">
      <c r="F90" s="780"/>
      <c r="G90" s="780"/>
      <c r="H90" s="780"/>
      <c r="I90" s="780"/>
      <c r="J90" s="780"/>
      <c r="K90" s="780"/>
      <c r="L90" s="780"/>
      <c r="M90" s="780"/>
      <c r="N90" s="780"/>
      <c r="O90" s="780"/>
      <c r="P90" s="780"/>
      <c r="Q90" s="780"/>
      <c r="R90" s="780"/>
      <c r="S90" s="780"/>
      <c r="T90" s="780"/>
      <c r="U90" s="780"/>
      <c r="V90" s="780"/>
      <c r="W90" s="780"/>
      <c r="X90" s="780"/>
      <c r="Y90" s="780"/>
    </row>
    <row r="91" spans="6:25" ht="16.5" customHeight="1">
      <c r="F91" s="780"/>
      <c r="G91" s="780"/>
      <c r="H91" s="780"/>
      <c r="I91" s="780"/>
      <c r="J91" s="780"/>
      <c r="K91" s="780"/>
      <c r="L91" s="780"/>
      <c r="M91" s="780"/>
      <c r="N91" s="780"/>
      <c r="O91" s="780"/>
      <c r="P91" s="780"/>
      <c r="Q91" s="780"/>
      <c r="R91" s="780"/>
      <c r="S91" s="780"/>
      <c r="T91" s="780"/>
      <c r="U91" s="780"/>
      <c r="V91" s="780"/>
      <c r="W91" s="780"/>
      <c r="X91" s="780"/>
      <c r="Y91" s="780"/>
    </row>
    <row r="92" spans="6:25" ht="16.5" customHeight="1">
      <c r="F92" s="780"/>
      <c r="G92" s="780"/>
      <c r="H92" s="780"/>
      <c r="I92" s="780"/>
      <c r="J92" s="780"/>
      <c r="K92" s="780"/>
      <c r="L92" s="780"/>
      <c r="M92" s="780"/>
      <c r="N92" s="780"/>
      <c r="O92" s="780"/>
      <c r="P92" s="780"/>
      <c r="Q92" s="780"/>
      <c r="R92" s="780"/>
      <c r="S92" s="780"/>
      <c r="T92" s="780"/>
      <c r="U92" s="780"/>
      <c r="V92" s="780"/>
      <c r="W92" s="780"/>
      <c r="X92" s="780"/>
      <c r="Y92" s="780"/>
    </row>
    <row r="93" spans="6:25" ht="16.5" customHeight="1">
      <c r="F93" s="780"/>
      <c r="G93" s="780"/>
      <c r="H93" s="780"/>
      <c r="I93" s="780"/>
      <c r="J93" s="780"/>
      <c r="K93" s="780"/>
      <c r="L93" s="780"/>
      <c r="M93" s="780"/>
      <c r="N93" s="780"/>
      <c r="O93" s="780"/>
      <c r="P93" s="780"/>
      <c r="Q93" s="780"/>
      <c r="R93" s="780"/>
      <c r="S93" s="780"/>
      <c r="T93" s="780"/>
      <c r="U93" s="780"/>
      <c r="V93" s="780"/>
      <c r="W93" s="780"/>
      <c r="X93" s="780"/>
      <c r="Y93" s="780"/>
    </row>
    <row r="94" spans="6:25" ht="16.5" customHeight="1">
      <c r="F94" s="780"/>
      <c r="G94" s="780"/>
      <c r="H94" s="780"/>
      <c r="I94" s="780"/>
      <c r="J94" s="780"/>
      <c r="K94" s="780"/>
      <c r="L94" s="780"/>
      <c r="M94" s="780"/>
      <c r="N94" s="780"/>
      <c r="O94" s="780"/>
      <c r="P94" s="780"/>
      <c r="Q94" s="780"/>
      <c r="R94" s="780"/>
      <c r="S94" s="780"/>
      <c r="T94" s="780"/>
      <c r="U94" s="780"/>
      <c r="V94" s="780"/>
      <c r="W94" s="780"/>
      <c r="X94" s="780"/>
      <c r="Y94" s="780"/>
    </row>
    <row r="95" spans="6:25" ht="16.5" customHeight="1">
      <c r="F95" s="780"/>
      <c r="G95" s="780"/>
      <c r="H95" s="780"/>
      <c r="I95" s="780"/>
      <c r="J95" s="780"/>
      <c r="K95" s="780"/>
      <c r="L95" s="780"/>
      <c r="M95" s="780"/>
      <c r="N95" s="780"/>
      <c r="O95" s="780"/>
      <c r="P95" s="780"/>
      <c r="Q95" s="780"/>
      <c r="R95" s="780"/>
      <c r="S95" s="780"/>
      <c r="T95" s="780"/>
      <c r="U95" s="780"/>
      <c r="V95" s="780"/>
      <c r="W95" s="780"/>
      <c r="X95" s="780"/>
      <c r="Y95" s="780"/>
    </row>
    <row r="96" spans="6:25" ht="16.5" customHeight="1">
      <c r="F96" s="780"/>
      <c r="G96" s="780"/>
      <c r="H96" s="780"/>
      <c r="I96" s="780"/>
      <c r="J96" s="780"/>
      <c r="K96" s="780"/>
      <c r="L96" s="780"/>
      <c r="M96" s="780"/>
      <c r="N96" s="780"/>
      <c r="O96" s="780"/>
      <c r="P96" s="780"/>
      <c r="Q96" s="780"/>
      <c r="R96" s="780"/>
      <c r="S96" s="780"/>
      <c r="T96" s="780"/>
      <c r="U96" s="780"/>
      <c r="V96" s="780"/>
      <c r="W96" s="780"/>
      <c r="X96" s="780"/>
      <c r="Y96" s="780"/>
    </row>
    <row r="97" spans="6:25" ht="16.5" customHeight="1">
      <c r="F97" s="780"/>
      <c r="G97" s="780"/>
      <c r="H97" s="780"/>
      <c r="I97" s="780"/>
      <c r="J97" s="780"/>
      <c r="K97" s="780"/>
      <c r="L97" s="780"/>
      <c r="M97" s="780"/>
      <c r="N97" s="780"/>
      <c r="O97" s="780"/>
      <c r="P97" s="780"/>
      <c r="Q97" s="780"/>
      <c r="R97" s="780"/>
      <c r="S97" s="780"/>
      <c r="T97" s="780"/>
      <c r="U97" s="780"/>
      <c r="V97" s="780"/>
      <c r="W97" s="780"/>
      <c r="X97" s="780"/>
      <c r="Y97" s="780"/>
    </row>
    <row r="98" spans="6:25" ht="16.5" customHeight="1">
      <c r="F98" s="780"/>
      <c r="G98" s="780"/>
      <c r="H98" s="780"/>
      <c r="I98" s="780"/>
      <c r="J98" s="780"/>
      <c r="K98" s="780"/>
      <c r="L98" s="780"/>
      <c r="M98" s="780"/>
      <c r="N98" s="780"/>
      <c r="O98" s="780"/>
      <c r="P98" s="780"/>
      <c r="Q98" s="780"/>
      <c r="R98" s="780"/>
      <c r="S98" s="780"/>
      <c r="T98" s="780"/>
      <c r="U98" s="780"/>
      <c r="V98" s="780"/>
      <c r="W98" s="780"/>
      <c r="X98" s="780"/>
      <c r="Y98" s="780"/>
    </row>
    <row r="99" spans="6:25" ht="16.5" customHeight="1">
      <c r="F99" s="780"/>
      <c r="G99" s="780"/>
      <c r="H99" s="780"/>
      <c r="I99" s="780"/>
      <c r="J99" s="780"/>
      <c r="K99" s="780"/>
      <c r="L99" s="780"/>
      <c r="M99" s="780"/>
      <c r="N99" s="780"/>
      <c r="O99" s="780"/>
      <c r="P99" s="780"/>
      <c r="Q99" s="780"/>
      <c r="R99" s="780"/>
      <c r="S99" s="780"/>
      <c r="T99" s="780"/>
      <c r="U99" s="780"/>
      <c r="V99" s="780"/>
      <c r="W99" s="780"/>
      <c r="X99" s="780"/>
      <c r="Y99" s="780"/>
    </row>
    <row r="100" spans="6:25" ht="16.5" customHeight="1">
      <c r="F100" s="780"/>
      <c r="G100" s="780"/>
      <c r="H100" s="780"/>
      <c r="I100" s="780"/>
      <c r="J100" s="780"/>
      <c r="K100" s="780"/>
      <c r="L100" s="780"/>
      <c r="M100" s="780"/>
      <c r="N100" s="780"/>
      <c r="O100" s="780"/>
      <c r="P100" s="780"/>
      <c r="Q100" s="780"/>
      <c r="R100" s="780"/>
      <c r="S100" s="780"/>
      <c r="T100" s="780"/>
      <c r="U100" s="780"/>
      <c r="V100" s="780"/>
      <c r="W100" s="780"/>
      <c r="X100" s="780"/>
      <c r="Y100" s="780"/>
    </row>
    <row r="101" spans="6:25" ht="16.5" customHeight="1">
      <c r="F101" s="780"/>
      <c r="G101" s="780"/>
      <c r="H101" s="780"/>
      <c r="I101" s="780"/>
      <c r="J101" s="780"/>
      <c r="K101" s="780"/>
      <c r="L101" s="780"/>
      <c r="M101" s="780"/>
      <c r="N101" s="780"/>
      <c r="O101" s="780"/>
      <c r="P101" s="780"/>
      <c r="Q101" s="780"/>
      <c r="R101" s="780"/>
      <c r="S101" s="780"/>
      <c r="T101" s="780"/>
      <c r="U101" s="780"/>
      <c r="V101" s="780"/>
      <c r="W101" s="780"/>
      <c r="X101" s="780"/>
      <c r="Y101" s="780"/>
    </row>
    <row r="102" spans="6:25" ht="16.5" customHeight="1">
      <c r="F102" s="780"/>
      <c r="G102" s="780"/>
      <c r="H102" s="780"/>
      <c r="I102" s="780"/>
      <c r="J102" s="780"/>
      <c r="K102" s="780"/>
      <c r="L102" s="780"/>
      <c r="M102" s="780"/>
      <c r="N102" s="780"/>
      <c r="O102" s="780"/>
      <c r="P102" s="780"/>
      <c r="Q102" s="780"/>
      <c r="R102" s="780"/>
      <c r="S102" s="780"/>
      <c r="T102" s="780"/>
      <c r="U102" s="780"/>
      <c r="V102" s="780"/>
      <c r="W102" s="780"/>
      <c r="X102" s="780"/>
      <c r="Y102" s="780"/>
    </row>
    <row r="103" spans="6:25" ht="16.5" customHeight="1">
      <c r="F103" s="780"/>
      <c r="G103" s="780"/>
      <c r="H103" s="780"/>
      <c r="I103" s="780"/>
      <c r="J103" s="780"/>
      <c r="K103" s="780"/>
      <c r="L103" s="780"/>
      <c r="M103" s="780"/>
      <c r="N103" s="780"/>
      <c r="O103" s="780"/>
      <c r="P103" s="780"/>
      <c r="Q103" s="780"/>
      <c r="R103" s="780"/>
      <c r="S103" s="780"/>
      <c r="T103" s="780"/>
      <c r="U103" s="780"/>
      <c r="V103" s="780"/>
      <c r="W103" s="780"/>
      <c r="X103" s="780"/>
      <c r="Y103" s="780"/>
    </row>
    <row r="104" spans="6:25" ht="16.5" customHeight="1">
      <c r="F104" s="780"/>
      <c r="G104" s="780"/>
      <c r="H104" s="780"/>
      <c r="I104" s="780"/>
      <c r="J104" s="780"/>
      <c r="K104" s="780"/>
      <c r="L104" s="780"/>
      <c r="M104" s="780"/>
      <c r="N104" s="780"/>
      <c r="O104" s="780"/>
      <c r="P104" s="780"/>
      <c r="Q104" s="780"/>
      <c r="R104" s="780"/>
      <c r="S104" s="780"/>
      <c r="T104" s="780"/>
      <c r="U104" s="780"/>
      <c r="V104" s="780"/>
      <c r="W104" s="780"/>
      <c r="X104" s="780"/>
      <c r="Y104" s="780"/>
    </row>
    <row r="105" spans="6:25" ht="16.5" customHeight="1">
      <c r="F105" s="780"/>
      <c r="G105" s="780"/>
      <c r="H105" s="780"/>
      <c r="I105" s="780"/>
      <c r="J105" s="780"/>
      <c r="K105" s="780"/>
      <c r="L105" s="780"/>
      <c r="M105" s="780"/>
      <c r="N105" s="780"/>
      <c r="O105" s="780"/>
      <c r="P105" s="780"/>
      <c r="Q105" s="780"/>
      <c r="R105" s="780"/>
      <c r="S105" s="780"/>
      <c r="T105" s="780"/>
      <c r="U105" s="780"/>
      <c r="V105" s="780"/>
      <c r="W105" s="780"/>
      <c r="X105" s="780"/>
      <c r="Y105" s="780"/>
    </row>
    <row r="106" spans="6:25" ht="16.5" customHeight="1">
      <c r="F106" s="780"/>
      <c r="G106" s="780"/>
      <c r="H106" s="780"/>
      <c r="I106" s="780"/>
      <c r="J106" s="780"/>
      <c r="K106" s="780"/>
      <c r="L106" s="780"/>
      <c r="M106" s="780"/>
      <c r="N106" s="780"/>
      <c r="O106" s="780"/>
      <c r="P106" s="780"/>
      <c r="Q106" s="780"/>
      <c r="R106" s="780"/>
      <c r="S106" s="780"/>
      <c r="T106" s="780"/>
      <c r="U106" s="780"/>
      <c r="V106" s="780"/>
      <c r="W106" s="780"/>
      <c r="X106" s="780"/>
      <c r="Y106" s="780"/>
    </row>
    <row r="107" spans="6:25" ht="16.5" customHeight="1">
      <c r="F107" s="780"/>
      <c r="G107" s="780"/>
      <c r="H107" s="780"/>
      <c r="I107" s="780"/>
      <c r="J107" s="780"/>
      <c r="K107" s="780"/>
      <c r="L107" s="780"/>
      <c r="M107" s="780"/>
      <c r="N107" s="780"/>
      <c r="O107" s="780"/>
      <c r="P107" s="780"/>
      <c r="Q107" s="780"/>
      <c r="R107" s="780"/>
      <c r="S107" s="780"/>
      <c r="T107" s="780"/>
      <c r="U107" s="780"/>
      <c r="V107" s="780"/>
      <c r="W107" s="780"/>
      <c r="X107" s="780"/>
      <c r="Y107" s="780"/>
    </row>
    <row r="108" spans="6:25" ht="16.5" customHeight="1">
      <c r="F108" s="780"/>
      <c r="G108" s="780"/>
      <c r="H108" s="780"/>
      <c r="I108" s="780"/>
      <c r="J108" s="780"/>
      <c r="K108" s="780"/>
      <c r="L108" s="780"/>
      <c r="M108" s="780"/>
      <c r="N108" s="780"/>
      <c r="O108" s="780"/>
      <c r="P108" s="780"/>
      <c r="Q108" s="780"/>
      <c r="R108" s="780"/>
      <c r="S108" s="780"/>
      <c r="T108" s="780"/>
      <c r="U108" s="780"/>
      <c r="V108" s="780"/>
      <c r="W108" s="780"/>
      <c r="X108" s="780"/>
      <c r="Y108" s="780"/>
    </row>
    <row r="109" spans="6:25" ht="16.5" customHeight="1">
      <c r="F109" s="780"/>
      <c r="G109" s="780"/>
      <c r="H109" s="780"/>
      <c r="I109" s="780"/>
      <c r="J109" s="780"/>
      <c r="K109" s="780"/>
      <c r="L109" s="780"/>
      <c r="M109" s="780"/>
      <c r="N109" s="780"/>
      <c r="O109" s="780"/>
      <c r="P109" s="780"/>
      <c r="Q109" s="780"/>
      <c r="R109" s="780"/>
      <c r="S109" s="780"/>
      <c r="T109" s="780"/>
      <c r="U109" s="780"/>
      <c r="V109" s="780"/>
      <c r="W109" s="780"/>
      <c r="X109" s="780"/>
      <c r="Y109" s="780"/>
    </row>
    <row r="110" spans="6:25" ht="16.5" customHeight="1">
      <c r="F110" s="780"/>
      <c r="G110" s="780"/>
      <c r="H110" s="780"/>
      <c r="I110" s="780"/>
      <c r="J110" s="780"/>
      <c r="K110" s="780"/>
      <c r="L110" s="780"/>
      <c r="M110" s="780"/>
      <c r="N110" s="780"/>
      <c r="O110" s="780"/>
      <c r="P110" s="780"/>
      <c r="Q110" s="780"/>
      <c r="R110" s="780"/>
      <c r="S110" s="780"/>
      <c r="T110" s="780"/>
      <c r="U110" s="780"/>
      <c r="V110" s="780"/>
      <c r="W110" s="780"/>
      <c r="X110" s="780"/>
      <c r="Y110" s="780"/>
    </row>
    <row r="111" spans="6:25" ht="16.5" customHeight="1">
      <c r="F111" s="780"/>
      <c r="G111" s="780"/>
      <c r="H111" s="780"/>
      <c r="I111" s="780"/>
      <c r="J111" s="780"/>
      <c r="K111" s="780"/>
      <c r="L111" s="780"/>
      <c r="M111" s="780"/>
      <c r="N111" s="780"/>
      <c r="O111" s="780"/>
      <c r="P111" s="780"/>
      <c r="Q111" s="780"/>
      <c r="R111" s="780"/>
      <c r="S111" s="780"/>
      <c r="T111" s="780"/>
      <c r="U111" s="780"/>
      <c r="V111" s="780"/>
      <c r="W111" s="780"/>
      <c r="X111" s="780"/>
      <c r="Y111" s="780"/>
    </row>
    <row r="112" spans="6:25" ht="16.5" customHeight="1">
      <c r="F112" s="780"/>
      <c r="G112" s="780"/>
      <c r="H112" s="780"/>
      <c r="I112" s="780"/>
      <c r="J112" s="780"/>
      <c r="K112" s="780"/>
      <c r="L112" s="780"/>
      <c r="M112" s="780"/>
      <c r="N112" s="780"/>
      <c r="O112" s="780"/>
      <c r="P112" s="780"/>
      <c r="Q112" s="780"/>
      <c r="R112" s="780"/>
      <c r="S112" s="780"/>
      <c r="T112" s="780"/>
      <c r="U112" s="780"/>
      <c r="V112" s="780"/>
      <c r="W112" s="780"/>
      <c r="X112" s="780"/>
      <c r="Y112" s="780"/>
    </row>
    <row r="113" spans="6:25" ht="16.5" customHeight="1">
      <c r="F113" s="780"/>
      <c r="G113" s="780"/>
      <c r="H113" s="780"/>
      <c r="I113" s="780"/>
      <c r="J113" s="780"/>
      <c r="K113" s="780"/>
      <c r="L113" s="780"/>
      <c r="M113" s="780"/>
      <c r="N113" s="780"/>
      <c r="O113" s="780"/>
      <c r="P113" s="780"/>
      <c r="Q113" s="780"/>
      <c r="R113" s="780"/>
      <c r="S113" s="780"/>
      <c r="T113" s="780"/>
      <c r="U113" s="780"/>
      <c r="V113" s="780"/>
      <c r="W113" s="780"/>
      <c r="X113" s="780"/>
      <c r="Y113" s="780"/>
    </row>
    <row r="114" spans="6:25" ht="16.5" customHeight="1">
      <c r="F114" s="780"/>
      <c r="G114" s="780"/>
      <c r="H114" s="780"/>
      <c r="I114" s="780"/>
      <c r="J114" s="780"/>
      <c r="K114" s="780"/>
      <c r="L114" s="780"/>
      <c r="M114" s="780"/>
      <c r="N114" s="780"/>
      <c r="O114" s="780"/>
      <c r="P114" s="780"/>
      <c r="Q114" s="780"/>
      <c r="R114" s="780"/>
      <c r="S114" s="780"/>
      <c r="T114" s="780"/>
      <c r="U114" s="780"/>
      <c r="V114" s="780"/>
      <c r="W114" s="780"/>
      <c r="X114" s="780"/>
      <c r="Y114" s="780"/>
    </row>
    <row r="115" spans="6:25" ht="16.5" customHeight="1">
      <c r="F115" s="780"/>
      <c r="G115" s="780"/>
      <c r="H115" s="780"/>
      <c r="I115" s="780"/>
      <c r="J115" s="780"/>
      <c r="K115" s="780"/>
      <c r="L115" s="780"/>
      <c r="M115" s="780"/>
      <c r="N115" s="780"/>
      <c r="O115" s="780"/>
      <c r="P115" s="780"/>
      <c r="Q115" s="780"/>
      <c r="R115" s="780"/>
      <c r="S115" s="780"/>
      <c r="T115" s="780"/>
      <c r="U115" s="780"/>
      <c r="V115" s="780"/>
      <c r="W115" s="780"/>
      <c r="X115" s="780"/>
      <c r="Y115" s="780"/>
    </row>
    <row r="116" spans="6:25" ht="16.5" customHeight="1">
      <c r="F116" s="780"/>
      <c r="G116" s="780"/>
      <c r="H116" s="780"/>
      <c r="I116" s="780"/>
      <c r="J116" s="780"/>
      <c r="K116" s="780"/>
      <c r="L116" s="780"/>
      <c r="M116" s="780"/>
      <c r="N116" s="780"/>
      <c r="O116" s="780"/>
      <c r="P116" s="780"/>
      <c r="Q116" s="780"/>
      <c r="R116" s="780"/>
      <c r="S116" s="780"/>
      <c r="T116" s="780"/>
      <c r="U116" s="780"/>
      <c r="V116" s="780"/>
      <c r="W116" s="780"/>
      <c r="X116" s="780"/>
      <c r="Y116" s="780"/>
    </row>
    <row r="117" spans="6:25" ht="16.5" customHeight="1">
      <c r="F117" s="780"/>
      <c r="G117" s="780"/>
      <c r="H117" s="780"/>
      <c r="I117" s="780"/>
      <c r="J117" s="780"/>
      <c r="K117" s="780"/>
      <c r="L117" s="780"/>
      <c r="M117" s="780"/>
      <c r="N117" s="780"/>
      <c r="O117" s="780"/>
      <c r="P117" s="780"/>
      <c r="Q117" s="780"/>
      <c r="R117" s="780"/>
      <c r="S117" s="780"/>
      <c r="T117" s="780"/>
      <c r="U117" s="780"/>
      <c r="V117" s="780"/>
      <c r="W117" s="780"/>
      <c r="X117" s="780"/>
      <c r="Y117" s="780"/>
    </row>
    <row r="118" spans="6:25" ht="16.5" customHeight="1">
      <c r="F118" s="780"/>
      <c r="G118" s="780"/>
      <c r="H118" s="780"/>
      <c r="I118" s="780"/>
      <c r="J118" s="780"/>
      <c r="K118" s="780"/>
      <c r="L118" s="780"/>
      <c r="M118" s="780"/>
      <c r="N118" s="780"/>
      <c r="O118" s="780"/>
      <c r="P118" s="780"/>
      <c r="Q118" s="780"/>
      <c r="R118" s="780"/>
      <c r="S118" s="780"/>
      <c r="T118" s="780"/>
      <c r="U118" s="780"/>
      <c r="V118" s="780"/>
      <c r="W118" s="780"/>
      <c r="X118" s="780"/>
      <c r="Y118" s="780"/>
    </row>
    <row r="119" spans="6:25" ht="16.5" customHeight="1">
      <c r="F119" s="780"/>
      <c r="G119" s="780"/>
      <c r="H119" s="780"/>
      <c r="I119" s="780"/>
      <c r="J119" s="780"/>
      <c r="K119" s="780"/>
      <c r="L119" s="780"/>
      <c r="M119" s="780"/>
      <c r="N119" s="780"/>
      <c r="O119" s="780"/>
      <c r="P119" s="780"/>
      <c r="Q119" s="780"/>
      <c r="R119" s="780"/>
      <c r="S119" s="780"/>
      <c r="T119" s="780"/>
      <c r="U119" s="780"/>
      <c r="V119" s="780"/>
      <c r="W119" s="780"/>
      <c r="X119" s="780"/>
      <c r="Y119" s="780"/>
    </row>
    <row r="120" spans="6:25" ht="16.5" customHeight="1">
      <c r="F120" s="780"/>
      <c r="G120" s="780"/>
      <c r="H120" s="780"/>
      <c r="I120" s="780"/>
      <c r="J120" s="780"/>
      <c r="K120" s="780"/>
      <c r="L120" s="780"/>
      <c r="M120" s="780"/>
      <c r="N120" s="780"/>
      <c r="O120" s="780"/>
      <c r="P120" s="780"/>
      <c r="Q120" s="780"/>
      <c r="R120" s="780"/>
      <c r="S120" s="780"/>
      <c r="T120" s="780"/>
      <c r="U120" s="780"/>
      <c r="V120" s="780"/>
      <c r="W120" s="780"/>
      <c r="X120" s="780"/>
      <c r="Y120" s="780"/>
    </row>
    <row r="121" spans="6:25" ht="16.5" customHeight="1">
      <c r="F121" s="780"/>
      <c r="G121" s="780"/>
      <c r="H121" s="780"/>
      <c r="I121" s="780"/>
      <c r="J121" s="780"/>
      <c r="K121" s="780"/>
      <c r="L121" s="780"/>
      <c r="M121" s="780"/>
      <c r="N121" s="780"/>
      <c r="O121" s="780"/>
      <c r="P121" s="780"/>
      <c r="Q121" s="780"/>
      <c r="R121" s="780"/>
      <c r="S121" s="780"/>
      <c r="T121" s="780"/>
      <c r="U121" s="780"/>
      <c r="V121" s="780"/>
      <c r="W121" s="780"/>
      <c r="X121" s="780"/>
      <c r="Y121" s="780"/>
    </row>
    <row r="122" spans="6:25" ht="16.5" customHeight="1">
      <c r="F122" s="780"/>
      <c r="G122" s="780"/>
      <c r="H122" s="780"/>
      <c r="I122" s="780"/>
      <c r="J122" s="780"/>
      <c r="K122" s="780"/>
      <c r="L122" s="780"/>
      <c r="M122" s="780"/>
      <c r="N122" s="780"/>
      <c r="O122" s="780"/>
      <c r="P122" s="780"/>
      <c r="Q122" s="780"/>
      <c r="R122" s="780"/>
      <c r="S122" s="780"/>
      <c r="T122" s="780"/>
      <c r="U122" s="780"/>
      <c r="V122" s="780"/>
      <c r="W122" s="780"/>
      <c r="X122" s="780"/>
      <c r="Y122" s="780"/>
    </row>
    <row r="123" spans="6:25" ht="16.5" customHeight="1">
      <c r="F123" s="780"/>
      <c r="G123" s="780"/>
      <c r="H123" s="780"/>
      <c r="I123" s="780"/>
      <c r="J123" s="780"/>
      <c r="K123" s="780"/>
      <c r="L123" s="780"/>
      <c r="M123" s="780"/>
      <c r="N123" s="780"/>
      <c r="O123" s="780"/>
      <c r="P123" s="780"/>
      <c r="Q123" s="780"/>
      <c r="R123" s="780"/>
      <c r="S123" s="780"/>
      <c r="T123" s="780"/>
      <c r="U123" s="780"/>
      <c r="V123" s="780"/>
      <c r="W123" s="780"/>
      <c r="X123" s="780"/>
      <c r="Y123" s="780"/>
    </row>
    <row r="124" spans="6:25" ht="16.5" customHeight="1">
      <c r="F124" s="780"/>
      <c r="G124" s="780"/>
      <c r="H124" s="780"/>
      <c r="I124" s="780"/>
      <c r="J124" s="780"/>
      <c r="K124" s="780"/>
      <c r="L124" s="780"/>
      <c r="M124" s="780"/>
      <c r="N124" s="780"/>
      <c r="O124" s="780"/>
      <c r="P124" s="780"/>
      <c r="Q124" s="780"/>
      <c r="R124" s="780"/>
      <c r="S124" s="780"/>
      <c r="T124" s="780"/>
      <c r="U124" s="780"/>
      <c r="V124" s="780"/>
      <c r="W124" s="780"/>
      <c r="X124" s="780"/>
      <c r="Y124" s="780"/>
    </row>
    <row r="125" spans="6:25" ht="16.5" customHeight="1">
      <c r="F125" s="780"/>
      <c r="G125" s="780"/>
      <c r="H125" s="780"/>
      <c r="I125" s="780"/>
      <c r="J125" s="780"/>
      <c r="K125" s="780"/>
      <c r="L125" s="780"/>
      <c r="M125" s="780"/>
      <c r="N125" s="780"/>
      <c r="O125" s="780"/>
      <c r="P125" s="780"/>
      <c r="Q125" s="780"/>
      <c r="R125" s="780"/>
      <c r="S125" s="780"/>
      <c r="T125" s="780"/>
      <c r="U125" s="780"/>
      <c r="V125" s="780"/>
      <c r="W125" s="780"/>
      <c r="X125" s="780"/>
      <c r="Y125" s="780"/>
    </row>
    <row r="126" spans="6:25" ht="16.5" customHeight="1">
      <c r="F126" s="780"/>
      <c r="G126" s="780"/>
      <c r="H126" s="780"/>
      <c r="I126" s="780"/>
      <c r="J126" s="780"/>
      <c r="K126" s="780"/>
      <c r="L126" s="780"/>
      <c r="M126" s="780"/>
      <c r="N126" s="780"/>
      <c r="O126" s="780"/>
      <c r="P126" s="780"/>
      <c r="Q126" s="780"/>
      <c r="R126" s="780"/>
      <c r="S126" s="780"/>
      <c r="T126" s="780"/>
      <c r="U126" s="780"/>
      <c r="V126" s="780"/>
      <c r="W126" s="780"/>
      <c r="X126" s="780"/>
      <c r="Y126" s="780"/>
    </row>
    <row r="127" spans="6:25" ht="16.5" customHeight="1">
      <c r="F127" s="780"/>
      <c r="G127" s="780"/>
      <c r="H127" s="780"/>
      <c r="I127" s="780"/>
      <c r="J127" s="780"/>
      <c r="K127" s="780"/>
      <c r="L127" s="780"/>
      <c r="M127" s="780"/>
      <c r="N127" s="780"/>
      <c r="O127" s="780"/>
      <c r="P127" s="780"/>
      <c r="Q127" s="780"/>
      <c r="R127" s="780"/>
      <c r="S127" s="780"/>
      <c r="T127" s="780"/>
      <c r="U127" s="780"/>
      <c r="V127" s="780"/>
      <c r="W127" s="780"/>
      <c r="X127" s="780"/>
      <c r="Y127" s="780"/>
    </row>
    <row r="128" spans="6:25" ht="16.5" customHeight="1">
      <c r="F128" s="780"/>
      <c r="G128" s="780"/>
      <c r="H128" s="780"/>
      <c r="I128" s="780"/>
      <c r="J128" s="780"/>
      <c r="K128" s="780"/>
      <c r="L128" s="780"/>
      <c r="M128" s="780"/>
      <c r="N128" s="780"/>
      <c r="O128" s="780"/>
      <c r="P128" s="780"/>
      <c r="Q128" s="780"/>
      <c r="R128" s="780"/>
      <c r="S128" s="780"/>
      <c r="T128" s="780"/>
      <c r="U128" s="780"/>
      <c r="V128" s="780"/>
      <c r="W128" s="780"/>
      <c r="X128" s="780"/>
      <c r="Y128" s="780"/>
    </row>
    <row r="129" spans="6:25" ht="16.5" customHeight="1">
      <c r="F129" s="780"/>
      <c r="G129" s="780"/>
      <c r="H129" s="780"/>
      <c r="I129" s="780"/>
      <c r="J129" s="780"/>
      <c r="K129" s="780"/>
      <c r="L129" s="780"/>
      <c r="M129" s="780"/>
      <c r="N129" s="780"/>
      <c r="O129" s="780"/>
      <c r="P129" s="780"/>
      <c r="Q129" s="780"/>
      <c r="R129" s="780"/>
      <c r="S129" s="780"/>
      <c r="T129" s="780"/>
      <c r="U129" s="780"/>
      <c r="V129" s="780"/>
      <c r="W129" s="780"/>
      <c r="X129" s="780"/>
      <c r="Y129" s="780"/>
    </row>
    <row r="130" spans="6:25" ht="16.5" customHeight="1">
      <c r="F130" s="780"/>
      <c r="G130" s="780"/>
      <c r="H130" s="780"/>
      <c r="I130" s="780"/>
      <c r="J130" s="780"/>
      <c r="K130" s="780"/>
      <c r="L130" s="780"/>
      <c r="M130" s="780"/>
      <c r="N130" s="780"/>
      <c r="O130" s="780"/>
      <c r="P130" s="780"/>
      <c r="Q130" s="780"/>
      <c r="R130" s="780"/>
      <c r="S130" s="780"/>
      <c r="T130" s="780"/>
      <c r="U130" s="780"/>
      <c r="V130" s="780"/>
      <c r="W130" s="780"/>
      <c r="X130" s="780"/>
      <c r="Y130" s="780"/>
    </row>
    <row r="131" spans="6:25" ht="16.5" customHeight="1">
      <c r="F131" s="780"/>
      <c r="G131" s="780"/>
      <c r="H131" s="780"/>
      <c r="I131" s="780"/>
      <c r="J131" s="780"/>
      <c r="K131" s="780"/>
      <c r="L131" s="780"/>
      <c r="M131" s="780"/>
      <c r="N131" s="780"/>
      <c r="O131" s="780"/>
      <c r="P131" s="780"/>
      <c r="Q131" s="780"/>
      <c r="R131" s="780"/>
      <c r="S131" s="780"/>
      <c r="T131" s="780"/>
      <c r="U131" s="780"/>
      <c r="V131" s="780"/>
      <c r="W131" s="780"/>
      <c r="X131" s="780"/>
      <c r="Y131" s="780"/>
    </row>
    <row r="132" spans="6:25" ht="16.5" customHeight="1">
      <c r="F132" s="780"/>
      <c r="G132" s="780"/>
      <c r="H132" s="780"/>
      <c r="I132" s="780"/>
      <c r="J132" s="780"/>
      <c r="K132" s="780"/>
      <c r="L132" s="780"/>
      <c r="M132" s="780"/>
      <c r="N132" s="780"/>
      <c r="O132" s="780"/>
      <c r="P132" s="780"/>
      <c r="Q132" s="780"/>
      <c r="R132" s="780"/>
      <c r="S132" s="780"/>
      <c r="T132" s="780"/>
      <c r="U132" s="780"/>
      <c r="V132" s="780"/>
      <c r="W132" s="780"/>
      <c r="X132" s="780"/>
      <c r="Y132" s="780"/>
    </row>
    <row r="133" spans="6:25" ht="16.5" customHeight="1">
      <c r="F133" s="780"/>
      <c r="G133" s="780"/>
      <c r="H133" s="780"/>
      <c r="I133" s="780"/>
      <c r="J133" s="780"/>
      <c r="K133" s="780"/>
      <c r="L133" s="780"/>
      <c r="M133" s="780"/>
      <c r="N133" s="780"/>
      <c r="O133" s="780"/>
      <c r="P133" s="780"/>
      <c r="Q133" s="780"/>
      <c r="R133" s="780"/>
      <c r="S133" s="780"/>
      <c r="T133" s="780"/>
      <c r="U133" s="780"/>
      <c r="V133" s="780"/>
      <c r="W133" s="780"/>
      <c r="X133" s="780"/>
      <c r="Y133" s="780"/>
    </row>
    <row r="134" spans="6:25" ht="16.5" customHeight="1">
      <c r="F134" s="780"/>
      <c r="G134" s="780"/>
      <c r="H134" s="780"/>
      <c r="I134" s="780"/>
      <c r="J134" s="780"/>
      <c r="K134" s="780"/>
      <c r="L134" s="780"/>
      <c r="M134" s="780"/>
      <c r="N134" s="780"/>
      <c r="O134" s="780"/>
      <c r="P134" s="780"/>
      <c r="Q134" s="780"/>
      <c r="R134" s="780"/>
      <c r="S134" s="780"/>
      <c r="T134" s="780"/>
      <c r="U134" s="780"/>
      <c r="V134" s="780"/>
      <c r="W134" s="780"/>
      <c r="X134" s="780"/>
      <c r="Y134" s="780"/>
    </row>
    <row r="135" spans="6:25" ht="16.5" customHeight="1">
      <c r="F135" s="780"/>
      <c r="G135" s="780"/>
      <c r="H135" s="780"/>
      <c r="I135" s="780"/>
      <c r="J135" s="780"/>
      <c r="K135" s="780"/>
      <c r="L135" s="780"/>
      <c r="M135" s="780"/>
      <c r="N135" s="780"/>
      <c r="O135" s="780"/>
      <c r="P135" s="780"/>
      <c r="Q135" s="780"/>
      <c r="R135" s="780"/>
      <c r="S135" s="780"/>
      <c r="T135" s="780"/>
      <c r="U135" s="780"/>
      <c r="V135" s="780"/>
      <c r="W135" s="780"/>
      <c r="X135" s="780"/>
      <c r="Y135" s="780"/>
    </row>
    <row r="136" spans="6:25" ht="16.5" customHeight="1">
      <c r="F136" s="780"/>
      <c r="G136" s="780"/>
      <c r="H136" s="780"/>
      <c r="I136" s="780"/>
      <c r="J136" s="780"/>
      <c r="K136" s="780"/>
      <c r="L136" s="780"/>
      <c r="M136" s="780"/>
      <c r="N136" s="780"/>
      <c r="O136" s="780"/>
      <c r="P136" s="780"/>
      <c r="Q136" s="780"/>
      <c r="R136" s="780"/>
      <c r="S136" s="780"/>
      <c r="T136" s="780"/>
      <c r="U136" s="780"/>
      <c r="V136" s="780"/>
      <c r="W136" s="780"/>
      <c r="X136" s="780"/>
      <c r="Y136" s="780"/>
    </row>
    <row r="137" spans="6:25" ht="16.5" customHeight="1">
      <c r="F137" s="780"/>
      <c r="G137" s="780"/>
      <c r="H137" s="780"/>
      <c r="I137" s="780"/>
      <c r="J137" s="780"/>
      <c r="K137" s="780"/>
      <c r="L137" s="780"/>
      <c r="M137" s="780"/>
      <c r="N137" s="780"/>
      <c r="O137" s="780"/>
      <c r="P137" s="780"/>
      <c r="Q137" s="780"/>
      <c r="R137" s="780"/>
      <c r="S137" s="780"/>
      <c r="T137" s="780"/>
      <c r="U137" s="780"/>
      <c r="V137" s="780"/>
      <c r="W137" s="780"/>
      <c r="X137" s="780"/>
      <c r="Y137" s="780"/>
    </row>
    <row r="138" spans="6:25" ht="16.5" customHeight="1">
      <c r="F138" s="780"/>
      <c r="G138" s="780"/>
      <c r="H138" s="780"/>
      <c r="I138" s="780"/>
      <c r="J138" s="780"/>
      <c r="K138" s="780"/>
      <c r="L138" s="780"/>
      <c r="M138" s="780"/>
      <c r="N138" s="780"/>
      <c r="O138" s="780"/>
      <c r="P138" s="780"/>
      <c r="Q138" s="780"/>
      <c r="R138" s="780"/>
      <c r="S138" s="780"/>
      <c r="T138" s="780"/>
      <c r="U138" s="780"/>
      <c r="V138" s="780"/>
      <c r="W138" s="780"/>
      <c r="X138" s="780"/>
      <c r="Y138" s="780"/>
    </row>
    <row r="139" spans="6:25" ht="16.5" customHeight="1">
      <c r="F139" s="780"/>
      <c r="G139" s="780"/>
      <c r="H139" s="780"/>
      <c r="I139" s="780"/>
      <c r="J139" s="780"/>
      <c r="K139" s="780"/>
      <c r="L139" s="780"/>
      <c r="M139" s="780"/>
      <c r="N139" s="780"/>
      <c r="O139" s="780"/>
      <c r="P139" s="780"/>
      <c r="Q139" s="780"/>
      <c r="R139" s="780"/>
      <c r="S139" s="780"/>
      <c r="T139" s="780"/>
      <c r="U139" s="780"/>
      <c r="V139" s="780"/>
      <c r="W139" s="780"/>
      <c r="X139" s="780"/>
      <c r="Y139" s="780"/>
    </row>
    <row r="140" spans="6:25" ht="16.5" customHeight="1">
      <c r="F140" s="780"/>
      <c r="G140" s="780"/>
      <c r="H140" s="780"/>
      <c r="I140" s="780"/>
      <c r="J140" s="780"/>
      <c r="K140" s="780"/>
      <c r="L140" s="780"/>
      <c r="M140" s="780"/>
      <c r="N140" s="780"/>
      <c r="O140" s="780"/>
      <c r="P140" s="780"/>
      <c r="Q140" s="780"/>
      <c r="R140" s="780"/>
      <c r="S140" s="780"/>
      <c r="T140" s="780"/>
      <c r="U140" s="780"/>
      <c r="V140" s="780"/>
      <c r="W140" s="780"/>
      <c r="X140" s="780"/>
      <c r="Y140" s="780"/>
    </row>
    <row r="141" spans="6:25" ht="16.5" customHeight="1">
      <c r="F141" s="780"/>
      <c r="G141" s="780"/>
      <c r="H141" s="780"/>
      <c r="I141" s="780"/>
      <c r="J141" s="780"/>
      <c r="K141" s="780"/>
      <c r="L141" s="780"/>
      <c r="M141" s="780"/>
      <c r="N141" s="780"/>
      <c r="O141" s="780"/>
      <c r="P141" s="780"/>
      <c r="Q141" s="780"/>
      <c r="R141" s="780"/>
      <c r="S141" s="780"/>
      <c r="T141" s="780"/>
      <c r="U141" s="780"/>
      <c r="V141" s="780"/>
      <c r="W141" s="780"/>
      <c r="X141" s="780"/>
      <c r="Y141" s="780"/>
    </row>
    <row r="142" spans="6:25" ht="16.5" customHeight="1">
      <c r="F142" s="780"/>
      <c r="G142" s="780"/>
      <c r="H142" s="780"/>
      <c r="I142" s="780"/>
      <c r="J142" s="780"/>
      <c r="K142" s="780"/>
      <c r="L142" s="780"/>
      <c r="M142" s="780"/>
      <c r="N142" s="780"/>
      <c r="O142" s="780"/>
      <c r="P142" s="780"/>
      <c r="Q142" s="780"/>
      <c r="R142" s="780"/>
      <c r="S142" s="780"/>
      <c r="T142" s="780"/>
      <c r="U142" s="780"/>
      <c r="V142" s="780"/>
      <c r="W142" s="780"/>
      <c r="X142" s="780"/>
      <c r="Y142" s="780"/>
    </row>
    <row r="143" spans="6:25" ht="16.5" customHeight="1">
      <c r="F143" s="780"/>
      <c r="G143" s="780"/>
      <c r="H143" s="780"/>
      <c r="I143" s="780"/>
      <c r="J143" s="780"/>
      <c r="K143" s="780"/>
      <c r="L143" s="780"/>
      <c r="M143" s="780"/>
      <c r="N143" s="780"/>
      <c r="O143" s="780"/>
      <c r="P143" s="780"/>
      <c r="Q143" s="780"/>
      <c r="R143" s="780"/>
      <c r="S143" s="780"/>
      <c r="T143" s="780"/>
      <c r="U143" s="780"/>
      <c r="V143" s="780"/>
      <c r="W143" s="780"/>
      <c r="X143" s="780"/>
      <c r="Y143" s="780"/>
    </row>
    <row r="144" spans="6:25" ht="16.5" customHeight="1">
      <c r="F144" s="780"/>
      <c r="G144" s="780"/>
      <c r="H144" s="780"/>
      <c r="I144" s="780"/>
      <c r="J144" s="780"/>
      <c r="K144" s="780"/>
      <c r="L144" s="780"/>
      <c r="M144" s="780"/>
      <c r="N144" s="780"/>
      <c r="O144" s="780"/>
      <c r="P144" s="780"/>
      <c r="Q144" s="780"/>
      <c r="R144" s="780"/>
      <c r="S144" s="780"/>
      <c r="T144" s="780"/>
      <c r="U144" s="780"/>
      <c r="V144" s="780"/>
      <c r="W144" s="780"/>
      <c r="X144" s="780"/>
      <c r="Y144" s="780"/>
    </row>
    <row r="145" spans="6:25" ht="16.5" customHeight="1">
      <c r="F145" s="780"/>
      <c r="G145" s="780"/>
      <c r="H145" s="780"/>
      <c r="I145" s="780"/>
      <c r="J145" s="780"/>
      <c r="K145" s="780"/>
      <c r="L145" s="780"/>
      <c r="M145" s="780"/>
      <c r="N145" s="780"/>
      <c r="O145" s="780"/>
      <c r="P145" s="780"/>
      <c r="Q145" s="780"/>
      <c r="R145" s="780"/>
      <c r="S145" s="780"/>
      <c r="T145" s="780"/>
      <c r="U145" s="780"/>
      <c r="V145" s="780"/>
      <c r="W145" s="780"/>
      <c r="X145" s="780"/>
      <c r="Y145" s="780"/>
    </row>
    <row r="146" spans="6:25" ht="16.5" customHeight="1">
      <c r="F146" s="780"/>
      <c r="G146" s="780"/>
      <c r="H146" s="780"/>
      <c r="I146" s="780"/>
      <c r="J146" s="780"/>
      <c r="K146" s="780"/>
      <c r="L146" s="780"/>
      <c r="M146" s="780"/>
      <c r="N146" s="780"/>
      <c r="O146" s="780"/>
      <c r="P146" s="780"/>
      <c r="Q146" s="780"/>
      <c r="R146" s="780"/>
      <c r="S146" s="780"/>
      <c r="T146" s="780"/>
      <c r="U146" s="780"/>
      <c r="V146" s="780"/>
      <c r="W146" s="780"/>
      <c r="X146" s="780"/>
      <c r="Y146" s="780"/>
    </row>
    <row r="147" spans="6:25" ht="16.5" customHeight="1">
      <c r="F147" s="780"/>
      <c r="G147" s="780"/>
      <c r="H147" s="780"/>
      <c r="I147" s="780"/>
      <c r="J147" s="780"/>
      <c r="K147" s="780"/>
      <c r="L147" s="780"/>
      <c r="M147" s="780"/>
      <c r="N147" s="780"/>
      <c r="O147" s="780"/>
      <c r="P147" s="780"/>
      <c r="Q147" s="780"/>
      <c r="R147" s="780"/>
      <c r="S147" s="780"/>
      <c r="T147" s="780"/>
      <c r="U147" s="780"/>
      <c r="V147" s="780"/>
      <c r="W147" s="780"/>
      <c r="X147" s="780"/>
      <c r="Y147" s="780"/>
    </row>
    <row r="148" spans="6:25" ht="16.5" customHeight="1">
      <c r="F148" s="780"/>
      <c r="G148" s="780"/>
      <c r="H148" s="780"/>
      <c r="I148" s="780"/>
      <c r="J148" s="780"/>
      <c r="K148" s="780"/>
      <c r="L148" s="780"/>
      <c r="M148" s="780"/>
      <c r="N148" s="780"/>
      <c r="O148" s="780"/>
      <c r="P148" s="780"/>
      <c r="Q148" s="780"/>
      <c r="R148" s="780"/>
      <c r="S148" s="780"/>
      <c r="T148" s="780"/>
      <c r="U148" s="780"/>
      <c r="V148" s="780"/>
      <c r="W148" s="780"/>
      <c r="X148" s="780"/>
      <c r="Y148" s="780"/>
    </row>
    <row r="149" spans="6:25" ht="16.5" customHeight="1">
      <c r="F149" s="780"/>
      <c r="G149" s="780"/>
      <c r="H149" s="780"/>
      <c r="I149" s="780"/>
      <c r="J149" s="780"/>
      <c r="K149" s="780"/>
      <c r="L149" s="780"/>
      <c r="M149" s="780"/>
      <c r="N149" s="780"/>
      <c r="O149" s="780"/>
      <c r="P149" s="780"/>
      <c r="Q149" s="780"/>
      <c r="R149" s="780"/>
      <c r="S149" s="780"/>
      <c r="T149" s="780"/>
      <c r="U149" s="780"/>
      <c r="V149" s="780"/>
      <c r="W149" s="780"/>
      <c r="X149" s="780"/>
      <c r="Y149" s="780"/>
    </row>
    <row r="150" spans="6:25" ht="16.5" customHeight="1">
      <c r="F150" s="780"/>
      <c r="G150" s="780"/>
      <c r="H150" s="780"/>
      <c r="I150" s="780"/>
      <c r="J150" s="780"/>
      <c r="K150" s="780"/>
      <c r="L150" s="780"/>
      <c r="M150" s="780"/>
      <c r="N150" s="780"/>
      <c r="O150" s="780"/>
      <c r="P150" s="780"/>
      <c r="Q150" s="780"/>
      <c r="R150" s="780"/>
      <c r="S150" s="780"/>
      <c r="T150" s="780"/>
      <c r="U150" s="780"/>
      <c r="V150" s="780"/>
      <c r="W150" s="780"/>
      <c r="X150" s="780"/>
      <c r="Y150" s="780"/>
    </row>
    <row r="151" spans="6:25" ht="16.5" customHeight="1">
      <c r="F151" s="780"/>
      <c r="G151" s="780"/>
      <c r="H151" s="780"/>
      <c r="I151" s="780"/>
      <c r="J151" s="780"/>
      <c r="K151" s="780"/>
      <c r="L151" s="780"/>
      <c r="M151" s="780"/>
      <c r="N151" s="780"/>
      <c r="O151" s="780"/>
      <c r="P151" s="780"/>
      <c r="Q151" s="780"/>
      <c r="R151" s="780"/>
      <c r="S151" s="780"/>
      <c r="T151" s="780"/>
      <c r="U151" s="780"/>
      <c r="V151" s="780"/>
      <c r="W151" s="780"/>
      <c r="X151" s="780"/>
      <c r="Y151" s="780"/>
    </row>
    <row r="152" spans="6:25" ht="16.5" customHeight="1">
      <c r="F152" s="780"/>
      <c r="G152" s="780"/>
      <c r="H152" s="780"/>
      <c r="I152" s="780"/>
      <c r="J152" s="780"/>
      <c r="K152" s="780"/>
      <c r="L152" s="780"/>
      <c r="M152" s="780"/>
      <c r="N152" s="780"/>
      <c r="O152" s="780"/>
      <c r="P152" s="780"/>
      <c r="Q152" s="780"/>
      <c r="R152" s="780"/>
      <c r="S152" s="780"/>
      <c r="T152" s="780"/>
      <c r="U152" s="780"/>
      <c r="V152" s="780"/>
      <c r="W152" s="780"/>
      <c r="X152" s="780"/>
      <c r="Y152" s="780"/>
    </row>
    <row r="153" spans="6:25" ht="16.5" customHeight="1">
      <c r="F153" s="780"/>
      <c r="G153" s="780"/>
      <c r="H153" s="780"/>
      <c r="I153" s="780"/>
      <c r="J153" s="780"/>
      <c r="K153" s="780"/>
      <c r="L153" s="780"/>
      <c r="M153" s="780"/>
      <c r="N153" s="780"/>
      <c r="O153" s="780"/>
      <c r="P153" s="780"/>
      <c r="Q153" s="780"/>
      <c r="R153" s="780"/>
      <c r="S153" s="780"/>
      <c r="T153" s="780"/>
      <c r="U153" s="780"/>
      <c r="V153" s="780"/>
      <c r="W153" s="780"/>
      <c r="X153" s="780"/>
      <c r="Y153" s="780"/>
    </row>
    <row r="154" spans="6:25" ht="16.5" customHeight="1">
      <c r="F154" s="780"/>
      <c r="G154" s="780"/>
      <c r="H154" s="780"/>
      <c r="I154" s="780"/>
      <c r="J154" s="780"/>
      <c r="K154" s="780"/>
      <c r="L154" s="780"/>
      <c r="M154" s="780"/>
      <c r="N154" s="780"/>
      <c r="O154" s="780"/>
      <c r="P154" s="780"/>
      <c r="Q154" s="780"/>
      <c r="R154" s="780"/>
      <c r="S154" s="780"/>
      <c r="T154" s="780"/>
      <c r="U154" s="780"/>
      <c r="V154" s="780"/>
      <c r="W154" s="780"/>
      <c r="X154" s="780"/>
      <c r="Y154" s="780"/>
    </row>
    <row r="155" spans="6:25" ht="16.5" customHeight="1">
      <c r="F155" s="780"/>
      <c r="G155" s="780"/>
      <c r="H155" s="780"/>
      <c r="I155" s="780"/>
      <c r="J155" s="780"/>
      <c r="K155" s="780"/>
      <c r="L155" s="780"/>
      <c r="M155" s="780"/>
      <c r="N155" s="780"/>
      <c r="O155" s="780"/>
      <c r="P155" s="780"/>
      <c r="Q155" s="780"/>
      <c r="R155" s="780"/>
      <c r="S155" s="780"/>
      <c r="T155" s="780"/>
      <c r="U155" s="780"/>
      <c r="V155" s="780"/>
      <c r="W155" s="780"/>
      <c r="X155" s="780"/>
      <c r="Y155" s="780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5" r:id="rId2"/>
  <headerFooter alignWithMargins="0">
    <oddFooter>&amp;L&amp;"Times New Roman,Normal"&amp;8&amp;F-&amp;A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AC159"/>
  <sheetViews>
    <sheetView zoomScale="70" zoomScaleNormal="70" zoomScalePageLayoutView="0" workbookViewId="0" topLeftCell="A16">
      <selection activeCell="N51" sqref="N51"/>
    </sheetView>
  </sheetViews>
  <sheetFormatPr defaultColWidth="11.421875" defaultRowHeight="12.75"/>
  <cols>
    <col min="1" max="1" width="1.421875" style="9" customWidth="1"/>
    <col min="2" max="2" width="4.140625" style="9" customWidth="1"/>
    <col min="3" max="3" width="5.421875" style="9" customWidth="1"/>
    <col min="4" max="5" width="13.57421875" style="9" customWidth="1"/>
    <col min="6" max="6" width="30.7109375" style="9" customWidth="1"/>
    <col min="7" max="7" width="27.28125" style="9" customWidth="1"/>
    <col min="8" max="8" width="7.7109375" style="9" bestFit="1" customWidth="1"/>
    <col min="9" max="9" width="7.421875" style="9" hidden="1" customWidth="1"/>
    <col min="10" max="11" width="15.7109375" style="9" customWidth="1"/>
    <col min="12" max="15" width="9.7109375" style="9" customWidth="1"/>
    <col min="16" max="16" width="5.7109375" style="9" bestFit="1" customWidth="1"/>
    <col min="17" max="17" width="4.00390625" style="9" hidden="1" customWidth="1"/>
    <col min="18" max="18" width="12.8515625" style="9" hidden="1" customWidth="1"/>
    <col min="19" max="19" width="10.28125" style="9" hidden="1" customWidth="1"/>
    <col min="20" max="20" width="12.140625" style="9" hidden="1" customWidth="1"/>
    <col min="21" max="22" width="6.00390625" style="9" hidden="1" customWidth="1"/>
    <col min="23" max="23" width="11.7109375" style="9" hidden="1" customWidth="1"/>
    <col min="24" max="24" width="12.140625" style="9" hidden="1" customWidth="1"/>
    <col min="25" max="25" width="9.7109375" style="9" customWidth="1"/>
    <col min="26" max="26" width="15.7109375" style="9" customWidth="1"/>
    <col min="27" max="27" width="4.140625" style="9" customWidth="1"/>
    <col min="28" max="16384" width="11.421875" style="9" customWidth="1"/>
  </cols>
  <sheetData>
    <row r="1" s="3" customFormat="1" ht="26.25">
      <c r="AA1" s="5"/>
    </row>
    <row r="2" spans="1:27" s="3" customFormat="1" ht="26.25">
      <c r="A2" s="88"/>
      <c r="B2" s="529" t="str">
        <f>'TOT-0912'!B2</f>
        <v>ANEXO IV al Memorándum  D.T.E.E.  N° 295 / 2014</v>
      </c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</row>
    <row r="3" s="8" customFormat="1" ht="12.75">
      <c r="A3" s="89"/>
    </row>
    <row r="4" spans="1:4" s="14" customFormat="1" ht="11.25">
      <c r="A4" s="12" t="s">
        <v>508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27" s="8" customFormat="1" ht="13.5" thickTop="1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460"/>
    </row>
    <row r="8" spans="2:27" s="18" customFormat="1" ht="20.25">
      <c r="B8" s="95"/>
      <c r="C8" s="23"/>
      <c r="D8" s="23"/>
      <c r="F8" s="96" t="s">
        <v>73</v>
      </c>
      <c r="G8" s="530"/>
      <c r="H8" s="22"/>
      <c r="I8" s="21"/>
      <c r="J8" s="21"/>
      <c r="K8" s="21"/>
      <c r="L8" s="21"/>
      <c r="M8" s="21"/>
      <c r="N8" s="21"/>
      <c r="O8" s="2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531"/>
    </row>
    <row r="9" spans="2:27" s="8" customFormat="1" ht="12.75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60"/>
    </row>
    <row r="10" spans="2:27" s="18" customFormat="1" ht="20.25">
      <c r="B10" s="95"/>
      <c r="C10" s="23"/>
      <c r="D10" s="23"/>
      <c r="F10" s="97" t="s">
        <v>74</v>
      </c>
      <c r="H10" s="532"/>
      <c r="I10" s="533"/>
      <c r="J10" s="533"/>
      <c r="K10" s="533"/>
      <c r="L10" s="533"/>
      <c r="M10" s="533"/>
      <c r="N10" s="533"/>
      <c r="O10" s="533"/>
      <c r="P10" s="533"/>
      <c r="Q10" s="533"/>
      <c r="R10" s="23"/>
      <c r="S10" s="23"/>
      <c r="T10" s="23"/>
      <c r="U10" s="23"/>
      <c r="V10" s="23"/>
      <c r="W10" s="23"/>
      <c r="X10" s="23"/>
      <c r="Y10" s="23"/>
      <c r="Z10" s="23"/>
      <c r="AA10" s="462"/>
    </row>
    <row r="11" spans="2:27" s="8" customFormat="1" ht="16.5" customHeight="1">
      <c r="B11" s="55"/>
      <c r="C11" s="11"/>
      <c r="D11" s="11"/>
      <c r="E11" s="11"/>
      <c r="F11" s="534"/>
      <c r="H11" s="24"/>
      <c r="I11" s="100"/>
      <c r="J11" s="100"/>
      <c r="K11" s="100"/>
      <c r="L11" s="100"/>
      <c r="M11" s="100"/>
      <c r="N11" s="100"/>
      <c r="O11" s="100"/>
      <c r="P11" s="100"/>
      <c r="Q11" s="100"/>
      <c r="R11" s="11"/>
      <c r="S11" s="11"/>
      <c r="T11" s="11"/>
      <c r="U11" s="11"/>
      <c r="V11" s="11"/>
      <c r="W11" s="11"/>
      <c r="X11" s="11"/>
      <c r="Y11" s="11"/>
      <c r="Z11" s="11"/>
      <c r="AA11" s="60"/>
    </row>
    <row r="12" spans="2:27" s="18" customFormat="1" ht="20.25">
      <c r="B12" s="95"/>
      <c r="C12" s="23"/>
      <c r="D12" s="23"/>
      <c r="F12" s="97" t="s">
        <v>75</v>
      </c>
      <c r="H12" s="532"/>
      <c r="I12" s="533"/>
      <c r="J12" s="533"/>
      <c r="K12" s="533"/>
      <c r="L12" s="533"/>
      <c r="M12" s="533"/>
      <c r="N12" s="533"/>
      <c r="O12" s="533"/>
      <c r="P12" s="533"/>
      <c r="Q12" s="533"/>
      <c r="R12" s="23"/>
      <c r="S12" s="23"/>
      <c r="T12" s="23"/>
      <c r="U12" s="23"/>
      <c r="V12" s="23"/>
      <c r="W12" s="23"/>
      <c r="X12" s="23"/>
      <c r="Y12" s="23"/>
      <c r="Z12" s="23"/>
      <c r="AA12" s="462"/>
    </row>
    <row r="13" spans="2:27" s="8" customFormat="1" ht="16.5" customHeight="1">
      <c r="B13" s="55"/>
      <c r="C13" s="11"/>
      <c r="D13" s="11"/>
      <c r="E13" s="11"/>
      <c r="F13" s="534"/>
      <c r="H13" s="24"/>
      <c r="I13" s="100"/>
      <c r="J13" s="100"/>
      <c r="K13" s="100"/>
      <c r="L13" s="100"/>
      <c r="M13" s="100"/>
      <c r="N13" s="100"/>
      <c r="O13" s="100"/>
      <c r="P13" s="100"/>
      <c r="Q13" s="100"/>
      <c r="R13" s="11"/>
      <c r="S13" s="11"/>
      <c r="T13" s="11"/>
      <c r="U13" s="11"/>
      <c r="V13" s="11"/>
      <c r="W13" s="11"/>
      <c r="X13" s="11"/>
      <c r="Y13" s="11"/>
      <c r="Z13" s="11"/>
      <c r="AA13" s="60"/>
    </row>
    <row r="14" spans="2:27" s="34" customFormat="1" ht="16.5" customHeight="1">
      <c r="B14" s="35" t="str">
        <f>'TOT-0912'!B14</f>
        <v>Desde el 01 al 30 de septiembre de 2012</v>
      </c>
      <c r="C14" s="39"/>
      <c r="D14" s="39"/>
      <c r="E14" s="535"/>
      <c r="F14" s="536"/>
      <c r="G14" s="536"/>
      <c r="H14" s="536"/>
      <c r="I14" s="536"/>
      <c r="J14" s="536"/>
      <c r="K14" s="536"/>
      <c r="L14" s="536"/>
      <c r="M14" s="536"/>
      <c r="N14" s="536"/>
      <c r="O14" s="536"/>
      <c r="P14" s="536"/>
      <c r="Q14" s="536"/>
      <c r="R14" s="535"/>
      <c r="S14" s="535"/>
      <c r="T14" s="535"/>
      <c r="U14" s="535"/>
      <c r="V14" s="535"/>
      <c r="W14" s="535"/>
      <c r="X14" s="535"/>
      <c r="Y14" s="535"/>
      <c r="Z14" s="535"/>
      <c r="AA14" s="537"/>
    </row>
    <row r="15" spans="2:27" s="8" customFormat="1" ht="16.5" customHeight="1" thickBot="1">
      <c r="B15" s="5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R15" s="11"/>
      <c r="S15" s="11"/>
      <c r="T15" s="11"/>
      <c r="U15" s="11"/>
      <c r="V15" s="11"/>
      <c r="W15" s="11"/>
      <c r="X15" s="11"/>
      <c r="Y15" s="11"/>
      <c r="Z15" s="11"/>
      <c r="AA15" s="60"/>
    </row>
    <row r="16" spans="2:27" s="8" customFormat="1" ht="16.5" customHeight="1" thickBot="1" thickTop="1">
      <c r="B16" s="55"/>
      <c r="C16" s="11"/>
      <c r="D16" s="11"/>
      <c r="E16" s="11"/>
      <c r="F16" s="538" t="s">
        <v>56</v>
      </c>
      <c r="G16" s="276"/>
      <c r="H16" s="315">
        <v>0.697</v>
      </c>
      <c r="I16" s="474"/>
      <c r="J16" s="9"/>
      <c r="K16" s="11"/>
      <c r="L16" s="11"/>
      <c r="M16" s="11"/>
      <c r="N16" s="11"/>
      <c r="O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60"/>
    </row>
    <row r="17" spans="2:27" s="8" customFormat="1" ht="16.5" customHeight="1" thickBot="1" thickTop="1">
      <c r="B17" s="55"/>
      <c r="C17" s="11"/>
      <c r="D17" s="11"/>
      <c r="E17" s="11"/>
      <c r="F17" s="539" t="s">
        <v>57</v>
      </c>
      <c r="G17" s="540"/>
      <c r="H17" s="541">
        <v>20</v>
      </c>
      <c r="I17" s="474"/>
      <c r="J17" s="9"/>
      <c r="K17" s="107"/>
      <c r="L17" s="108"/>
      <c r="M17" s="11"/>
      <c r="N17" s="11"/>
      <c r="O17" s="11"/>
      <c r="Q17" s="11"/>
      <c r="R17" s="11"/>
      <c r="S17" s="11"/>
      <c r="T17" s="109"/>
      <c r="U17" s="109"/>
      <c r="V17" s="109"/>
      <c r="W17" s="109"/>
      <c r="X17" s="109"/>
      <c r="Y17" s="109"/>
      <c r="Z17" s="109"/>
      <c r="AA17" s="60"/>
    </row>
    <row r="18" spans="2:27" s="8" customFormat="1" ht="16.5" customHeight="1" thickBot="1" thickTop="1">
      <c r="B18" s="55"/>
      <c r="C18" s="110">
        <v>3</v>
      </c>
      <c r="D18" s="110">
        <v>4</v>
      </c>
      <c r="E18" s="110">
        <v>5</v>
      </c>
      <c r="F18" s="110">
        <v>6</v>
      </c>
      <c r="G18" s="110">
        <v>7</v>
      </c>
      <c r="H18" s="110">
        <v>8</v>
      </c>
      <c r="I18" s="110">
        <v>9</v>
      </c>
      <c r="J18" s="110">
        <v>10</v>
      </c>
      <c r="K18" s="110">
        <v>11</v>
      </c>
      <c r="L18" s="110">
        <v>12</v>
      </c>
      <c r="M18" s="110">
        <v>13</v>
      </c>
      <c r="N18" s="110">
        <v>14</v>
      </c>
      <c r="O18" s="110">
        <v>15</v>
      </c>
      <c r="P18" s="110">
        <v>16</v>
      </c>
      <c r="Q18" s="110">
        <v>17</v>
      </c>
      <c r="R18" s="110">
        <v>18</v>
      </c>
      <c r="S18" s="110">
        <v>19</v>
      </c>
      <c r="T18" s="110">
        <v>20</v>
      </c>
      <c r="U18" s="110">
        <v>21</v>
      </c>
      <c r="V18" s="110">
        <v>22</v>
      </c>
      <c r="W18" s="110">
        <v>23</v>
      </c>
      <c r="X18" s="110">
        <v>24</v>
      </c>
      <c r="Y18" s="110">
        <v>25</v>
      </c>
      <c r="Z18" s="110">
        <v>26</v>
      </c>
      <c r="AA18" s="60"/>
    </row>
    <row r="19" spans="2:27" s="8" customFormat="1" ht="33.75" customHeight="1" thickBot="1" thickTop="1">
      <c r="B19" s="55"/>
      <c r="C19" s="321" t="s">
        <v>28</v>
      </c>
      <c r="D19" s="111" t="s">
        <v>29</v>
      </c>
      <c r="E19" s="111" t="s">
        <v>30</v>
      </c>
      <c r="F19" s="114" t="s">
        <v>58</v>
      </c>
      <c r="G19" s="112" t="s">
        <v>59</v>
      </c>
      <c r="H19" s="542" t="s">
        <v>76</v>
      </c>
      <c r="I19" s="326" t="s">
        <v>35</v>
      </c>
      <c r="J19" s="112" t="s">
        <v>36</v>
      </c>
      <c r="K19" s="112" t="s">
        <v>37</v>
      </c>
      <c r="L19" s="114" t="s">
        <v>38</v>
      </c>
      <c r="M19" s="114" t="s">
        <v>39</v>
      </c>
      <c r="N19" s="119" t="s">
        <v>254</v>
      </c>
      <c r="O19" s="119" t="s">
        <v>40</v>
      </c>
      <c r="P19" s="112" t="s">
        <v>42</v>
      </c>
      <c r="Q19" s="326" t="s">
        <v>34</v>
      </c>
      <c r="R19" s="543" t="s">
        <v>71</v>
      </c>
      <c r="S19" s="544" t="s">
        <v>77</v>
      </c>
      <c r="T19" s="545"/>
      <c r="U19" s="331" t="s">
        <v>78</v>
      </c>
      <c r="V19" s="332"/>
      <c r="W19" s="546" t="s">
        <v>47</v>
      </c>
      <c r="X19" s="330" t="s">
        <v>44</v>
      </c>
      <c r="Y19" s="130" t="s">
        <v>49</v>
      </c>
      <c r="Z19" s="547" t="s">
        <v>50</v>
      </c>
      <c r="AA19" s="60"/>
    </row>
    <row r="20" spans="2:27" s="8" customFormat="1" ht="16.5" customHeight="1" thickTop="1">
      <c r="B20" s="55"/>
      <c r="C20" s="335"/>
      <c r="D20" s="335"/>
      <c r="E20" s="335"/>
      <c r="F20" s="548"/>
      <c r="G20" s="548"/>
      <c r="H20" s="548"/>
      <c r="I20" s="423"/>
      <c r="J20" s="549"/>
      <c r="K20" s="549"/>
      <c r="L20" s="550"/>
      <c r="M20" s="550"/>
      <c r="N20" s="548"/>
      <c r="O20" s="627"/>
      <c r="P20" s="550"/>
      <c r="Q20" s="551"/>
      <c r="R20" s="552"/>
      <c r="S20" s="628"/>
      <c r="T20" s="629"/>
      <c r="U20" s="344"/>
      <c r="V20" s="345"/>
      <c r="W20" s="555"/>
      <c r="X20" s="555"/>
      <c r="Y20" s="556"/>
      <c r="Z20" s="557"/>
      <c r="AA20" s="60"/>
    </row>
    <row r="21" spans="2:27" s="8" customFormat="1" ht="16.5" customHeight="1">
      <c r="B21" s="55"/>
      <c r="C21" s="150"/>
      <c r="D21" s="150"/>
      <c r="E21" s="150"/>
      <c r="F21" s="593"/>
      <c r="G21" s="593"/>
      <c r="H21" s="593"/>
      <c r="I21" s="350"/>
      <c r="J21" s="593"/>
      <c r="K21" s="593"/>
      <c r="L21" s="593"/>
      <c r="M21" s="593"/>
      <c r="N21" s="593"/>
      <c r="O21" s="630"/>
      <c r="P21" s="593"/>
      <c r="Q21" s="350"/>
      <c r="R21" s="631"/>
      <c r="S21" s="632"/>
      <c r="T21" s="632"/>
      <c r="U21" s="633"/>
      <c r="V21" s="633"/>
      <c r="W21" s="634"/>
      <c r="X21" s="634"/>
      <c r="Y21" s="593"/>
      <c r="Z21" s="635"/>
      <c r="AA21" s="60"/>
    </row>
    <row r="22" spans="2:27" s="8" customFormat="1" ht="16.5" customHeight="1">
      <c r="B22" s="55"/>
      <c r="C22" s="150">
        <v>103</v>
      </c>
      <c r="D22" s="150">
        <v>249751</v>
      </c>
      <c r="E22" s="169">
        <v>588</v>
      </c>
      <c r="F22" s="620" t="s">
        <v>322</v>
      </c>
      <c r="G22" s="621" t="s">
        <v>324</v>
      </c>
      <c r="H22" s="199">
        <v>245</v>
      </c>
      <c r="I22" s="366">
        <f aca="true" t="shared" si="0" ref="I22:I42">H22*$H$16</f>
        <v>170.765</v>
      </c>
      <c r="J22" s="508">
        <v>41153</v>
      </c>
      <c r="K22" s="204">
        <v>41162.694444444445</v>
      </c>
      <c r="L22" s="510">
        <f>IF(F22="","",(K22-J22)*24)</f>
        <v>232.66666666668607</v>
      </c>
      <c r="M22" s="511">
        <f>IF(F22="","",ROUND((K22-J22)*24*60,0))</f>
        <v>13960</v>
      </c>
      <c r="N22" s="178" t="s">
        <v>259</v>
      </c>
      <c r="O22" s="274" t="str">
        <f>IF(F22="","","--")</f>
        <v>--</v>
      </c>
      <c r="P22" s="180" t="str">
        <f>IF(F22="","",IF(OR(N22="P",N22="RP"),"--","NO"))</f>
        <v>--</v>
      </c>
      <c r="Q22" s="575">
        <f>IF(OR(N22="P",N22="RP"),$H$17/10,$H$17)</f>
        <v>2</v>
      </c>
      <c r="R22" s="576">
        <f>IF(N22="P",I22*Q22*ROUND(M22/60,2),"--")</f>
        <v>79463.7851</v>
      </c>
      <c r="S22" s="569" t="str">
        <f>IF(AND(N22="F",P22="NO"),I22*Q22,"--")</f>
        <v>--</v>
      </c>
      <c r="T22" s="570" t="str">
        <f>IF(N22="F",I22*Q22*ROUND(M22/60,2),"--")</f>
        <v>--</v>
      </c>
      <c r="U22" s="377" t="str">
        <f>IF(AND(N22="R",P22="NO"),I22*Q22*O22/100,"--")</f>
        <v>--</v>
      </c>
      <c r="V22" s="378" t="str">
        <f>IF(N22="R",I22*Q22*O22/100*ROUND(M22/60,2),"--")</f>
        <v>--</v>
      </c>
      <c r="W22" s="571" t="str">
        <f>IF(N22="RF",I22*Q22*ROUND(M22/60,2),"--")</f>
        <v>--</v>
      </c>
      <c r="X22" s="428" t="str">
        <f>IF(N22="RP",I22*Q22*O22/100*ROUND(M22/60,2),"--")</f>
        <v>--</v>
      </c>
      <c r="Y22" s="180" t="str">
        <f>IF(F22="","","SI")</f>
        <v>SI</v>
      </c>
      <c r="Z22" s="514">
        <f>IF(F22="","",SUM(R22:X22)*IF(Y22="SI",1,2)*IF(AND(O22&lt;&gt;"--",N22="RF"),O22/100,1))</f>
        <v>79463.7851</v>
      </c>
      <c r="AA22" s="60"/>
    </row>
    <row r="23" spans="2:27" s="8" customFormat="1" ht="16.5" customHeight="1">
      <c r="B23" s="55"/>
      <c r="C23" s="150">
        <v>104</v>
      </c>
      <c r="D23" s="150">
        <v>251379</v>
      </c>
      <c r="E23" s="150">
        <v>614</v>
      </c>
      <c r="F23" s="620" t="s">
        <v>328</v>
      </c>
      <c r="G23" s="621" t="s">
        <v>329</v>
      </c>
      <c r="H23" s="199">
        <v>150</v>
      </c>
      <c r="I23" s="366">
        <f t="shared" si="0"/>
        <v>104.55</v>
      </c>
      <c r="J23" s="508">
        <v>41158.36597222222</v>
      </c>
      <c r="K23" s="204">
        <v>41164.71388888889</v>
      </c>
      <c r="L23" s="510">
        <f>IF(F23="","",(K23-J23)*24)</f>
        <v>152.34999999997672</v>
      </c>
      <c r="M23" s="511">
        <f>IF(F23="","",ROUND((K23-J23)*24*60,0))</f>
        <v>9141</v>
      </c>
      <c r="N23" s="178" t="s">
        <v>259</v>
      </c>
      <c r="O23" s="274" t="str">
        <f>IF(F23="","","--")</f>
        <v>--</v>
      </c>
      <c r="P23" s="180" t="str">
        <f>IF(F23="","",IF(OR(N23="P",N23="RP"),"--","NO"))</f>
        <v>--</v>
      </c>
      <c r="Q23" s="575">
        <f>IF(OR(N23="P",N23="RP"),$H$17/10,$H$17)</f>
        <v>2</v>
      </c>
      <c r="R23" s="576">
        <f>IF(N23="P",I23*Q23*ROUND(M23/60,2),"--")</f>
        <v>31856.385</v>
      </c>
      <c r="S23" s="569" t="str">
        <f>IF(AND(N23="F",P23="NO"),I23*Q23,"--")</f>
        <v>--</v>
      </c>
      <c r="T23" s="570" t="str">
        <f>IF(N23="F",I23*Q23*ROUND(M23/60,2),"--")</f>
        <v>--</v>
      </c>
      <c r="U23" s="377" t="str">
        <f>IF(AND(N23="R",P23="NO"),I23*Q23*O23/100,"--")</f>
        <v>--</v>
      </c>
      <c r="V23" s="378" t="str">
        <f>IF(N23="R",I23*Q23*O23/100*ROUND(M23/60,2),"--")</f>
        <v>--</v>
      </c>
      <c r="W23" s="571" t="str">
        <f>IF(N23="RF",I23*Q23*ROUND(M23/60,2),"--")</f>
        <v>--</v>
      </c>
      <c r="X23" s="428" t="str">
        <f>IF(N23="RP",I23*Q23*O23/100*ROUND(M23/60,2),"--")</f>
        <v>--</v>
      </c>
      <c r="Y23" s="180" t="str">
        <f>IF(F23="","","SI")</f>
        <v>SI</v>
      </c>
      <c r="Z23" s="514">
        <f>IF(F23="","",SUM(R23:X23)*IF(Y23="SI",1,2)*IF(AND(O23&lt;&gt;"--",N23="RF"),O23/100,1))</f>
        <v>31856.385</v>
      </c>
      <c r="AA23" s="60"/>
    </row>
    <row r="24" spans="2:27" s="8" customFormat="1" ht="16.5" customHeight="1">
      <c r="B24" s="55"/>
      <c r="C24" s="150">
        <v>105</v>
      </c>
      <c r="D24" s="150">
        <v>251582</v>
      </c>
      <c r="E24" s="259">
        <v>588</v>
      </c>
      <c r="F24" s="620" t="s">
        <v>322</v>
      </c>
      <c r="G24" s="621" t="s">
        <v>324</v>
      </c>
      <c r="H24" s="199">
        <v>245</v>
      </c>
      <c r="I24" s="366">
        <f t="shared" si="0"/>
        <v>170.765</v>
      </c>
      <c r="J24" s="508">
        <v>41162.69513888889</v>
      </c>
      <c r="K24" s="204">
        <v>41162.74652777778</v>
      </c>
      <c r="L24" s="510">
        <f aca="true" t="shared" si="1" ref="L24:L29">IF(F24="","",(K24-J24)*24)</f>
        <v>1.2333333333372138</v>
      </c>
      <c r="M24" s="511">
        <f aca="true" t="shared" si="2" ref="M24:M29">IF(F24="","",ROUND((K24-J24)*24*60,0))</f>
        <v>74</v>
      </c>
      <c r="N24" s="178" t="s">
        <v>354</v>
      </c>
      <c r="O24" s="274">
        <v>88</v>
      </c>
      <c r="P24" s="180" t="str">
        <f aca="true" t="shared" si="3" ref="P24:P29">IF(F24="","",IF(OR(N24="P",N24="RP"),"--","NO"))</f>
        <v>--</v>
      </c>
      <c r="Q24" s="575">
        <f aca="true" t="shared" si="4" ref="Q24:Q29">IF(OR(N24="P",N24="RP"),$H$17/10,$H$17)</f>
        <v>2</v>
      </c>
      <c r="R24" s="576" t="str">
        <f aca="true" t="shared" si="5" ref="R24:R29">IF(N24="P",I24*Q24*ROUND(M24/60,2),"--")</f>
        <v>--</v>
      </c>
      <c r="S24" s="569" t="str">
        <f aca="true" t="shared" si="6" ref="S24:S29">IF(AND(N24="F",P24="NO"),I24*Q24,"--")</f>
        <v>--</v>
      </c>
      <c r="T24" s="570" t="str">
        <f aca="true" t="shared" si="7" ref="T24:T29">IF(N24="F",I24*Q24*ROUND(M24/60,2),"--")</f>
        <v>--</v>
      </c>
      <c r="U24" s="377" t="str">
        <f aca="true" t="shared" si="8" ref="U24:U29">IF(AND(N24="R",P24="NO"),I24*Q24*O24/100,"--")</f>
        <v>--</v>
      </c>
      <c r="V24" s="378" t="str">
        <f aca="true" t="shared" si="9" ref="V24:V29">IF(N24="R",I24*Q24*O24/100*ROUND(M24/60,2),"--")</f>
        <v>--</v>
      </c>
      <c r="W24" s="571" t="str">
        <f aca="true" t="shared" si="10" ref="W24:W29">IF(N24="RF",I24*Q24*ROUND(M24/60,2),"--")</f>
        <v>--</v>
      </c>
      <c r="X24" s="428">
        <f aca="true" t="shared" si="11" ref="X24:X29">IF(N24="RP",I24*Q24*O24/100*ROUND(M24/60,2),"--")</f>
        <v>369.672072</v>
      </c>
      <c r="Y24" s="180" t="str">
        <f aca="true" t="shared" si="12" ref="Y24:Y29">IF(F24="","","SI")</f>
        <v>SI</v>
      </c>
      <c r="Z24" s="514">
        <f aca="true" t="shared" si="13" ref="Z24:Z29">IF(F24="","",SUM(R24:X24)*IF(Y24="SI",1,2)*IF(AND(O24&lt;&gt;"--",N24="RF"),O24/100,1))</f>
        <v>369.672072</v>
      </c>
      <c r="AA24" s="60"/>
    </row>
    <row r="25" spans="2:27" s="8" customFormat="1" ht="16.5" customHeight="1">
      <c r="B25" s="55"/>
      <c r="C25" s="150">
        <v>106</v>
      </c>
      <c r="D25" s="150">
        <v>251583</v>
      </c>
      <c r="E25" s="169">
        <v>588</v>
      </c>
      <c r="F25" s="620" t="s">
        <v>322</v>
      </c>
      <c r="G25" s="621" t="s">
        <v>324</v>
      </c>
      <c r="H25" s="199">
        <v>245</v>
      </c>
      <c r="I25" s="366">
        <f t="shared" si="0"/>
        <v>170.765</v>
      </c>
      <c r="J25" s="508">
        <v>41162.74722222222</v>
      </c>
      <c r="K25" s="204">
        <v>41163.48819444444</v>
      </c>
      <c r="L25" s="510">
        <f t="shared" si="1"/>
        <v>17.783333333325572</v>
      </c>
      <c r="M25" s="511">
        <f t="shared" si="2"/>
        <v>1067</v>
      </c>
      <c r="N25" s="178" t="s">
        <v>259</v>
      </c>
      <c r="O25" s="274" t="str">
        <f>IF(F25="","","--")</f>
        <v>--</v>
      </c>
      <c r="P25" s="180" t="str">
        <f t="shared" si="3"/>
        <v>--</v>
      </c>
      <c r="Q25" s="575">
        <f t="shared" si="4"/>
        <v>2</v>
      </c>
      <c r="R25" s="576">
        <f t="shared" si="5"/>
        <v>6072.4034</v>
      </c>
      <c r="S25" s="569" t="str">
        <f t="shared" si="6"/>
        <v>--</v>
      </c>
      <c r="T25" s="570" t="str">
        <f t="shared" si="7"/>
        <v>--</v>
      </c>
      <c r="U25" s="377" t="str">
        <f t="shared" si="8"/>
        <v>--</v>
      </c>
      <c r="V25" s="378" t="str">
        <f t="shared" si="9"/>
        <v>--</v>
      </c>
      <c r="W25" s="571" t="str">
        <f t="shared" si="10"/>
        <v>--</v>
      </c>
      <c r="X25" s="428" t="str">
        <f t="shared" si="11"/>
        <v>--</v>
      </c>
      <c r="Y25" s="180" t="str">
        <f t="shared" si="12"/>
        <v>SI</v>
      </c>
      <c r="Z25" s="514">
        <f t="shared" si="13"/>
        <v>6072.4034</v>
      </c>
      <c r="AA25" s="60"/>
    </row>
    <row r="26" spans="2:27" s="8" customFormat="1" ht="16.5" customHeight="1">
      <c r="B26" s="55"/>
      <c r="C26" s="150">
        <v>107</v>
      </c>
      <c r="D26" s="150">
        <v>251590</v>
      </c>
      <c r="E26" s="169">
        <v>588</v>
      </c>
      <c r="F26" s="620" t="s">
        <v>322</v>
      </c>
      <c r="G26" s="621" t="s">
        <v>324</v>
      </c>
      <c r="H26" s="199">
        <v>245</v>
      </c>
      <c r="I26" s="366">
        <f t="shared" si="0"/>
        <v>170.765</v>
      </c>
      <c r="J26" s="508">
        <v>41163.48888888889</v>
      </c>
      <c r="K26" s="204">
        <v>41163.65</v>
      </c>
      <c r="L26" s="510">
        <f t="shared" si="1"/>
        <v>3.8666666666977108</v>
      </c>
      <c r="M26" s="511">
        <f t="shared" si="2"/>
        <v>232</v>
      </c>
      <c r="N26" s="178" t="s">
        <v>354</v>
      </c>
      <c r="O26" s="274">
        <v>88</v>
      </c>
      <c r="P26" s="180" t="str">
        <f t="shared" si="3"/>
        <v>--</v>
      </c>
      <c r="Q26" s="575">
        <f t="shared" si="4"/>
        <v>2</v>
      </c>
      <c r="R26" s="576" t="str">
        <f t="shared" si="5"/>
        <v>--</v>
      </c>
      <c r="S26" s="569" t="str">
        <f t="shared" si="6"/>
        <v>--</v>
      </c>
      <c r="T26" s="570" t="str">
        <f t="shared" si="7"/>
        <v>--</v>
      </c>
      <c r="U26" s="377" t="str">
        <f t="shared" si="8"/>
        <v>--</v>
      </c>
      <c r="V26" s="378" t="str">
        <f t="shared" si="9"/>
        <v>--</v>
      </c>
      <c r="W26" s="571" t="str">
        <f t="shared" si="10"/>
        <v>--</v>
      </c>
      <c r="X26" s="428">
        <f t="shared" si="11"/>
        <v>1163.114568</v>
      </c>
      <c r="Y26" s="180" t="str">
        <f t="shared" si="12"/>
        <v>SI</v>
      </c>
      <c r="Z26" s="514">
        <f t="shared" si="13"/>
        <v>1163.114568</v>
      </c>
      <c r="AA26" s="60"/>
    </row>
    <row r="27" spans="2:27" s="8" customFormat="1" ht="16.5" customHeight="1">
      <c r="B27" s="55"/>
      <c r="C27" s="150">
        <v>108</v>
      </c>
      <c r="D27" s="150">
        <v>251591</v>
      </c>
      <c r="E27" s="169">
        <v>588</v>
      </c>
      <c r="F27" s="620" t="s">
        <v>322</v>
      </c>
      <c r="G27" s="621" t="s">
        <v>324</v>
      </c>
      <c r="H27" s="199">
        <v>245</v>
      </c>
      <c r="I27" s="366">
        <f t="shared" si="0"/>
        <v>170.765</v>
      </c>
      <c r="J27" s="508">
        <v>41163.65069444444</v>
      </c>
      <c r="K27" s="204">
        <v>41164.70694444444</v>
      </c>
      <c r="L27" s="510">
        <f t="shared" si="1"/>
        <v>25.350000000034925</v>
      </c>
      <c r="M27" s="511">
        <f t="shared" si="2"/>
        <v>1521</v>
      </c>
      <c r="N27" s="178" t="s">
        <v>259</v>
      </c>
      <c r="O27" s="274" t="str">
        <f>IF(F27="","","--")</f>
        <v>--</v>
      </c>
      <c r="P27" s="180" t="str">
        <f t="shared" si="3"/>
        <v>--</v>
      </c>
      <c r="Q27" s="575">
        <f t="shared" si="4"/>
        <v>2</v>
      </c>
      <c r="R27" s="576">
        <f t="shared" si="5"/>
        <v>8657.7855</v>
      </c>
      <c r="S27" s="569" t="str">
        <f t="shared" si="6"/>
        <v>--</v>
      </c>
      <c r="T27" s="570" t="str">
        <f t="shared" si="7"/>
        <v>--</v>
      </c>
      <c r="U27" s="377" t="str">
        <f t="shared" si="8"/>
        <v>--</v>
      </c>
      <c r="V27" s="378" t="str">
        <f t="shared" si="9"/>
        <v>--</v>
      </c>
      <c r="W27" s="571" t="str">
        <f t="shared" si="10"/>
        <v>--</v>
      </c>
      <c r="X27" s="428" t="str">
        <f t="shared" si="11"/>
        <v>--</v>
      </c>
      <c r="Y27" s="180" t="str">
        <f t="shared" si="12"/>
        <v>SI</v>
      </c>
      <c r="Z27" s="514">
        <f t="shared" si="13"/>
        <v>8657.7855</v>
      </c>
      <c r="AA27" s="60"/>
    </row>
    <row r="28" spans="2:27" s="8" customFormat="1" ht="16.5" customHeight="1">
      <c r="B28" s="55"/>
      <c r="C28" s="150">
        <v>109</v>
      </c>
      <c r="D28" s="150">
        <v>251601</v>
      </c>
      <c r="E28" s="169">
        <v>588</v>
      </c>
      <c r="F28" s="620" t="s">
        <v>322</v>
      </c>
      <c r="G28" s="621" t="s">
        <v>324</v>
      </c>
      <c r="H28" s="199">
        <v>245</v>
      </c>
      <c r="I28" s="366">
        <f t="shared" si="0"/>
        <v>170.765</v>
      </c>
      <c r="J28" s="508">
        <v>41164.70763888889</v>
      </c>
      <c r="K28" s="204">
        <v>41164.74444444444</v>
      </c>
      <c r="L28" s="510">
        <f t="shared" si="1"/>
        <v>0.8833333332440816</v>
      </c>
      <c r="M28" s="511">
        <f t="shared" si="2"/>
        <v>53</v>
      </c>
      <c r="N28" s="178" t="s">
        <v>354</v>
      </c>
      <c r="O28" s="274">
        <v>88</v>
      </c>
      <c r="P28" s="180" t="str">
        <f t="shared" si="3"/>
        <v>--</v>
      </c>
      <c r="Q28" s="575">
        <f t="shared" si="4"/>
        <v>2</v>
      </c>
      <c r="R28" s="576" t="str">
        <f t="shared" si="5"/>
        <v>--</v>
      </c>
      <c r="S28" s="569" t="str">
        <f t="shared" si="6"/>
        <v>--</v>
      </c>
      <c r="T28" s="570" t="str">
        <f t="shared" si="7"/>
        <v>--</v>
      </c>
      <c r="U28" s="377" t="str">
        <f t="shared" si="8"/>
        <v>--</v>
      </c>
      <c r="V28" s="378" t="str">
        <f t="shared" si="9"/>
        <v>--</v>
      </c>
      <c r="W28" s="571" t="str">
        <f t="shared" si="10"/>
        <v>--</v>
      </c>
      <c r="X28" s="428">
        <f t="shared" si="11"/>
        <v>264.480832</v>
      </c>
      <c r="Y28" s="180" t="str">
        <f t="shared" si="12"/>
        <v>SI</v>
      </c>
      <c r="Z28" s="514">
        <f t="shared" si="13"/>
        <v>264.480832</v>
      </c>
      <c r="AA28" s="60"/>
    </row>
    <row r="29" spans="2:27" s="8" customFormat="1" ht="16.5" customHeight="1">
      <c r="B29" s="55"/>
      <c r="C29" s="150">
        <v>110</v>
      </c>
      <c r="D29" s="150">
        <v>251604</v>
      </c>
      <c r="E29" s="169">
        <v>588</v>
      </c>
      <c r="F29" s="620" t="s">
        <v>322</v>
      </c>
      <c r="G29" s="621" t="s">
        <v>324</v>
      </c>
      <c r="H29" s="199">
        <v>245</v>
      </c>
      <c r="I29" s="366">
        <f t="shared" si="0"/>
        <v>170.765</v>
      </c>
      <c r="J29" s="508">
        <v>41164.74513888889</v>
      </c>
      <c r="K29" s="204">
        <v>41168.64236111111</v>
      </c>
      <c r="L29" s="510">
        <f t="shared" si="1"/>
        <v>93.53333333332557</v>
      </c>
      <c r="M29" s="511">
        <f t="shared" si="2"/>
        <v>5612</v>
      </c>
      <c r="N29" s="178" t="s">
        <v>259</v>
      </c>
      <c r="O29" s="274" t="str">
        <f>IF(F29="","","--")</f>
        <v>--</v>
      </c>
      <c r="P29" s="180" t="str">
        <f t="shared" si="3"/>
        <v>--</v>
      </c>
      <c r="Q29" s="575">
        <f t="shared" si="4"/>
        <v>2</v>
      </c>
      <c r="R29" s="576">
        <f t="shared" si="5"/>
        <v>31943.3009</v>
      </c>
      <c r="S29" s="569" t="str">
        <f t="shared" si="6"/>
        <v>--</v>
      </c>
      <c r="T29" s="570" t="str">
        <f t="shared" si="7"/>
        <v>--</v>
      </c>
      <c r="U29" s="377" t="str">
        <f t="shared" si="8"/>
        <v>--</v>
      </c>
      <c r="V29" s="378" t="str">
        <f t="shared" si="9"/>
        <v>--</v>
      </c>
      <c r="W29" s="571" t="str">
        <f t="shared" si="10"/>
        <v>--</v>
      </c>
      <c r="X29" s="428" t="str">
        <f t="shared" si="11"/>
        <v>--</v>
      </c>
      <c r="Y29" s="180" t="str">
        <f t="shared" si="12"/>
        <v>SI</v>
      </c>
      <c r="Z29" s="514">
        <f t="shared" si="13"/>
        <v>31943.3009</v>
      </c>
      <c r="AA29" s="60"/>
    </row>
    <row r="30" spans="2:27" s="8" customFormat="1" ht="16.5" customHeight="1">
      <c r="B30" s="55"/>
      <c r="C30" s="150">
        <v>111</v>
      </c>
      <c r="D30" s="150">
        <v>251614</v>
      </c>
      <c r="E30" s="150">
        <v>593</v>
      </c>
      <c r="F30" s="620" t="s">
        <v>328</v>
      </c>
      <c r="G30" s="621" t="s">
        <v>330</v>
      </c>
      <c r="H30" s="199">
        <v>150</v>
      </c>
      <c r="I30" s="366">
        <f t="shared" si="0"/>
        <v>104.55</v>
      </c>
      <c r="J30" s="508">
        <v>41165.38402777778</v>
      </c>
      <c r="K30" s="204">
        <v>41171.714583333334</v>
      </c>
      <c r="L30" s="510">
        <f>IF(F30="","",(K30-J30)*24)</f>
        <v>151.93333333334886</v>
      </c>
      <c r="M30" s="511">
        <f>IF(F30="","",ROUND((K30-J30)*24*60,0))</f>
        <v>9116</v>
      </c>
      <c r="N30" s="178" t="s">
        <v>259</v>
      </c>
      <c r="O30" s="274" t="str">
        <f>IF(F30="","","--")</f>
        <v>--</v>
      </c>
      <c r="P30" s="180" t="str">
        <f>IF(F30="","",IF(OR(N30="P",N30="RP"),"--","NO"))</f>
        <v>--</v>
      </c>
      <c r="Q30" s="575">
        <f>IF(OR(N30="P",N30="RP"),$H$17/10,$H$17)</f>
        <v>2</v>
      </c>
      <c r="R30" s="576">
        <f>IF(N30="P",I30*Q30*ROUND(M30/60,2),"--")</f>
        <v>31768.563000000002</v>
      </c>
      <c r="S30" s="569" t="str">
        <f>IF(AND(N30="F",P30="NO"),I30*Q30,"--")</f>
        <v>--</v>
      </c>
      <c r="T30" s="570" t="str">
        <f>IF(N30="F",I30*Q30*ROUND(M30/60,2),"--")</f>
        <v>--</v>
      </c>
      <c r="U30" s="377" t="str">
        <f>IF(AND(N30="R",P30="NO"),I30*Q30*O30/100,"--")</f>
        <v>--</v>
      </c>
      <c r="V30" s="378" t="str">
        <f>IF(N30="R",I30*Q30*O30/100*ROUND(M30/60,2),"--")</f>
        <v>--</v>
      </c>
      <c r="W30" s="571" t="str">
        <f>IF(N30="RF",I30*Q30*ROUND(M30/60,2),"--")</f>
        <v>--</v>
      </c>
      <c r="X30" s="428" t="str">
        <f>IF(N30="RP",I30*Q30*O30/100*ROUND(M30/60,2),"--")</f>
        <v>--</v>
      </c>
      <c r="Y30" s="180" t="str">
        <f>IF(F30="","","SI")</f>
        <v>SI</v>
      </c>
      <c r="Z30" s="514">
        <f>IF(F30="","",SUM(R30:X30)*IF(Y30="SI",1,2)*IF(AND(O30&lt;&gt;"--",N30="RF"),O30/100,1))</f>
        <v>31768.563000000002</v>
      </c>
      <c r="AA30" s="60"/>
    </row>
    <row r="31" spans="2:27" s="8" customFormat="1" ht="16.5" customHeight="1">
      <c r="B31" s="55"/>
      <c r="C31" s="150"/>
      <c r="D31" s="150"/>
      <c r="E31" s="169"/>
      <c r="F31" s="620"/>
      <c r="G31" s="621"/>
      <c r="H31" s="199"/>
      <c r="I31" s="366"/>
      <c r="J31" s="508"/>
      <c r="K31" s="204"/>
      <c r="L31" s="510"/>
      <c r="M31" s="511"/>
      <c r="N31" s="178"/>
      <c r="O31" s="274"/>
      <c r="P31" s="180"/>
      <c r="Q31" s="575"/>
      <c r="R31" s="576"/>
      <c r="S31" s="569"/>
      <c r="T31" s="570"/>
      <c r="U31" s="377"/>
      <c r="V31" s="378"/>
      <c r="W31" s="571"/>
      <c r="X31" s="428"/>
      <c r="Y31" s="180"/>
      <c r="Z31" s="514"/>
      <c r="AA31" s="60"/>
    </row>
    <row r="32" spans="2:27" s="8" customFormat="1" ht="16.5" customHeight="1">
      <c r="B32" s="55"/>
      <c r="C32" s="150"/>
      <c r="D32" s="150"/>
      <c r="E32" s="169"/>
      <c r="F32" s="620"/>
      <c r="G32" s="621"/>
      <c r="H32" s="199"/>
      <c r="I32" s="366"/>
      <c r="J32" s="508"/>
      <c r="K32" s="204"/>
      <c r="L32" s="510"/>
      <c r="M32" s="511"/>
      <c r="N32" s="178"/>
      <c r="O32" s="274"/>
      <c r="P32" s="180"/>
      <c r="Q32" s="575"/>
      <c r="R32" s="576"/>
      <c r="S32" s="569"/>
      <c r="T32" s="570"/>
      <c r="U32" s="377"/>
      <c r="V32" s="378"/>
      <c r="W32" s="571"/>
      <c r="X32" s="428"/>
      <c r="Y32" s="180"/>
      <c r="Z32" s="514"/>
      <c r="AA32" s="577"/>
    </row>
    <row r="33" spans="2:27" s="8" customFormat="1" ht="16.5" customHeight="1">
      <c r="B33" s="55"/>
      <c r="C33" s="150"/>
      <c r="D33" s="150"/>
      <c r="E33" s="169"/>
      <c r="F33" s="620"/>
      <c r="G33" s="621"/>
      <c r="H33" s="199"/>
      <c r="I33" s="366"/>
      <c r="J33" s="508"/>
      <c r="K33" s="204"/>
      <c r="L33" s="510"/>
      <c r="M33" s="511"/>
      <c r="N33" s="178"/>
      <c r="O33" s="274"/>
      <c r="P33" s="180"/>
      <c r="Q33" s="575"/>
      <c r="R33" s="576"/>
      <c r="S33" s="569"/>
      <c r="T33" s="570"/>
      <c r="U33" s="377"/>
      <c r="V33" s="378"/>
      <c r="W33" s="571"/>
      <c r="X33" s="428"/>
      <c r="Y33" s="180"/>
      <c r="Z33" s="514"/>
      <c r="AA33" s="577"/>
    </row>
    <row r="34" spans="2:27" s="8" customFormat="1" ht="16.5" customHeight="1">
      <c r="B34" s="55"/>
      <c r="C34" s="150"/>
      <c r="D34" s="150"/>
      <c r="E34" s="150"/>
      <c r="F34" s="620"/>
      <c r="G34" s="622"/>
      <c r="H34" s="623"/>
      <c r="I34" s="366"/>
      <c r="J34" s="592"/>
      <c r="K34" s="624"/>
      <c r="L34" s="510"/>
      <c r="M34" s="511"/>
      <c r="N34" s="591"/>
      <c r="O34" s="274"/>
      <c r="P34" s="180"/>
      <c r="Q34" s="575"/>
      <c r="R34" s="576"/>
      <c r="S34" s="569"/>
      <c r="T34" s="570"/>
      <c r="U34" s="377"/>
      <c r="V34" s="378"/>
      <c r="W34" s="571"/>
      <c r="X34" s="428"/>
      <c r="Y34" s="180"/>
      <c r="Z34" s="514"/>
      <c r="AA34" s="577"/>
    </row>
    <row r="35" spans="2:27" s="8" customFormat="1" ht="16.5" customHeight="1">
      <c r="B35" s="55"/>
      <c r="C35" s="150">
        <v>116</v>
      </c>
      <c r="D35" s="150" t="s">
        <v>333</v>
      </c>
      <c r="E35" s="259">
        <v>677</v>
      </c>
      <c r="F35" s="620" t="s">
        <v>287</v>
      </c>
      <c r="G35" s="622" t="s">
        <v>332</v>
      </c>
      <c r="H35" s="623">
        <v>299</v>
      </c>
      <c r="I35" s="366">
        <f t="shared" si="0"/>
        <v>208.403</v>
      </c>
      <c r="J35" s="592">
        <v>41172.364583333336</v>
      </c>
      <c r="K35" s="624">
        <v>41172.61388888889</v>
      </c>
      <c r="L35" s="510">
        <f aca="true" t="shared" si="14" ref="L35:L40">IF(F35="","",(K35-J35)*24)</f>
        <v>5.983333333279006</v>
      </c>
      <c r="M35" s="511">
        <f aca="true" t="shared" si="15" ref="M35:M40">IF(F35="","",ROUND((K35-J35)*24*60,0))</f>
        <v>359</v>
      </c>
      <c r="N35" s="591" t="s">
        <v>259</v>
      </c>
      <c r="O35" s="274" t="str">
        <f aca="true" t="shared" si="16" ref="O35:O40">IF(F35="","","--")</f>
        <v>--</v>
      </c>
      <c r="P35" s="180" t="str">
        <f>IF(F35="","",IF(OR(N35="P",N35="RP"),"--","NO"))</f>
        <v>--</v>
      </c>
      <c r="Q35" s="575">
        <f aca="true" t="shared" si="17" ref="Q35:Q40">IF(OR(N35="P",N35="RP"),$H$17/10,$H$17)</f>
        <v>2</v>
      </c>
      <c r="R35" s="576">
        <f aca="true" t="shared" si="18" ref="R35:R40">IF(N35="P",I35*Q35*ROUND(M35/60,2),"--")</f>
        <v>2492.4998800000003</v>
      </c>
      <c r="S35" s="569" t="str">
        <f aca="true" t="shared" si="19" ref="S35:S40">IF(AND(N35="F",P35="NO"),I35*Q35,"--")</f>
        <v>--</v>
      </c>
      <c r="T35" s="570" t="str">
        <f aca="true" t="shared" si="20" ref="T35:T40">IF(N35="F",I35*Q35*ROUND(M35/60,2),"--")</f>
        <v>--</v>
      </c>
      <c r="U35" s="377" t="str">
        <f aca="true" t="shared" si="21" ref="U35:U40">IF(AND(N35="R",P35="NO"),I35*Q35*O35/100,"--")</f>
        <v>--</v>
      </c>
      <c r="V35" s="378" t="str">
        <f aca="true" t="shared" si="22" ref="V35:V40">IF(N35="R",I35*Q35*O35/100*ROUND(M35/60,2),"--")</f>
        <v>--</v>
      </c>
      <c r="W35" s="571" t="str">
        <f aca="true" t="shared" si="23" ref="W35:W40">IF(N35="RF",I35*Q35*ROUND(M35/60,2),"--")</f>
        <v>--</v>
      </c>
      <c r="X35" s="428" t="str">
        <f aca="true" t="shared" si="24" ref="X35:X40">IF(N35="RP",I35*Q35*O35/100*ROUND(M35/60,2),"--")</f>
        <v>--</v>
      </c>
      <c r="Y35" s="180" t="str">
        <f aca="true" t="shared" si="25" ref="Y35:Y40">IF(F35="","","SI")</f>
        <v>SI</v>
      </c>
      <c r="Z35" s="514">
        <v>0</v>
      </c>
      <c r="AA35" s="577"/>
    </row>
    <row r="36" spans="2:27" s="8" customFormat="1" ht="16.5" customHeight="1">
      <c r="B36" s="55"/>
      <c r="C36" s="150">
        <v>117</v>
      </c>
      <c r="D36" s="150">
        <v>252046</v>
      </c>
      <c r="E36" s="169">
        <v>589</v>
      </c>
      <c r="F36" s="620" t="s">
        <v>322</v>
      </c>
      <c r="G36" s="621" t="s">
        <v>331</v>
      </c>
      <c r="H36" s="199">
        <v>245</v>
      </c>
      <c r="I36" s="366">
        <f t="shared" si="0"/>
        <v>170.765</v>
      </c>
      <c r="J36" s="508">
        <v>41178.25486111111</v>
      </c>
      <c r="K36" s="204">
        <v>41178.631944444445</v>
      </c>
      <c r="L36" s="510">
        <f t="shared" si="14"/>
        <v>9.049999999988358</v>
      </c>
      <c r="M36" s="511">
        <f t="shared" si="15"/>
        <v>543</v>
      </c>
      <c r="N36" s="178" t="s">
        <v>259</v>
      </c>
      <c r="O36" s="274" t="str">
        <f t="shared" si="16"/>
        <v>--</v>
      </c>
      <c r="P36" s="180" t="str">
        <f>IF(F36="","",IF(OR(N36="P",N36="RP"),"--","NO"))</f>
        <v>--</v>
      </c>
      <c r="Q36" s="575">
        <f t="shared" si="17"/>
        <v>2</v>
      </c>
      <c r="R36" s="576">
        <f t="shared" si="18"/>
        <v>3090.8465</v>
      </c>
      <c r="S36" s="569" t="str">
        <f t="shared" si="19"/>
        <v>--</v>
      </c>
      <c r="T36" s="570" t="str">
        <f t="shared" si="20"/>
        <v>--</v>
      </c>
      <c r="U36" s="377" t="str">
        <f t="shared" si="21"/>
        <v>--</v>
      </c>
      <c r="V36" s="378" t="str">
        <f t="shared" si="22"/>
        <v>--</v>
      </c>
      <c r="W36" s="571" t="str">
        <f t="shared" si="23"/>
        <v>--</v>
      </c>
      <c r="X36" s="428" t="str">
        <f t="shared" si="24"/>
        <v>--</v>
      </c>
      <c r="Y36" s="180" t="str">
        <f t="shared" si="25"/>
        <v>SI</v>
      </c>
      <c r="Z36" s="514">
        <f aca="true" t="shared" si="26" ref="Z36:Z42">IF(F36="","",SUM(R36:X36)*IF(Y36="SI",1,2)*IF(AND(O36&lt;&gt;"--",N36="RF"),O36/100,1))</f>
        <v>3090.8465</v>
      </c>
      <c r="AA36" s="577"/>
    </row>
    <row r="37" spans="2:27" s="8" customFormat="1" ht="16.5" customHeight="1">
      <c r="B37" s="55"/>
      <c r="C37" s="150">
        <v>118</v>
      </c>
      <c r="D37" s="150">
        <v>252049</v>
      </c>
      <c r="E37" s="169">
        <v>591</v>
      </c>
      <c r="F37" s="620" t="s">
        <v>322</v>
      </c>
      <c r="G37" s="621" t="s">
        <v>325</v>
      </c>
      <c r="H37" s="199">
        <v>245</v>
      </c>
      <c r="I37" s="366">
        <f t="shared" si="0"/>
        <v>170.765</v>
      </c>
      <c r="J37" s="508">
        <v>41179.26875</v>
      </c>
      <c r="K37" s="204">
        <v>41179.60555555556</v>
      </c>
      <c r="L37" s="510">
        <f t="shared" si="14"/>
        <v>8.08333333331393</v>
      </c>
      <c r="M37" s="511">
        <f t="shared" si="15"/>
        <v>485</v>
      </c>
      <c r="N37" s="178" t="s">
        <v>259</v>
      </c>
      <c r="O37" s="274" t="str">
        <f t="shared" si="16"/>
        <v>--</v>
      </c>
      <c r="P37" s="180" t="str">
        <f>IF(F37="","",IF(OR(N37="P",N37="RP"),"--","NO"))</f>
        <v>--</v>
      </c>
      <c r="Q37" s="575">
        <f t="shared" si="17"/>
        <v>2</v>
      </c>
      <c r="R37" s="576">
        <f t="shared" si="18"/>
        <v>2759.5624</v>
      </c>
      <c r="S37" s="569" t="str">
        <f t="shared" si="19"/>
        <v>--</v>
      </c>
      <c r="T37" s="570" t="str">
        <f t="shared" si="20"/>
        <v>--</v>
      </c>
      <c r="U37" s="377" t="str">
        <f t="shared" si="21"/>
        <v>--</v>
      </c>
      <c r="V37" s="378" t="str">
        <f t="shared" si="22"/>
        <v>--</v>
      </c>
      <c r="W37" s="571" t="str">
        <f t="shared" si="23"/>
        <v>--</v>
      </c>
      <c r="X37" s="428" t="str">
        <f t="shared" si="24"/>
        <v>--</v>
      </c>
      <c r="Y37" s="180" t="str">
        <f t="shared" si="25"/>
        <v>SI</v>
      </c>
      <c r="Z37" s="514">
        <f t="shared" si="26"/>
        <v>2759.5624</v>
      </c>
      <c r="AA37" s="577"/>
    </row>
    <row r="38" spans="2:27" s="8" customFormat="1" ht="16.5" customHeight="1">
      <c r="B38" s="55"/>
      <c r="C38" s="150">
        <v>119</v>
      </c>
      <c r="D38" s="150">
        <v>252056</v>
      </c>
      <c r="E38" s="150">
        <v>587</v>
      </c>
      <c r="F38" s="620" t="s">
        <v>322</v>
      </c>
      <c r="G38" s="621" t="s">
        <v>323</v>
      </c>
      <c r="H38" s="199">
        <v>245</v>
      </c>
      <c r="I38" s="366">
        <f t="shared" si="0"/>
        <v>170.765</v>
      </c>
      <c r="J38" s="508">
        <v>41181.34652777778</v>
      </c>
      <c r="K38" s="204">
        <v>41181.70347222222</v>
      </c>
      <c r="L38" s="510">
        <f t="shared" si="14"/>
        <v>8.566666666651145</v>
      </c>
      <c r="M38" s="511">
        <f t="shared" si="15"/>
        <v>514</v>
      </c>
      <c r="N38" s="178" t="s">
        <v>259</v>
      </c>
      <c r="O38" s="274" t="str">
        <f t="shared" si="16"/>
        <v>--</v>
      </c>
      <c r="P38" s="180" t="str">
        <f>IF(F38="","",IF(OR(N38="P",N38="RP"),"--","NO"))</f>
        <v>--</v>
      </c>
      <c r="Q38" s="575">
        <f t="shared" si="17"/>
        <v>2</v>
      </c>
      <c r="R38" s="576">
        <f t="shared" si="18"/>
        <v>2926.9121</v>
      </c>
      <c r="S38" s="569" t="str">
        <f t="shared" si="19"/>
        <v>--</v>
      </c>
      <c r="T38" s="570" t="str">
        <f t="shared" si="20"/>
        <v>--</v>
      </c>
      <c r="U38" s="377" t="str">
        <f t="shared" si="21"/>
        <v>--</v>
      </c>
      <c r="V38" s="378" t="str">
        <f t="shared" si="22"/>
        <v>--</v>
      </c>
      <c r="W38" s="571" t="str">
        <f t="shared" si="23"/>
        <v>--</v>
      </c>
      <c r="X38" s="428" t="str">
        <f t="shared" si="24"/>
        <v>--</v>
      </c>
      <c r="Y38" s="180" t="str">
        <f t="shared" si="25"/>
        <v>SI</v>
      </c>
      <c r="Z38" s="514">
        <f t="shared" si="26"/>
        <v>2926.9121</v>
      </c>
      <c r="AA38" s="577"/>
    </row>
    <row r="39" spans="2:27" s="8" customFormat="1" ht="16.5" customHeight="1">
      <c r="B39" s="55"/>
      <c r="C39" s="150">
        <v>120</v>
      </c>
      <c r="D39" s="150">
        <v>252057</v>
      </c>
      <c r="E39" s="169">
        <v>588</v>
      </c>
      <c r="F39" s="620" t="s">
        <v>322</v>
      </c>
      <c r="G39" s="621" t="s">
        <v>324</v>
      </c>
      <c r="H39" s="199">
        <v>245</v>
      </c>
      <c r="I39" s="366">
        <f t="shared" si="0"/>
        <v>170.765</v>
      </c>
      <c r="J39" s="508">
        <v>41181.34722222222</v>
      </c>
      <c r="K39" s="204">
        <v>41181.70347222222</v>
      </c>
      <c r="L39" s="510">
        <f t="shared" si="14"/>
        <v>8.550000000104774</v>
      </c>
      <c r="M39" s="511">
        <f t="shared" si="15"/>
        <v>513</v>
      </c>
      <c r="N39" s="178" t="s">
        <v>259</v>
      </c>
      <c r="O39" s="274" t="str">
        <f t="shared" si="16"/>
        <v>--</v>
      </c>
      <c r="P39" s="180" t="str">
        <f>IF(F39="","",IF(OR(N39="P",N39="RP"),"--","NO"))</f>
        <v>--</v>
      </c>
      <c r="Q39" s="575">
        <f t="shared" si="17"/>
        <v>2</v>
      </c>
      <c r="R39" s="576">
        <f t="shared" si="18"/>
        <v>2920.0815000000002</v>
      </c>
      <c r="S39" s="569" t="str">
        <f t="shared" si="19"/>
        <v>--</v>
      </c>
      <c r="T39" s="570" t="str">
        <f t="shared" si="20"/>
        <v>--</v>
      </c>
      <c r="U39" s="377" t="str">
        <f t="shared" si="21"/>
        <v>--</v>
      </c>
      <c r="V39" s="378" t="str">
        <f t="shared" si="22"/>
        <v>--</v>
      </c>
      <c r="W39" s="571" t="str">
        <f t="shared" si="23"/>
        <v>--</v>
      </c>
      <c r="X39" s="428" t="str">
        <f t="shared" si="24"/>
        <v>--</v>
      </c>
      <c r="Y39" s="180" t="str">
        <f t="shared" si="25"/>
        <v>SI</v>
      </c>
      <c r="Z39" s="514">
        <f t="shared" si="26"/>
        <v>2920.0815000000002</v>
      </c>
      <c r="AA39" s="60"/>
    </row>
    <row r="40" spans="2:27" s="8" customFormat="1" ht="16.5" customHeight="1">
      <c r="B40" s="55"/>
      <c r="C40" s="150">
        <v>121</v>
      </c>
      <c r="D40" s="150">
        <v>252262</v>
      </c>
      <c r="E40" s="150">
        <v>587</v>
      </c>
      <c r="F40" s="620" t="s">
        <v>322</v>
      </c>
      <c r="G40" s="621" t="s">
        <v>323</v>
      </c>
      <c r="H40" s="199">
        <v>245</v>
      </c>
      <c r="I40" s="366">
        <f t="shared" si="0"/>
        <v>170.765</v>
      </c>
      <c r="J40" s="508">
        <v>41181.70416666667</v>
      </c>
      <c r="K40" s="204">
        <v>41181.845138888886</v>
      </c>
      <c r="L40" s="510">
        <f t="shared" si="14"/>
        <v>3.383333333185874</v>
      </c>
      <c r="M40" s="511">
        <f t="shared" si="15"/>
        <v>203</v>
      </c>
      <c r="N40" s="178" t="s">
        <v>262</v>
      </c>
      <c r="O40" s="274" t="str">
        <f t="shared" si="16"/>
        <v>--</v>
      </c>
      <c r="P40" s="180" t="s">
        <v>79</v>
      </c>
      <c r="Q40" s="575">
        <f t="shared" si="17"/>
        <v>20</v>
      </c>
      <c r="R40" s="576" t="str">
        <f t="shared" si="18"/>
        <v>--</v>
      </c>
      <c r="S40" s="569" t="str">
        <f t="shared" si="19"/>
        <v>--</v>
      </c>
      <c r="T40" s="570">
        <f t="shared" si="20"/>
        <v>11543.713999999998</v>
      </c>
      <c r="U40" s="377" t="str">
        <f t="shared" si="21"/>
        <v>--</v>
      </c>
      <c r="V40" s="378" t="str">
        <f t="shared" si="22"/>
        <v>--</v>
      </c>
      <c r="W40" s="571" t="str">
        <f t="shared" si="23"/>
        <v>--</v>
      </c>
      <c r="X40" s="428" t="str">
        <f t="shared" si="24"/>
        <v>--</v>
      </c>
      <c r="Y40" s="180" t="str">
        <f t="shared" si="25"/>
        <v>SI</v>
      </c>
      <c r="Z40" s="514">
        <f t="shared" si="26"/>
        <v>11543.713999999998</v>
      </c>
      <c r="AA40" s="60"/>
    </row>
    <row r="41" spans="2:27" s="8" customFormat="1" ht="16.5" customHeight="1">
      <c r="B41" s="55"/>
      <c r="C41" s="150">
        <v>128</v>
      </c>
      <c r="D41" s="150">
        <v>251386</v>
      </c>
      <c r="E41" s="150">
        <v>5038</v>
      </c>
      <c r="F41" s="620" t="s">
        <v>389</v>
      </c>
      <c r="G41" s="621" t="s">
        <v>390</v>
      </c>
      <c r="H41" s="199">
        <v>85</v>
      </c>
      <c r="I41" s="366">
        <f t="shared" si="0"/>
        <v>59.245</v>
      </c>
      <c r="J41" s="508">
        <v>41169.364583333336</v>
      </c>
      <c r="K41" s="204">
        <v>41169.683333333334</v>
      </c>
      <c r="L41" s="510">
        <f>IF(F41="","",(K41-J41)*24)</f>
        <v>7.649999999965075</v>
      </c>
      <c r="M41" s="511">
        <f>IF(F41="","",ROUND((K41-J41)*24*60,0))</f>
        <v>459</v>
      </c>
      <c r="N41" s="178" t="s">
        <v>259</v>
      </c>
      <c r="O41" s="274" t="str">
        <f>IF(F41="","","--")</f>
        <v>--</v>
      </c>
      <c r="P41" s="180" t="str">
        <f>IF(F41="","",IF(OR(N41="P",N41="RP"),"--","NO"))</f>
        <v>--</v>
      </c>
      <c r="Q41" s="575">
        <f>IF(OR(N41="P",N41="RP"),$H$17/10,$H$17)</f>
        <v>2</v>
      </c>
      <c r="R41" s="576">
        <f>IF(N41="P",I41*Q41*ROUND(M41/60,2),"--")</f>
        <v>906.4485</v>
      </c>
      <c r="S41" s="569" t="str">
        <f>IF(AND(N41="F",P41="NO"),I41*Q41,"--")</f>
        <v>--</v>
      </c>
      <c r="T41" s="570" t="str">
        <f>IF(N41="F",I41*Q41*ROUND(M41/60,2),"--")</f>
        <v>--</v>
      </c>
      <c r="U41" s="377" t="str">
        <f>IF(AND(N41="R",P41="NO"),I41*Q41*O41/100,"--")</f>
        <v>--</v>
      </c>
      <c r="V41" s="378" t="str">
        <f>IF(N41="R",I41*Q41*O41/100*ROUND(M41/60,2),"--")</f>
        <v>--</v>
      </c>
      <c r="W41" s="571" t="str">
        <f>IF(N41="RF",I41*Q41*ROUND(M41/60,2),"--")</f>
        <v>--</v>
      </c>
      <c r="X41" s="428" t="str">
        <f>IF(N41="RP",I41*Q41*O41/100*ROUND(M41/60,2),"--")</f>
        <v>--</v>
      </c>
      <c r="Y41" s="180" t="str">
        <f>IF(F41="","","SI")</f>
        <v>SI</v>
      </c>
      <c r="Z41" s="514">
        <f t="shared" si="26"/>
        <v>906.4485</v>
      </c>
      <c r="AA41" s="60"/>
    </row>
    <row r="42" spans="2:27" s="8" customFormat="1" ht="16.5" customHeight="1">
      <c r="B42" s="55"/>
      <c r="C42" s="150">
        <v>129</v>
      </c>
      <c r="D42" s="150">
        <v>251842</v>
      </c>
      <c r="E42" s="150">
        <v>5038</v>
      </c>
      <c r="F42" s="620" t="s">
        <v>389</v>
      </c>
      <c r="G42" s="621" t="s">
        <v>390</v>
      </c>
      <c r="H42" s="199">
        <v>85</v>
      </c>
      <c r="I42" s="366">
        <f t="shared" si="0"/>
        <v>59.245</v>
      </c>
      <c r="J42" s="508">
        <v>41170.376388888886</v>
      </c>
      <c r="K42" s="204">
        <v>41170.705555555556</v>
      </c>
      <c r="L42" s="510">
        <f>IF(F42="","",(K42-J42)*24)</f>
        <v>7.900000000081491</v>
      </c>
      <c r="M42" s="511">
        <f>IF(F42="","",ROUND((K42-J42)*24*60,0))</f>
        <v>474</v>
      </c>
      <c r="N42" s="178" t="s">
        <v>259</v>
      </c>
      <c r="O42" s="274" t="str">
        <f>IF(F42="","","--")</f>
        <v>--</v>
      </c>
      <c r="P42" s="180" t="str">
        <f>IF(F42="","",IF(OR(N42="P",N42="RP"),"--","NO"))</f>
        <v>--</v>
      </c>
      <c r="Q42" s="575">
        <f>IF(OR(N42="P",N42="RP"),$H$17/10,$H$17)</f>
        <v>2</v>
      </c>
      <c r="R42" s="576">
        <f>IF(N42="P",I42*Q42*ROUND(M42/60,2),"--")</f>
        <v>936.071</v>
      </c>
      <c r="S42" s="569" t="str">
        <f>IF(AND(N42="F",P42="NO"),I42*Q42,"--")</f>
        <v>--</v>
      </c>
      <c r="T42" s="570" t="str">
        <f>IF(N42="F",I42*Q42*ROUND(M42/60,2),"--")</f>
        <v>--</v>
      </c>
      <c r="U42" s="377" t="str">
        <f>IF(AND(N42="R",P42="NO"),I42*Q42*O42/100,"--")</f>
        <v>--</v>
      </c>
      <c r="V42" s="378" t="str">
        <f>IF(N42="R",I42*Q42*O42/100*ROUND(M42/60,2),"--")</f>
        <v>--</v>
      </c>
      <c r="W42" s="571" t="str">
        <f>IF(N42="RF",I42*Q42*ROUND(M42/60,2),"--")</f>
        <v>--</v>
      </c>
      <c r="X42" s="428" t="str">
        <f>IF(N42="RP",I42*Q42*O42/100*ROUND(M42/60,2),"--")</f>
        <v>--</v>
      </c>
      <c r="Y42" s="180" t="str">
        <f>IF(F42="","","SI")</f>
        <v>SI</v>
      </c>
      <c r="Z42" s="514">
        <f t="shared" si="26"/>
        <v>936.071</v>
      </c>
      <c r="AA42" s="60"/>
    </row>
    <row r="43" spans="2:27" s="8" customFormat="1" ht="16.5" customHeight="1" thickBot="1">
      <c r="B43" s="55"/>
      <c r="C43" s="578"/>
      <c r="D43" s="578"/>
      <c r="E43" s="578"/>
      <c r="F43" s="578"/>
      <c r="G43" s="578"/>
      <c r="H43" s="578"/>
      <c r="I43" s="386"/>
      <c r="J43" s="515"/>
      <c r="K43" s="515"/>
      <c r="L43" s="516"/>
      <c r="M43" s="516"/>
      <c r="N43" s="515"/>
      <c r="O43" s="216"/>
      <c r="P43" s="215"/>
      <c r="Q43" s="579"/>
      <c r="R43" s="580"/>
      <c r="S43" s="581"/>
      <c r="T43" s="582"/>
      <c r="U43" s="398"/>
      <c r="V43" s="399"/>
      <c r="W43" s="583"/>
      <c r="X43" s="583"/>
      <c r="Y43" s="215"/>
      <c r="Z43" s="584"/>
      <c r="AA43" s="60"/>
    </row>
    <row r="44" spans="2:27" s="8" customFormat="1" ht="16.5" customHeight="1" thickBot="1" thickTop="1">
      <c r="B44" s="55"/>
      <c r="C44" s="625" t="s">
        <v>327</v>
      </c>
      <c r="D44" s="626" t="s">
        <v>326</v>
      </c>
      <c r="E44" s="229"/>
      <c r="F44" s="231"/>
      <c r="I44" s="11"/>
      <c r="J44" s="11"/>
      <c r="K44" s="11"/>
      <c r="L44" s="11"/>
      <c r="M44" s="11"/>
      <c r="N44" s="11"/>
      <c r="O44" s="11"/>
      <c r="P44" s="11"/>
      <c r="Q44" s="11"/>
      <c r="R44" s="585">
        <f aca="true" t="shared" si="27" ref="R44:X44">SUM(R20:R43)</f>
        <v>205794.64477999994</v>
      </c>
      <c r="S44" s="586">
        <f t="shared" si="27"/>
        <v>0</v>
      </c>
      <c r="T44" s="587">
        <f t="shared" si="27"/>
        <v>11543.713999999998</v>
      </c>
      <c r="U44" s="408">
        <f t="shared" si="27"/>
        <v>0</v>
      </c>
      <c r="V44" s="409">
        <f t="shared" si="27"/>
        <v>0</v>
      </c>
      <c r="W44" s="588">
        <f t="shared" si="27"/>
        <v>0</v>
      </c>
      <c r="X44" s="588">
        <f t="shared" si="27"/>
        <v>1797.267472</v>
      </c>
      <c r="Z44" s="528">
        <f>ROUND(SUM(Z20:Z43),2)</f>
        <v>216643.13</v>
      </c>
      <c r="AA44" s="589"/>
    </row>
    <row r="45" spans="2:27" s="8" customFormat="1" ht="16.5" customHeight="1" thickTop="1">
      <c r="B45" s="55"/>
      <c r="C45" s="271" t="s">
        <v>334</v>
      </c>
      <c r="D45" s="626"/>
      <c r="E45" s="279"/>
      <c r="F45" s="231"/>
      <c r="I45" s="11"/>
      <c r="J45" s="11"/>
      <c r="K45" s="11"/>
      <c r="L45" s="11"/>
      <c r="M45" s="11"/>
      <c r="N45" s="11"/>
      <c r="O45" s="11"/>
      <c r="P45" s="11"/>
      <c r="Q45" s="11"/>
      <c r="R45" s="636"/>
      <c r="S45" s="637"/>
      <c r="T45" s="637"/>
      <c r="U45" s="638"/>
      <c r="V45" s="638"/>
      <c r="W45" s="639"/>
      <c r="X45" s="639"/>
      <c r="Z45" s="640"/>
      <c r="AA45" s="60"/>
    </row>
    <row r="46" spans="2:27" s="8" customFormat="1" ht="16.5" customHeight="1" thickBot="1">
      <c r="B46" s="245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7"/>
    </row>
    <row r="47" spans="6:29" ht="16.5" customHeight="1" thickTop="1">
      <c r="F47" s="590"/>
      <c r="G47" s="590"/>
      <c r="H47" s="590"/>
      <c r="I47" s="417"/>
      <c r="J47" s="417"/>
      <c r="K47" s="417"/>
      <c r="L47" s="417"/>
      <c r="M47" s="417"/>
      <c r="N47" s="417"/>
      <c r="O47" s="417"/>
      <c r="P47" s="417"/>
      <c r="Q47" s="417"/>
      <c r="R47" s="417"/>
      <c r="S47" s="417"/>
      <c r="T47" s="417"/>
      <c r="U47" s="417"/>
      <c r="V47" s="417"/>
      <c r="W47" s="417"/>
      <c r="X47" s="417"/>
      <c r="Y47" s="417"/>
      <c r="Z47" s="417"/>
      <c r="AA47" s="417"/>
      <c r="AB47" s="417"/>
      <c r="AC47" s="417"/>
    </row>
    <row r="48" spans="6:29" ht="16.5" customHeight="1">
      <c r="F48" s="590"/>
      <c r="G48" s="590"/>
      <c r="H48" s="590"/>
      <c r="I48" s="417"/>
      <c r="J48" s="417"/>
      <c r="K48" s="417"/>
      <c r="L48" s="417"/>
      <c r="M48" s="417"/>
      <c r="N48" s="417"/>
      <c r="O48" s="417"/>
      <c r="P48" s="417"/>
      <c r="Q48" s="417"/>
      <c r="R48" s="417"/>
      <c r="S48" s="417"/>
      <c r="T48" s="417"/>
      <c r="U48" s="417"/>
      <c r="V48" s="417"/>
      <c r="W48" s="417"/>
      <c r="X48" s="417"/>
      <c r="Y48" s="417"/>
      <c r="Z48" s="417"/>
      <c r="AA48" s="417"/>
      <c r="AB48" s="417"/>
      <c r="AC48" s="417"/>
    </row>
    <row r="49" spans="6:29" ht="16.5" customHeight="1">
      <c r="F49" s="590"/>
      <c r="G49" s="590"/>
      <c r="H49" s="590"/>
      <c r="I49" s="417"/>
      <c r="J49" s="417"/>
      <c r="K49" s="417"/>
      <c r="L49" s="417"/>
      <c r="M49" s="417"/>
      <c r="N49" s="417"/>
      <c r="O49" s="417"/>
      <c r="P49" s="417"/>
      <c r="Q49" s="417"/>
      <c r="R49" s="417"/>
      <c r="S49" s="417"/>
      <c r="T49" s="417"/>
      <c r="U49" s="417"/>
      <c r="V49" s="417"/>
      <c r="W49" s="417"/>
      <c r="X49" s="417"/>
      <c r="Y49" s="417"/>
      <c r="Z49" s="417"/>
      <c r="AA49" s="417"/>
      <c r="AB49" s="417"/>
      <c r="AC49" s="417"/>
    </row>
    <row r="50" spans="6:29" ht="16.5" customHeight="1">
      <c r="F50" s="590"/>
      <c r="G50" s="590"/>
      <c r="H50" s="590"/>
      <c r="I50" s="417"/>
      <c r="J50" s="417"/>
      <c r="K50" s="417"/>
      <c r="L50" s="417"/>
      <c r="M50" s="417"/>
      <c r="N50" s="417"/>
      <c r="O50" s="417"/>
      <c r="P50" s="417"/>
      <c r="Q50" s="417"/>
      <c r="R50" s="417"/>
      <c r="S50" s="417"/>
      <c r="T50" s="417"/>
      <c r="U50" s="417"/>
      <c r="V50" s="417"/>
      <c r="W50" s="417"/>
      <c r="X50" s="417"/>
      <c r="Y50" s="417"/>
      <c r="Z50" s="417"/>
      <c r="AA50" s="417"/>
      <c r="AB50" s="417"/>
      <c r="AC50" s="417"/>
    </row>
    <row r="51" spans="6:29" ht="16.5" customHeight="1">
      <c r="F51" s="590"/>
      <c r="G51" s="590"/>
      <c r="H51" s="590"/>
      <c r="I51" s="417"/>
      <c r="J51" s="417"/>
      <c r="K51" s="417"/>
      <c r="L51" s="417"/>
      <c r="M51" s="417"/>
      <c r="N51" s="417"/>
      <c r="O51" s="417"/>
      <c r="P51" s="417"/>
      <c r="Q51" s="417"/>
      <c r="R51" s="417"/>
      <c r="S51" s="417"/>
      <c r="T51" s="417"/>
      <c r="U51" s="417"/>
      <c r="V51" s="417"/>
      <c r="W51" s="417"/>
      <c r="X51" s="417"/>
      <c r="Y51" s="417"/>
      <c r="Z51" s="417"/>
      <c r="AA51" s="417"/>
      <c r="AB51" s="417"/>
      <c r="AC51" s="417"/>
    </row>
    <row r="52" spans="6:29" ht="16.5" customHeight="1">
      <c r="F52" s="590"/>
      <c r="G52" s="590"/>
      <c r="H52" s="590"/>
      <c r="I52" s="417"/>
      <c r="J52" s="417"/>
      <c r="K52" s="417"/>
      <c r="L52" s="417"/>
      <c r="M52" s="417"/>
      <c r="N52" s="417"/>
      <c r="O52" s="417"/>
      <c r="P52" s="417"/>
      <c r="Q52" s="417"/>
      <c r="R52" s="417"/>
      <c r="S52" s="417"/>
      <c r="T52" s="417"/>
      <c r="U52" s="417"/>
      <c r="V52" s="417"/>
      <c r="W52" s="417"/>
      <c r="X52" s="417"/>
      <c r="Y52" s="417"/>
      <c r="Z52" s="417"/>
      <c r="AA52" s="417"/>
      <c r="AB52" s="417"/>
      <c r="AC52" s="417"/>
    </row>
    <row r="53" spans="6:29" ht="16.5" customHeight="1"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7"/>
      <c r="Q53" s="417"/>
      <c r="R53" s="417"/>
      <c r="S53" s="417"/>
      <c r="T53" s="417"/>
      <c r="U53" s="417"/>
      <c r="V53" s="417"/>
      <c r="W53" s="417"/>
      <c r="X53" s="417"/>
      <c r="Y53" s="417"/>
      <c r="Z53" s="417"/>
      <c r="AA53" s="417"/>
      <c r="AB53" s="417"/>
      <c r="AC53" s="417"/>
    </row>
    <row r="54" spans="6:29" ht="16.5" customHeight="1">
      <c r="F54" s="417"/>
      <c r="G54" s="417"/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417"/>
      <c r="S54" s="417"/>
      <c r="T54" s="417"/>
      <c r="U54" s="417"/>
      <c r="V54" s="417"/>
      <c r="W54" s="417"/>
      <c r="X54" s="417"/>
      <c r="Y54" s="417"/>
      <c r="Z54" s="417"/>
      <c r="AA54" s="417"/>
      <c r="AB54" s="417"/>
      <c r="AC54" s="417"/>
    </row>
    <row r="55" spans="6:29" ht="16.5" customHeight="1">
      <c r="F55" s="417"/>
      <c r="G55" s="417"/>
      <c r="H55" s="417"/>
      <c r="I55" s="417"/>
      <c r="J55" s="417"/>
      <c r="K55" s="417"/>
      <c r="L55" s="417"/>
      <c r="M55" s="417"/>
      <c r="N55" s="417"/>
      <c r="O55" s="417"/>
      <c r="P55" s="417"/>
      <c r="Q55" s="417"/>
      <c r="R55" s="417"/>
      <c r="S55" s="417"/>
      <c r="T55" s="417"/>
      <c r="U55" s="417"/>
      <c r="V55" s="417"/>
      <c r="W55" s="417"/>
      <c r="X55" s="417"/>
      <c r="Y55" s="417"/>
      <c r="Z55" s="417"/>
      <c r="AA55" s="417"/>
      <c r="AB55" s="417"/>
      <c r="AC55" s="417"/>
    </row>
    <row r="56" spans="6:29" ht="16.5" customHeight="1">
      <c r="F56" s="417"/>
      <c r="G56" s="417"/>
      <c r="H56" s="417"/>
      <c r="I56" s="417"/>
      <c r="J56" s="417"/>
      <c r="K56" s="417"/>
      <c r="L56" s="417"/>
      <c r="M56" s="417"/>
      <c r="N56" s="417"/>
      <c r="O56" s="417"/>
      <c r="P56" s="417"/>
      <c r="Q56" s="417"/>
      <c r="R56" s="417"/>
      <c r="S56" s="417"/>
      <c r="T56" s="417"/>
      <c r="U56" s="417"/>
      <c r="V56" s="417"/>
      <c r="W56" s="417"/>
      <c r="X56" s="417"/>
      <c r="Y56" s="417"/>
      <c r="Z56" s="417"/>
      <c r="AA56" s="417"/>
      <c r="AB56" s="417"/>
      <c r="AC56" s="417"/>
    </row>
    <row r="57" spans="6:29" ht="16.5" customHeight="1">
      <c r="F57" s="417"/>
      <c r="G57" s="417"/>
      <c r="H57" s="417"/>
      <c r="I57" s="417"/>
      <c r="J57" s="417"/>
      <c r="K57" s="417"/>
      <c r="L57" s="417"/>
      <c r="M57" s="417"/>
      <c r="N57" s="417"/>
      <c r="O57" s="417"/>
      <c r="P57" s="417"/>
      <c r="Q57" s="417"/>
      <c r="R57" s="417"/>
      <c r="S57" s="417"/>
      <c r="T57" s="417"/>
      <c r="U57" s="417"/>
      <c r="V57" s="417"/>
      <c r="W57" s="417"/>
      <c r="X57" s="417"/>
      <c r="Y57" s="417"/>
      <c r="Z57" s="417"/>
      <c r="AA57" s="417"/>
      <c r="AB57" s="417"/>
      <c r="AC57" s="417"/>
    </row>
    <row r="58" spans="6:29" ht="16.5" customHeight="1">
      <c r="F58" s="417"/>
      <c r="G58" s="417"/>
      <c r="H58" s="417"/>
      <c r="I58" s="417"/>
      <c r="J58" s="417"/>
      <c r="K58" s="417"/>
      <c r="L58" s="417"/>
      <c r="M58" s="417"/>
      <c r="N58" s="417"/>
      <c r="O58" s="417"/>
      <c r="P58" s="417"/>
      <c r="Q58" s="417"/>
      <c r="R58" s="417"/>
      <c r="S58" s="417"/>
      <c r="T58" s="417"/>
      <c r="U58" s="417"/>
      <c r="V58" s="417"/>
      <c r="W58" s="417"/>
      <c r="X58" s="417"/>
      <c r="Y58" s="417"/>
      <c r="Z58" s="417"/>
      <c r="AA58" s="417"/>
      <c r="AB58" s="417"/>
      <c r="AC58" s="417"/>
    </row>
    <row r="59" spans="6:29" ht="16.5" customHeight="1"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7"/>
      <c r="W59" s="417"/>
      <c r="X59" s="417"/>
      <c r="Y59" s="417"/>
      <c r="Z59" s="417"/>
      <c r="AA59" s="417"/>
      <c r="AB59" s="417"/>
      <c r="AC59" s="417"/>
    </row>
    <row r="60" spans="6:29" ht="16.5" customHeight="1">
      <c r="F60" s="417"/>
      <c r="G60" s="417"/>
      <c r="H60" s="417"/>
      <c r="I60" s="417"/>
      <c r="J60" s="417"/>
      <c r="K60" s="417"/>
      <c r="L60" s="417"/>
      <c r="M60" s="417"/>
      <c r="N60" s="417"/>
      <c r="O60" s="417"/>
      <c r="P60" s="417"/>
      <c r="Q60" s="417"/>
      <c r="R60" s="417"/>
      <c r="S60" s="417"/>
      <c r="T60" s="417"/>
      <c r="U60" s="417"/>
      <c r="V60" s="417"/>
      <c r="W60" s="417"/>
      <c r="X60" s="417"/>
      <c r="Y60" s="417"/>
      <c r="Z60" s="417"/>
      <c r="AA60" s="417"/>
      <c r="AB60" s="417"/>
      <c r="AC60" s="417"/>
    </row>
    <row r="61" spans="6:29" ht="16.5" customHeight="1">
      <c r="F61" s="417"/>
      <c r="G61" s="417"/>
      <c r="H61" s="417"/>
      <c r="I61" s="417"/>
      <c r="J61" s="417"/>
      <c r="K61" s="417"/>
      <c r="L61" s="417"/>
      <c r="M61" s="417"/>
      <c r="N61" s="417"/>
      <c r="O61" s="417"/>
      <c r="P61" s="417"/>
      <c r="Q61" s="417"/>
      <c r="R61" s="417"/>
      <c r="S61" s="417"/>
      <c r="T61" s="417"/>
      <c r="U61" s="417"/>
      <c r="V61" s="417"/>
      <c r="W61" s="417"/>
      <c r="X61" s="417"/>
      <c r="Y61" s="417"/>
      <c r="Z61" s="417"/>
      <c r="AA61" s="417"/>
      <c r="AB61" s="417"/>
      <c r="AC61" s="417"/>
    </row>
    <row r="62" spans="6:29" ht="16.5" customHeight="1">
      <c r="F62" s="417"/>
      <c r="G62" s="417"/>
      <c r="H62" s="417"/>
      <c r="I62" s="417"/>
      <c r="J62" s="417"/>
      <c r="K62" s="417"/>
      <c r="L62" s="417"/>
      <c r="M62" s="417"/>
      <c r="N62" s="417"/>
      <c r="O62" s="417"/>
      <c r="P62" s="417"/>
      <c r="Q62" s="417"/>
      <c r="R62" s="417"/>
      <c r="S62" s="417"/>
      <c r="T62" s="417"/>
      <c r="U62" s="417"/>
      <c r="V62" s="417"/>
      <c r="W62" s="417"/>
      <c r="X62" s="417"/>
      <c r="Y62" s="417"/>
      <c r="Z62" s="417"/>
      <c r="AA62" s="417"/>
      <c r="AB62" s="417"/>
      <c r="AC62" s="417"/>
    </row>
    <row r="63" spans="6:29" ht="16.5" customHeight="1">
      <c r="F63" s="417"/>
      <c r="G63" s="417"/>
      <c r="H63" s="417"/>
      <c r="I63" s="417"/>
      <c r="J63" s="417"/>
      <c r="K63" s="417"/>
      <c r="L63" s="417"/>
      <c r="M63" s="417"/>
      <c r="N63" s="417"/>
      <c r="O63" s="417"/>
      <c r="P63" s="417"/>
      <c r="Q63" s="417"/>
      <c r="R63" s="417"/>
      <c r="S63" s="417"/>
      <c r="T63" s="417"/>
      <c r="U63" s="417"/>
      <c r="V63" s="417"/>
      <c r="W63" s="417"/>
      <c r="X63" s="417"/>
      <c r="Y63" s="417"/>
      <c r="Z63" s="417"/>
      <c r="AA63" s="417"/>
      <c r="AB63" s="417"/>
      <c r="AC63" s="417"/>
    </row>
    <row r="64" spans="6:29" ht="16.5" customHeight="1">
      <c r="F64" s="417"/>
      <c r="G64" s="417"/>
      <c r="H64" s="417"/>
      <c r="I64" s="417"/>
      <c r="J64" s="417"/>
      <c r="K64" s="417"/>
      <c r="L64" s="417"/>
      <c r="M64" s="417"/>
      <c r="N64" s="417"/>
      <c r="O64" s="417"/>
      <c r="P64" s="417"/>
      <c r="Q64" s="417"/>
      <c r="R64" s="417"/>
      <c r="S64" s="417"/>
      <c r="T64" s="417"/>
      <c r="U64" s="417"/>
      <c r="V64" s="417"/>
      <c r="W64" s="417"/>
      <c r="X64" s="417"/>
      <c r="Y64" s="417"/>
      <c r="Z64" s="417"/>
      <c r="AA64" s="417"/>
      <c r="AB64" s="417"/>
      <c r="AC64" s="417"/>
    </row>
    <row r="65" spans="6:29" ht="16.5" customHeight="1">
      <c r="F65" s="417"/>
      <c r="G65" s="417"/>
      <c r="H65" s="417"/>
      <c r="I65" s="417"/>
      <c r="J65" s="417"/>
      <c r="K65" s="417"/>
      <c r="L65" s="417"/>
      <c r="M65" s="417"/>
      <c r="N65" s="417"/>
      <c r="O65" s="417"/>
      <c r="P65" s="417"/>
      <c r="Q65" s="417"/>
      <c r="R65" s="417"/>
      <c r="S65" s="417"/>
      <c r="T65" s="417"/>
      <c r="U65" s="417"/>
      <c r="V65" s="417"/>
      <c r="W65" s="417"/>
      <c r="X65" s="417"/>
      <c r="Y65" s="417"/>
      <c r="Z65" s="417"/>
      <c r="AA65" s="417"/>
      <c r="AB65" s="417"/>
      <c r="AC65" s="417"/>
    </row>
    <row r="66" spans="6:29" ht="16.5" customHeight="1">
      <c r="F66" s="417"/>
      <c r="G66" s="417"/>
      <c r="H66" s="417"/>
      <c r="I66" s="417"/>
      <c r="J66" s="417"/>
      <c r="K66" s="417"/>
      <c r="L66" s="417"/>
      <c r="M66" s="417"/>
      <c r="N66" s="417"/>
      <c r="O66" s="417"/>
      <c r="P66" s="417"/>
      <c r="Q66" s="417"/>
      <c r="R66" s="417"/>
      <c r="S66" s="417"/>
      <c r="T66" s="417"/>
      <c r="U66" s="417"/>
      <c r="V66" s="417"/>
      <c r="W66" s="417"/>
      <c r="X66" s="417"/>
      <c r="Y66" s="417"/>
      <c r="Z66" s="417"/>
      <c r="AA66" s="417"/>
      <c r="AB66" s="417"/>
      <c r="AC66" s="417"/>
    </row>
    <row r="67" spans="6:29" ht="16.5" customHeight="1">
      <c r="F67" s="417"/>
      <c r="G67" s="417"/>
      <c r="H67" s="417"/>
      <c r="I67" s="417"/>
      <c r="J67" s="417"/>
      <c r="K67" s="417"/>
      <c r="L67" s="417"/>
      <c r="M67" s="417"/>
      <c r="N67" s="417"/>
      <c r="O67" s="417"/>
      <c r="P67" s="417"/>
      <c r="Q67" s="417"/>
      <c r="R67" s="417"/>
      <c r="S67" s="417"/>
      <c r="T67" s="417"/>
      <c r="U67" s="417"/>
      <c r="V67" s="417"/>
      <c r="W67" s="417"/>
      <c r="X67" s="417"/>
      <c r="Y67" s="417"/>
      <c r="Z67" s="417"/>
      <c r="AA67" s="417"/>
      <c r="AB67" s="417"/>
      <c r="AC67" s="417"/>
    </row>
    <row r="68" spans="6:29" ht="16.5" customHeight="1">
      <c r="F68" s="417"/>
      <c r="G68" s="417"/>
      <c r="H68" s="417"/>
      <c r="I68" s="417"/>
      <c r="J68" s="417"/>
      <c r="K68" s="417"/>
      <c r="L68" s="417"/>
      <c r="M68" s="417"/>
      <c r="N68" s="417"/>
      <c r="O68" s="417"/>
      <c r="P68" s="417"/>
      <c r="Q68" s="417"/>
      <c r="R68" s="417"/>
      <c r="S68" s="417"/>
      <c r="T68" s="417"/>
      <c r="U68" s="417"/>
      <c r="V68" s="417"/>
      <c r="W68" s="417"/>
      <c r="X68" s="417"/>
      <c r="Y68" s="417"/>
      <c r="Z68" s="417"/>
      <c r="AA68" s="417"/>
      <c r="AB68" s="417"/>
      <c r="AC68" s="417"/>
    </row>
    <row r="69" spans="6:29" ht="16.5" customHeight="1">
      <c r="F69" s="417"/>
      <c r="G69" s="417"/>
      <c r="H69" s="417"/>
      <c r="I69" s="417"/>
      <c r="J69" s="417"/>
      <c r="K69" s="417"/>
      <c r="L69" s="417"/>
      <c r="M69" s="417"/>
      <c r="N69" s="417"/>
      <c r="O69" s="417"/>
      <c r="P69" s="417"/>
      <c r="Q69" s="417"/>
      <c r="R69" s="417"/>
      <c r="S69" s="417"/>
      <c r="T69" s="417"/>
      <c r="U69" s="417"/>
      <c r="V69" s="417"/>
      <c r="W69" s="417"/>
      <c r="X69" s="417"/>
      <c r="Y69" s="417"/>
      <c r="Z69" s="417"/>
      <c r="AA69" s="417"/>
      <c r="AB69" s="417"/>
      <c r="AC69" s="417"/>
    </row>
    <row r="70" spans="6:29" ht="16.5" customHeight="1">
      <c r="F70" s="417"/>
      <c r="G70" s="417"/>
      <c r="H70" s="417"/>
      <c r="I70" s="417"/>
      <c r="J70" s="417"/>
      <c r="K70" s="417"/>
      <c r="L70" s="417"/>
      <c r="M70" s="417"/>
      <c r="N70" s="417"/>
      <c r="O70" s="417"/>
      <c r="P70" s="417"/>
      <c r="Q70" s="417"/>
      <c r="R70" s="417"/>
      <c r="S70" s="417"/>
      <c r="T70" s="417"/>
      <c r="U70" s="417"/>
      <c r="V70" s="417"/>
      <c r="W70" s="417"/>
      <c r="X70" s="417"/>
      <c r="Y70" s="417"/>
      <c r="Z70" s="417"/>
      <c r="AA70" s="417"/>
      <c r="AB70" s="417"/>
      <c r="AC70" s="417"/>
    </row>
    <row r="71" spans="6:29" ht="16.5" customHeight="1">
      <c r="F71" s="417"/>
      <c r="G71" s="417"/>
      <c r="H71" s="417"/>
      <c r="I71" s="417"/>
      <c r="J71" s="417"/>
      <c r="K71" s="417"/>
      <c r="L71" s="417"/>
      <c r="M71" s="417"/>
      <c r="N71" s="417"/>
      <c r="O71" s="417"/>
      <c r="P71" s="417"/>
      <c r="Q71" s="417"/>
      <c r="R71" s="417"/>
      <c r="S71" s="417"/>
      <c r="T71" s="417"/>
      <c r="U71" s="417"/>
      <c r="V71" s="417"/>
      <c r="W71" s="417"/>
      <c r="X71" s="417"/>
      <c r="Y71" s="417"/>
      <c r="Z71" s="417"/>
      <c r="AA71" s="417"/>
      <c r="AB71" s="417"/>
      <c r="AC71" s="417"/>
    </row>
    <row r="72" spans="6:29" ht="16.5" customHeight="1">
      <c r="F72" s="417"/>
      <c r="G72" s="417"/>
      <c r="H72" s="417"/>
      <c r="I72" s="417"/>
      <c r="J72" s="417"/>
      <c r="K72" s="417"/>
      <c r="L72" s="417"/>
      <c r="M72" s="417"/>
      <c r="N72" s="417"/>
      <c r="O72" s="417"/>
      <c r="P72" s="417"/>
      <c r="Q72" s="417"/>
      <c r="R72" s="417"/>
      <c r="S72" s="417"/>
      <c r="T72" s="417"/>
      <c r="U72" s="417"/>
      <c r="V72" s="417"/>
      <c r="W72" s="417"/>
      <c r="X72" s="417"/>
      <c r="Y72" s="417"/>
      <c r="Z72" s="417"/>
      <c r="AA72" s="417"/>
      <c r="AB72" s="417"/>
      <c r="AC72" s="417"/>
    </row>
    <row r="73" spans="6:29" ht="16.5" customHeight="1">
      <c r="F73" s="417"/>
      <c r="G73" s="417"/>
      <c r="H73" s="417"/>
      <c r="I73" s="417"/>
      <c r="J73" s="417"/>
      <c r="K73" s="417"/>
      <c r="L73" s="417"/>
      <c r="M73" s="417"/>
      <c r="N73" s="417"/>
      <c r="O73" s="417"/>
      <c r="P73" s="417"/>
      <c r="Q73" s="417"/>
      <c r="R73" s="417"/>
      <c r="S73" s="417"/>
      <c r="T73" s="417"/>
      <c r="U73" s="417"/>
      <c r="V73" s="417"/>
      <c r="W73" s="417"/>
      <c r="X73" s="417"/>
      <c r="Y73" s="417"/>
      <c r="Z73" s="417"/>
      <c r="AA73" s="417"/>
      <c r="AB73" s="417"/>
      <c r="AC73" s="417"/>
    </row>
    <row r="74" spans="6:29" ht="16.5" customHeight="1">
      <c r="F74" s="417"/>
      <c r="G74" s="417"/>
      <c r="H74" s="417"/>
      <c r="I74" s="417"/>
      <c r="J74" s="417"/>
      <c r="K74" s="417"/>
      <c r="L74" s="417"/>
      <c r="M74" s="417"/>
      <c r="N74" s="417"/>
      <c r="O74" s="417"/>
      <c r="P74" s="417"/>
      <c r="Q74" s="417"/>
      <c r="R74" s="417"/>
      <c r="S74" s="417"/>
      <c r="T74" s="417"/>
      <c r="U74" s="417"/>
      <c r="V74" s="417"/>
      <c r="W74" s="417"/>
      <c r="X74" s="417"/>
      <c r="Y74" s="417"/>
      <c r="Z74" s="417"/>
      <c r="AA74" s="417"/>
      <c r="AB74" s="417"/>
      <c r="AC74" s="417"/>
    </row>
    <row r="75" spans="6:29" ht="16.5" customHeight="1">
      <c r="F75" s="417"/>
      <c r="G75" s="417"/>
      <c r="H75" s="417"/>
      <c r="I75" s="417"/>
      <c r="J75" s="417"/>
      <c r="K75" s="417"/>
      <c r="L75" s="417"/>
      <c r="M75" s="417"/>
      <c r="N75" s="417"/>
      <c r="O75" s="417"/>
      <c r="P75" s="417"/>
      <c r="Q75" s="417"/>
      <c r="R75" s="417"/>
      <c r="S75" s="417"/>
      <c r="T75" s="417"/>
      <c r="U75" s="417"/>
      <c r="V75" s="417"/>
      <c r="W75" s="417"/>
      <c r="X75" s="417"/>
      <c r="Y75" s="417"/>
      <c r="Z75" s="417"/>
      <c r="AA75" s="417"/>
      <c r="AB75" s="417"/>
      <c r="AC75" s="417"/>
    </row>
    <row r="76" spans="6:29" ht="16.5" customHeight="1">
      <c r="F76" s="417"/>
      <c r="G76" s="417"/>
      <c r="H76" s="417"/>
      <c r="I76" s="417"/>
      <c r="J76" s="417"/>
      <c r="K76" s="417"/>
      <c r="L76" s="417"/>
      <c r="M76" s="417"/>
      <c r="N76" s="417"/>
      <c r="O76" s="417"/>
      <c r="P76" s="417"/>
      <c r="Q76" s="417"/>
      <c r="R76" s="417"/>
      <c r="S76" s="417"/>
      <c r="T76" s="417"/>
      <c r="U76" s="417"/>
      <c r="V76" s="417"/>
      <c r="W76" s="417"/>
      <c r="X76" s="417"/>
      <c r="Y76" s="417"/>
      <c r="Z76" s="417"/>
      <c r="AA76" s="417"/>
      <c r="AB76" s="417"/>
      <c r="AC76" s="417"/>
    </row>
    <row r="77" spans="6:29" ht="16.5" customHeight="1">
      <c r="F77" s="417"/>
      <c r="G77" s="417"/>
      <c r="H77" s="417"/>
      <c r="I77" s="417"/>
      <c r="J77" s="417"/>
      <c r="K77" s="417"/>
      <c r="L77" s="417"/>
      <c r="M77" s="417"/>
      <c r="N77" s="417"/>
      <c r="O77" s="417"/>
      <c r="P77" s="417"/>
      <c r="Q77" s="417"/>
      <c r="R77" s="417"/>
      <c r="S77" s="417"/>
      <c r="T77" s="417"/>
      <c r="U77" s="417"/>
      <c r="V77" s="417"/>
      <c r="W77" s="417"/>
      <c r="X77" s="417"/>
      <c r="Y77" s="417"/>
      <c r="Z77" s="417"/>
      <c r="AA77" s="417"/>
      <c r="AB77" s="417"/>
      <c r="AC77" s="417"/>
    </row>
    <row r="78" spans="6:29" ht="16.5" customHeight="1">
      <c r="F78" s="417"/>
      <c r="G78" s="417"/>
      <c r="H78" s="417"/>
      <c r="I78" s="417"/>
      <c r="J78" s="417"/>
      <c r="K78" s="417"/>
      <c r="L78" s="417"/>
      <c r="M78" s="417"/>
      <c r="N78" s="417"/>
      <c r="O78" s="417"/>
      <c r="P78" s="417"/>
      <c r="Q78" s="417"/>
      <c r="R78" s="417"/>
      <c r="S78" s="417"/>
      <c r="T78" s="417"/>
      <c r="U78" s="417"/>
      <c r="V78" s="417"/>
      <c r="W78" s="417"/>
      <c r="X78" s="417"/>
      <c r="Y78" s="417"/>
      <c r="Z78" s="417"/>
      <c r="AA78" s="417"/>
      <c r="AB78" s="417"/>
      <c r="AC78" s="417"/>
    </row>
    <row r="79" spans="6:29" ht="16.5" customHeight="1">
      <c r="F79" s="417"/>
      <c r="G79" s="417"/>
      <c r="H79" s="417"/>
      <c r="I79" s="417"/>
      <c r="J79" s="417"/>
      <c r="K79" s="417"/>
      <c r="L79" s="417"/>
      <c r="M79" s="417"/>
      <c r="N79" s="417"/>
      <c r="O79" s="417"/>
      <c r="P79" s="417"/>
      <c r="Q79" s="417"/>
      <c r="R79" s="417"/>
      <c r="S79" s="417"/>
      <c r="T79" s="417"/>
      <c r="U79" s="417"/>
      <c r="V79" s="417"/>
      <c r="W79" s="417"/>
      <c r="X79" s="417"/>
      <c r="Y79" s="417"/>
      <c r="Z79" s="417"/>
      <c r="AA79" s="417"/>
      <c r="AB79" s="417"/>
      <c r="AC79" s="417"/>
    </row>
    <row r="80" spans="6:29" ht="16.5" customHeight="1">
      <c r="F80" s="417"/>
      <c r="G80" s="417"/>
      <c r="H80" s="417"/>
      <c r="I80" s="417"/>
      <c r="J80" s="417"/>
      <c r="K80" s="417"/>
      <c r="L80" s="417"/>
      <c r="M80" s="417"/>
      <c r="N80" s="417"/>
      <c r="O80" s="417"/>
      <c r="P80" s="417"/>
      <c r="Q80" s="417"/>
      <c r="R80" s="417"/>
      <c r="S80" s="417"/>
      <c r="T80" s="417"/>
      <c r="U80" s="417"/>
      <c r="V80" s="417"/>
      <c r="W80" s="417"/>
      <c r="X80" s="417"/>
      <c r="Y80" s="417"/>
      <c r="Z80" s="417"/>
      <c r="AA80" s="417"/>
      <c r="AB80" s="417"/>
      <c r="AC80" s="417"/>
    </row>
    <row r="81" spans="6:29" ht="16.5" customHeight="1">
      <c r="F81" s="417"/>
      <c r="G81" s="417"/>
      <c r="H81" s="417"/>
      <c r="I81" s="417"/>
      <c r="J81" s="417"/>
      <c r="K81" s="417"/>
      <c r="L81" s="417"/>
      <c r="M81" s="417"/>
      <c r="N81" s="417"/>
      <c r="O81" s="417"/>
      <c r="P81" s="417"/>
      <c r="Q81" s="417"/>
      <c r="R81" s="417"/>
      <c r="S81" s="417"/>
      <c r="T81" s="417"/>
      <c r="U81" s="417"/>
      <c r="V81" s="417"/>
      <c r="W81" s="417"/>
      <c r="X81" s="417"/>
      <c r="Y81" s="417"/>
      <c r="Z81" s="417"/>
      <c r="AA81" s="417"/>
      <c r="AB81" s="417"/>
      <c r="AC81" s="417"/>
    </row>
    <row r="82" spans="6:29" ht="16.5" customHeight="1">
      <c r="F82" s="417"/>
      <c r="G82" s="417"/>
      <c r="H82" s="417"/>
      <c r="I82" s="417"/>
      <c r="J82" s="417"/>
      <c r="K82" s="417"/>
      <c r="L82" s="417"/>
      <c r="M82" s="417"/>
      <c r="N82" s="417"/>
      <c r="O82" s="417"/>
      <c r="P82" s="417"/>
      <c r="Q82" s="417"/>
      <c r="R82" s="417"/>
      <c r="S82" s="417"/>
      <c r="T82" s="417"/>
      <c r="U82" s="417"/>
      <c r="V82" s="417"/>
      <c r="W82" s="417"/>
      <c r="X82" s="417"/>
      <c r="Y82" s="417"/>
      <c r="Z82" s="417"/>
      <c r="AA82" s="417"/>
      <c r="AB82" s="417"/>
      <c r="AC82" s="417"/>
    </row>
    <row r="83" spans="6:29" ht="16.5" customHeight="1">
      <c r="F83" s="417"/>
      <c r="G83" s="417"/>
      <c r="H83" s="417"/>
      <c r="I83" s="417"/>
      <c r="J83" s="417"/>
      <c r="K83" s="417"/>
      <c r="L83" s="417"/>
      <c r="M83" s="417"/>
      <c r="N83" s="417"/>
      <c r="O83" s="417"/>
      <c r="P83" s="417"/>
      <c r="Q83" s="417"/>
      <c r="R83" s="417"/>
      <c r="S83" s="417"/>
      <c r="T83" s="417"/>
      <c r="U83" s="417"/>
      <c r="V83" s="417"/>
      <c r="W83" s="417"/>
      <c r="X83" s="417"/>
      <c r="Y83" s="417"/>
      <c r="Z83" s="417"/>
      <c r="AA83" s="417"/>
      <c r="AB83" s="417"/>
      <c r="AC83" s="417"/>
    </row>
    <row r="84" spans="6:29" ht="16.5" customHeight="1">
      <c r="F84" s="417"/>
      <c r="G84" s="417"/>
      <c r="H84" s="417"/>
      <c r="I84" s="417"/>
      <c r="J84" s="417"/>
      <c r="K84" s="417"/>
      <c r="L84" s="417"/>
      <c r="M84" s="417"/>
      <c r="N84" s="417"/>
      <c r="O84" s="417"/>
      <c r="P84" s="417"/>
      <c r="Q84" s="417"/>
      <c r="R84" s="417"/>
      <c r="S84" s="417"/>
      <c r="T84" s="417"/>
      <c r="U84" s="417"/>
      <c r="V84" s="417"/>
      <c r="W84" s="417"/>
      <c r="X84" s="417"/>
      <c r="Y84" s="417"/>
      <c r="Z84" s="417"/>
      <c r="AA84" s="417"/>
      <c r="AB84" s="417"/>
      <c r="AC84" s="417"/>
    </row>
    <row r="85" spans="6:29" ht="16.5" customHeight="1">
      <c r="F85" s="417"/>
      <c r="G85" s="417"/>
      <c r="H85" s="417"/>
      <c r="I85" s="417"/>
      <c r="J85" s="417"/>
      <c r="K85" s="417"/>
      <c r="L85" s="417"/>
      <c r="M85" s="417"/>
      <c r="N85" s="417"/>
      <c r="O85" s="417"/>
      <c r="P85" s="417"/>
      <c r="Q85" s="417"/>
      <c r="R85" s="417"/>
      <c r="S85" s="417"/>
      <c r="T85" s="417"/>
      <c r="U85" s="417"/>
      <c r="V85" s="417"/>
      <c r="W85" s="417"/>
      <c r="X85" s="417"/>
      <c r="Y85" s="417"/>
      <c r="Z85" s="417"/>
      <c r="AA85" s="417"/>
      <c r="AB85" s="417"/>
      <c r="AC85" s="417"/>
    </row>
    <row r="86" spans="6:29" ht="16.5" customHeight="1">
      <c r="F86" s="417"/>
      <c r="G86" s="417"/>
      <c r="H86" s="417"/>
      <c r="I86" s="417"/>
      <c r="J86" s="417"/>
      <c r="K86" s="417"/>
      <c r="L86" s="417"/>
      <c r="M86" s="417"/>
      <c r="N86" s="417"/>
      <c r="O86" s="417"/>
      <c r="P86" s="417"/>
      <c r="Q86" s="417"/>
      <c r="R86" s="417"/>
      <c r="S86" s="417"/>
      <c r="T86" s="417"/>
      <c r="U86" s="417"/>
      <c r="V86" s="417"/>
      <c r="W86" s="417"/>
      <c r="X86" s="417"/>
      <c r="Y86" s="417"/>
      <c r="Z86" s="417"/>
      <c r="AA86" s="417"/>
      <c r="AB86" s="417"/>
      <c r="AC86" s="417"/>
    </row>
    <row r="87" spans="6:29" ht="16.5" customHeight="1">
      <c r="F87" s="417"/>
      <c r="G87" s="417"/>
      <c r="H87" s="417"/>
      <c r="I87" s="417"/>
      <c r="J87" s="417"/>
      <c r="K87" s="417"/>
      <c r="L87" s="417"/>
      <c r="M87" s="417"/>
      <c r="N87" s="417"/>
      <c r="O87" s="417"/>
      <c r="P87" s="417"/>
      <c r="Q87" s="417"/>
      <c r="R87" s="417"/>
      <c r="S87" s="417"/>
      <c r="T87" s="417"/>
      <c r="U87" s="417"/>
      <c r="V87" s="417"/>
      <c r="W87" s="417"/>
      <c r="X87" s="417"/>
      <c r="Y87" s="417"/>
      <c r="Z87" s="417"/>
      <c r="AA87" s="417"/>
      <c r="AB87" s="417"/>
      <c r="AC87" s="417"/>
    </row>
    <row r="88" spans="6:29" ht="16.5" customHeight="1">
      <c r="F88" s="417"/>
      <c r="G88" s="417"/>
      <c r="H88" s="417"/>
      <c r="I88" s="417"/>
      <c r="J88" s="417"/>
      <c r="K88" s="417"/>
      <c r="L88" s="417"/>
      <c r="M88" s="417"/>
      <c r="N88" s="417"/>
      <c r="O88" s="417"/>
      <c r="P88" s="417"/>
      <c r="Q88" s="417"/>
      <c r="R88" s="417"/>
      <c r="S88" s="417"/>
      <c r="T88" s="417"/>
      <c r="U88" s="417"/>
      <c r="V88" s="417"/>
      <c r="W88" s="417"/>
      <c r="X88" s="417"/>
      <c r="Y88" s="417"/>
      <c r="Z88" s="417"/>
      <c r="AA88" s="417"/>
      <c r="AB88" s="417"/>
      <c r="AC88" s="417"/>
    </row>
    <row r="89" spans="6:29" ht="16.5" customHeight="1">
      <c r="F89" s="417"/>
      <c r="G89" s="417"/>
      <c r="H89" s="417"/>
      <c r="I89" s="417"/>
      <c r="J89" s="417"/>
      <c r="K89" s="417"/>
      <c r="L89" s="417"/>
      <c r="M89" s="417"/>
      <c r="N89" s="417"/>
      <c r="O89" s="417"/>
      <c r="P89" s="417"/>
      <c r="Q89" s="417"/>
      <c r="R89" s="417"/>
      <c r="S89" s="417"/>
      <c r="T89" s="417"/>
      <c r="U89" s="417"/>
      <c r="V89" s="417"/>
      <c r="W89" s="417"/>
      <c r="X89" s="417"/>
      <c r="Y89" s="417"/>
      <c r="Z89" s="417"/>
      <c r="AA89" s="417"/>
      <c r="AB89" s="417"/>
      <c r="AC89" s="417"/>
    </row>
    <row r="90" spans="6:29" ht="16.5" customHeight="1">
      <c r="F90" s="417"/>
      <c r="G90" s="417"/>
      <c r="H90" s="417"/>
      <c r="I90" s="417"/>
      <c r="J90" s="417"/>
      <c r="K90" s="417"/>
      <c r="L90" s="417"/>
      <c r="M90" s="417"/>
      <c r="N90" s="417"/>
      <c r="O90" s="417"/>
      <c r="P90" s="417"/>
      <c r="Q90" s="417"/>
      <c r="R90" s="417"/>
      <c r="S90" s="417"/>
      <c r="T90" s="417"/>
      <c r="U90" s="417"/>
      <c r="V90" s="417"/>
      <c r="W90" s="417"/>
      <c r="X90" s="417"/>
      <c r="Y90" s="417"/>
      <c r="Z90" s="417"/>
      <c r="AA90" s="417"/>
      <c r="AB90" s="417"/>
      <c r="AC90" s="417"/>
    </row>
    <row r="91" spans="6:29" ht="16.5" customHeight="1">
      <c r="F91" s="417"/>
      <c r="G91" s="417"/>
      <c r="H91" s="417"/>
      <c r="I91" s="417"/>
      <c r="J91" s="417"/>
      <c r="K91" s="417"/>
      <c r="L91" s="417"/>
      <c r="M91" s="417"/>
      <c r="N91" s="417"/>
      <c r="O91" s="417"/>
      <c r="P91" s="417"/>
      <c r="Q91" s="417"/>
      <c r="R91" s="417"/>
      <c r="S91" s="417"/>
      <c r="T91" s="417"/>
      <c r="U91" s="417"/>
      <c r="V91" s="417"/>
      <c r="W91" s="417"/>
      <c r="X91" s="417"/>
      <c r="Y91" s="417"/>
      <c r="Z91" s="417"/>
      <c r="AA91" s="417"/>
      <c r="AB91" s="417"/>
      <c r="AC91" s="417"/>
    </row>
    <row r="92" spans="6:29" ht="16.5" customHeight="1">
      <c r="F92" s="417"/>
      <c r="G92" s="417"/>
      <c r="H92" s="417"/>
      <c r="I92" s="417"/>
      <c r="J92" s="417"/>
      <c r="K92" s="417"/>
      <c r="L92" s="417"/>
      <c r="M92" s="417"/>
      <c r="N92" s="417"/>
      <c r="O92" s="417"/>
      <c r="P92" s="417"/>
      <c r="Q92" s="417"/>
      <c r="R92" s="417"/>
      <c r="S92" s="417"/>
      <c r="T92" s="417"/>
      <c r="U92" s="417"/>
      <c r="V92" s="417"/>
      <c r="W92" s="417"/>
      <c r="X92" s="417"/>
      <c r="Y92" s="417"/>
      <c r="Z92" s="417"/>
      <c r="AA92" s="417"/>
      <c r="AB92" s="417"/>
      <c r="AC92" s="417"/>
    </row>
    <row r="93" spans="6:29" ht="16.5" customHeight="1">
      <c r="F93" s="417"/>
      <c r="G93" s="417"/>
      <c r="H93" s="417"/>
      <c r="I93" s="417"/>
      <c r="J93" s="417"/>
      <c r="K93" s="417"/>
      <c r="L93" s="417"/>
      <c r="M93" s="417"/>
      <c r="N93" s="417"/>
      <c r="O93" s="417"/>
      <c r="P93" s="417"/>
      <c r="Q93" s="417"/>
      <c r="R93" s="417"/>
      <c r="S93" s="417"/>
      <c r="T93" s="417"/>
      <c r="U93" s="417"/>
      <c r="V93" s="417"/>
      <c r="W93" s="417"/>
      <c r="X93" s="417"/>
      <c r="Y93" s="417"/>
      <c r="Z93" s="417"/>
      <c r="AA93" s="417"/>
      <c r="AB93" s="417"/>
      <c r="AC93" s="417"/>
    </row>
    <row r="94" spans="6:29" ht="16.5" customHeight="1">
      <c r="F94" s="417"/>
      <c r="G94" s="417"/>
      <c r="H94" s="417"/>
      <c r="I94" s="417"/>
      <c r="J94" s="417"/>
      <c r="K94" s="417"/>
      <c r="L94" s="417"/>
      <c r="M94" s="417"/>
      <c r="N94" s="417"/>
      <c r="O94" s="417"/>
      <c r="P94" s="417"/>
      <c r="Q94" s="417"/>
      <c r="R94" s="417"/>
      <c r="S94" s="417"/>
      <c r="T94" s="417"/>
      <c r="U94" s="417"/>
      <c r="V94" s="417"/>
      <c r="W94" s="417"/>
      <c r="X94" s="417"/>
      <c r="Y94" s="417"/>
      <c r="Z94" s="417"/>
      <c r="AA94" s="417"/>
      <c r="AB94" s="417"/>
      <c r="AC94" s="417"/>
    </row>
    <row r="95" spans="6:29" ht="16.5" customHeight="1">
      <c r="F95" s="417"/>
      <c r="G95" s="417"/>
      <c r="H95" s="417"/>
      <c r="I95" s="417"/>
      <c r="J95" s="417"/>
      <c r="K95" s="417"/>
      <c r="L95" s="417"/>
      <c r="M95" s="417"/>
      <c r="N95" s="417"/>
      <c r="O95" s="417"/>
      <c r="P95" s="417"/>
      <c r="Q95" s="417"/>
      <c r="R95" s="417"/>
      <c r="S95" s="417"/>
      <c r="T95" s="417"/>
      <c r="U95" s="417"/>
      <c r="V95" s="417"/>
      <c r="W95" s="417"/>
      <c r="X95" s="417"/>
      <c r="Y95" s="417"/>
      <c r="Z95" s="417"/>
      <c r="AA95" s="417"/>
      <c r="AB95" s="417"/>
      <c r="AC95" s="417"/>
    </row>
    <row r="96" spans="6:29" ht="16.5" customHeight="1">
      <c r="F96" s="417"/>
      <c r="G96" s="417"/>
      <c r="H96" s="417"/>
      <c r="I96" s="417"/>
      <c r="J96" s="417"/>
      <c r="K96" s="417"/>
      <c r="L96" s="417"/>
      <c r="M96" s="417"/>
      <c r="N96" s="417"/>
      <c r="O96" s="417"/>
      <c r="P96" s="417"/>
      <c r="Q96" s="417"/>
      <c r="R96" s="417"/>
      <c r="S96" s="417"/>
      <c r="T96" s="417"/>
      <c r="U96" s="417"/>
      <c r="V96" s="417"/>
      <c r="W96" s="417"/>
      <c r="X96" s="417"/>
      <c r="Y96" s="417"/>
      <c r="Z96" s="417"/>
      <c r="AA96" s="417"/>
      <c r="AB96" s="417"/>
      <c r="AC96" s="417"/>
    </row>
    <row r="97" spans="6:29" ht="16.5" customHeight="1">
      <c r="F97" s="417"/>
      <c r="G97" s="417"/>
      <c r="H97" s="417"/>
      <c r="I97" s="417"/>
      <c r="J97" s="417"/>
      <c r="K97" s="417"/>
      <c r="L97" s="417"/>
      <c r="M97" s="417"/>
      <c r="N97" s="417"/>
      <c r="O97" s="417"/>
      <c r="P97" s="417"/>
      <c r="Q97" s="417"/>
      <c r="R97" s="417"/>
      <c r="S97" s="417"/>
      <c r="T97" s="417"/>
      <c r="U97" s="417"/>
      <c r="V97" s="417"/>
      <c r="W97" s="417"/>
      <c r="X97" s="417"/>
      <c r="Y97" s="417"/>
      <c r="Z97" s="417"/>
      <c r="AA97" s="417"/>
      <c r="AB97" s="417"/>
      <c r="AC97" s="417"/>
    </row>
    <row r="98" spans="6:29" ht="16.5" customHeight="1">
      <c r="F98" s="417"/>
      <c r="G98" s="417"/>
      <c r="H98" s="417"/>
      <c r="I98" s="417"/>
      <c r="J98" s="417"/>
      <c r="K98" s="417"/>
      <c r="L98" s="417"/>
      <c r="M98" s="417"/>
      <c r="N98" s="417"/>
      <c r="O98" s="417"/>
      <c r="P98" s="417"/>
      <c r="Q98" s="417"/>
      <c r="R98" s="417"/>
      <c r="S98" s="417"/>
      <c r="T98" s="417"/>
      <c r="U98" s="417"/>
      <c r="V98" s="417"/>
      <c r="W98" s="417"/>
      <c r="X98" s="417"/>
      <c r="Y98" s="417"/>
      <c r="Z98" s="417"/>
      <c r="AA98" s="417"/>
      <c r="AB98" s="417"/>
      <c r="AC98" s="417"/>
    </row>
    <row r="99" spans="6:29" ht="16.5" customHeight="1">
      <c r="F99" s="417"/>
      <c r="G99" s="417"/>
      <c r="H99" s="417"/>
      <c r="I99" s="417"/>
      <c r="J99" s="417"/>
      <c r="K99" s="417"/>
      <c r="L99" s="417"/>
      <c r="M99" s="417"/>
      <c r="N99" s="417"/>
      <c r="O99" s="417"/>
      <c r="P99" s="417"/>
      <c r="Q99" s="417"/>
      <c r="R99" s="417"/>
      <c r="S99" s="417"/>
      <c r="T99" s="417"/>
      <c r="U99" s="417"/>
      <c r="V99" s="417"/>
      <c r="W99" s="417"/>
      <c r="X99" s="417"/>
      <c r="Y99" s="417"/>
      <c r="Z99" s="417"/>
      <c r="AA99" s="417"/>
      <c r="AB99" s="417"/>
      <c r="AC99" s="417"/>
    </row>
    <row r="100" spans="6:29" ht="16.5" customHeight="1">
      <c r="F100" s="417"/>
      <c r="G100" s="417"/>
      <c r="H100" s="417"/>
      <c r="I100" s="417"/>
      <c r="J100" s="417"/>
      <c r="K100" s="417"/>
      <c r="L100" s="417"/>
      <c r="M100" s="417"/>
      <c r="N100" s="417"/>
      <c r="O100" s="417"/>
      <c r="P100" s="417"/>
      <c r="Q100" s="417"/>
      <c r="R100" s="417"/>
      <c r="S100" s="417"/>
      <c r="T100" s="417"/>
      <c r="U100" s="417"/>
      <c r="V100" s="417"/>
      <c r="W100" s="417"/>
      <c r="X100" s="417"/>
      <c r="Y100" s="417"/>
      <c r="Z100" s="417"/>
      <c r="AA100" s="417"/>
      <c r="AB100" s="417"/>
      <c r="AC100" s="417"/>
    </row>
    <row r="101" spans="6:29" ht="16.5" customHeight="1">
      <c r="F101" s="417"/>
      <c r="G101" s="417"/>
      <c r="H101" s="417"/>
      <c r="I101" s="417"/>
      <c r="J101" s="417"/>
      <c r="K101" s="417"/>
      <c r="L101" s="417"/>
      <c r="M101" s="417"/>
      <c r="N101" s="417"/>
      <c r="O101" s="417"/>
      <c r="P101" s="417"/>
      <c r="Q101" s="417"/>
      <c r="R101" s="417"/>
      <c r="S101" s="417"/>
      <c r="T101" s="417"/>
      <c r="U101" s="417"/>
      <c r="V101" s="417"/>
      <c r="W101" s="417"/>
      <c r="X101" s="417"/>
      <c r="Y101" s="417"/>
      <c r="Z101" s="417"/>
      <c r="AA101" s="417"/>
      <c r="AB101" s="417"/>
      <c r="AC101" s="417"/>
    </row>
    <row r="102" spans="6:29" ht="16.5" customHeight="1">
      <c r="F102" s="417"/>
      <c r="G102" s="417"/>
      <c r="H102" s="417"/>
      <c r="I102" s="417"/>
      <c r="J102" s="417"/>
      <c r="K102" s="417"/>
      <c r="L102" s="417"/>
      <c r="M102" s="417"/>
      <c r="N102" s="417"/>
      <c r="O102" s="417"/>
      <c r="P102" s="417"/>
      <c r="Q102" s="417"/>
      <c r="R102" s="417"/>
      <c r="S102" s="417"/>
      <c r="T102" s="417"/>
      <c r="U102" s="417"/>
      <c r="V102" s="417"/>
      <c r="W102" s="417"/>
      <c r="X102" s="417"/>
      <c r="Y102" s="417"/>
      <c r="Z102" s="417"/>
      <c r="AA102" s="417"/>
      <c r="AB102" s="417"/>
      <c r="AC102" s="417"/>
    </row>
    <row r="103" spans="6:29" ht="16.5" customHeight="1">
      <c r="F103" s="417"/>
      <c r="G103" s="417"/>
      <c r="H103" s="417"/>
      <c r="I103" s="417"/>
      <c r="J103" s="417"/>
      <c r="K103" s="417"/>
      <c r="L103" s="417"/>
      <c r="M103" s="417"/>
      <c r="N103" s="417"/>
      <c r="O103" s="417"/>
      <c r="P103" s="417"/>
      <c r="Q103" s="417"/>
      <c r="R103" s="417"/>
      <c r="S103" s="417"/>
      <c r="T103" s="417"/>
      <c r="U103" s="417"/>
      <c r="V103" s="417"/>
      <c r="W103" s="417"/>
      <c r="X103" s="417"/>
      <c r="Y103" s="417"/>
      <c r="Z103" s="417"/>
      <c r="AA103" s="417"/>
      <c r="AB103" s="417"/>
      <c r="AC103" s="417"/>
    </row>
    <row r="104" spans="6:29" ht="16.5" customHeight="1">
      <c r="F104" s="417"/>
      <c r="G104" s="417"/>
      <c r="H104" s="417"/>
      <c r="I104" s="417"/>
      <c r="J104" s="417"/>
      <c r="K104" s="417"/>
      <c r="L104" s="417"/>
      <c r="M104" s="417"/>
      <c r="N104" s="417"/>
      <c r="O104" s="417"/>
      <c r="P104" s="417"/>
      <c r="Q104" s="417"/>
      <c r="R104" s="417"/>
      <c r="S104" s="417"/>
      <c r="T104" s="417"/>
      <c r="U104" s="417"/>
      <c r="V104" s="417"/>
      <c r="W104" s="417"/>
      <c r="X104" s="417"/>
      <c r="Y104" s="417"/>
      <c r="Z104" s="417"/>
      <c r="AA104" s="417"/>
      <c r="AB104" s="417"/>
      <c r="AC104" s="417"/>
    </row>
    <row r="105" spans="6:29" ht="16.5" customHeight="1">
      <c r="F105" s="417"/>
      <c r="G105" s="417"/>
      <c r="H105" s="417"/>
      <c r="I105" s="417"/>
      <c r="J105" s="417"/>
      <c r="K105" s="417"/>
      <c r="L105" s="417"/>
      <c r="M105" s="417"/>
      <c r="N105" s="417"/>
      <c r="O105" s="417"/>
      <c r="P105" s="417"/>
      <c r="Q105" s="417"/>
      <c r="R105" s="417"/>
      <c r="S105" s="417"/>
      <c r="T105" s="417"/>
      <c r="U105" s="417"/>
      <c r="V105" s="417"/>
      <c r="W105" s="417"/>
      <c r="X105" s="417"/>
      <c r="Y105" s="417"/>
      <c r="Z105" s="417"/>
      <c r="AA105" s="417"/>
      <c r="AB105" s="417"/>
      <c r="AC105" s="417"/>
    </row>
    <row r="106" spans="6:29" ht="16.5" customHeight="1">
      <c r="F106" s="417"/>
      <c r="G106" s="417"/>
      <c r="H106" s="417"/>
      <c r="I106" s="417"/>
      <c r="J106" s="417"/>
      <c r="K106" s="417"/>
      <c r="L106" s="417"/>
      <c r="M106" s="417"/>
      <c r="N106" s="417"/>
      <c r="O106" s="417"/>
      <c r="P106" s="417"/>
      <c r="Q106" s="417"/>
      <c r="R106" s="417"/>
      <c r="S106" s="417"/>
      <c r="T106" s="417"/>
      <c r="U106" s="417"/>
      <c r="V106" s="417"/>
      <c r="W106" s="417"/>
      <c r="X106" s="417"/>
      <c r="Y106" s="417"/>
      <c r="Z106" s="417"/>
      <c r="AA106" s="417"/>
      <c r="AB106" s="417"/>
      <c r="AC106" s="417"/>
    </row>
    <row r="107" spans="6:29" ht="16.5" customHeight="1">
      <c r="F107" s="417"/>
      <c r="G107" s="417"/>
      <c r="H107" s="417"/>
      <c r="I107" s="417"/>
      <c r="J107" s="417"/>
      <c r="K107" s="417"/>
      <c r="L107" s="417"/>
      <c r="M107" s="417"/>
      <c r="N107" s="417"/>
      <c r="O107" s="417"/>
      <c r="P107" s="417"/>
      <c r="Q107" s="417"/>
      <c r="R107" s="417"/>
      <c r="S107" s="417"/>
      <c r="T107" s="417"/>
      <c r="U107" s="417"/>
      <c r="V107" s="417"/>
      <c r="W107" s="417"/>
      <c r="X107" s="417"/>
      <c r="Y107" s="417"/>
      <c r="Z107" s="417"/>
      <c r="AA107" s="417"/>
      <c r="AB107" s="417"/>
      <c r="AC107" s="417"/>
    </row>
    <row r="108" spans="6:29" ht="16.5" customHeight="1">
      <c r="F108" s="417"/>
      <c r="G108" s="417"/>
      <c r="H108" s="417"/>
      <c r="I108" s="417"/>
      <c r="J108" s="417"/>
      <c r="K108" s="417"/>
      <c r="L108" s="417"/>
      <c r="M108" s="417"/>
      <c r="N108" s="417"/>
      <c r="O108" s="417"/>
      <c r="P108" s="417"/>
      <c r="Q108" s="417"/>
      <c r="R108" s="417"/>
      <c r="S108" s="417"/>
      <c r="T108" s="417"/>
      <c r="U108" s="417"/>
      <c r="V108" s="417"/>
      <c r="W108" s="417"/>
      <c r="X108" s="417"/>
      <c r="Y108" s="417"/>
      <c r="Z108" s="417"/>
      <c r="AA108" s="417"/>
      <c r="AB108" s="417"/>
      <c r="AC108" s="417"/>
    </row>
    <row r="109" spans="6:29" ht="16.5" customHeight="1">
      <c r="F109" s="417"/>
      <c r="G109" s="417"/>
      <c r="H109" s="417"/>
      <c r="I109" s="417"/>
      <c r="J109" s="417"/>
      <c r="K109" s="417"/>
      <c r="L109" s="417"/>
      <c r="M109" s="417"/>
      <c r="N109" s="417"/>
      <c r="O109" s="417"/>
      <c r="P109" s="417"/>
      <c r="Q109" s="417"/>
      <c r="R109" s="417"/>
      <c r="S109" s="417"/>
      <c r="T109" s="417"/>
      <c r="U109" s="417"/>
      <c r="V109" s="417"/>
      <c r="W109" s="417"/>
      <c r="X109" s="417"/>
      <c r="Y109" s="417"/>
      <c r="Z109" s="417"/>
      <c r="AA109" s="417"/>
      <c r="AB109" s="417"/>
      <c r="AC109" s="417"/>
    </row>
    <row r="110" spans="6:29" ht="16.5" customHeight="1">
      <c r="F110" s="417"/>
      <c r="G110" s="417"/>
      <c r="H110" s="417"/>
      <c r="I110" s="417"/>
      <c r="J110" s="417"/>
      <c r="K110" s="417"/>
      <c r="L110" s="417"/>
      <c r="M110" s="417"/>
      <c r="N110" s="417"/>
      <c r="O110" s="417"/>
      <c r="P110" s="417"/>
      <c r="Q110" s="417"/>
      <c r="R110" s="417"/>
      <c r="S110" s="417"/>
      <c r="T110" s="417"/>
      <c r="U110" s="417"/>
      <c r="V110" s="417"/>
      <c r="W110" s="417"/>
      <c r="X110" s="417"/>
      <c r="Y110" s="417"/>
      <c r="Z110" s="417"/>
      <c r="AA110" s="417"/>
      <c r="AB110" s="417"/>
      <c r="AC110" s="417"/>
    </row>
    <row r="111" spans="6:29" ht="16.5" customHeight="1">
      <c r="F111" s="417"/>
      <c r="G111" s="417"/>
      <c r="H111" s="417"/>
      <c r="I111" s="417"/>
      <c r="J111" s="417"/>
      <c r="K111" s="417"/>
      <c r="L111" s="417"/>
      <c r="M111" s="417"/>
      <c r="N111" s="417"/>
      <c r="O111" s="417"/>
      <c r="P111" s="417"/>
      <c r="Q111" s="417"/>
      <c r="R111" s="417"/>
      <c r="S111" s="417"/>
      <c r="T111" s="417"/>
      <c r="U111" s="417"/>
      <c r="V111" s="417"/>
      <c r="W111" s="417"/>
      <c r="X111" s="417"/>
      <c r="Y111" s="417"/>
      <c r="Z111" s="417"/>
      <c r="AA111" s="417"/>
      <c r="AB111" s="417"/>
      <c r="AC111" s="417"/>
    </row>
    <row r="112" spans="6:29" ht="16.5" customHeight="1">
      <c r="F112" s="417"/>
      <c r="G112" s="417"/>
      <c r="H112" s="417"/>
      <c r="I112" s="417"/>
      <c r="J112" s="417"/>
      <c r="K112" s="417"/>
      <c r="L112" s="417"/>
      <c r="M112" s="417"/>
      <c r="N112" s="417"/>
      <c r="O112" s="417"/>
      <c r="P112" s="417"/>
      <c r="Q112" s="417"/>
      <c r="R112" s="417"/>
      <c r="S112" s="417"/>
      <c r="T112" s="417"/>
      <c r="U112" s="417"/>
      <c r="V112" s="417"/>
      <c r="W112" s="417"/>
      <c r="X112" s="417"/>
      <c r="Y112" s="417"/>
      <c r="Z112" s="417"/>
      <c r="AA112" s="417"/>
      <c r="AB112" s="417"/>
      <c r="AC112" s="417"/>
    </row>
    <row r="113" spans="6:29" ht="16.5" customHeight="1">
      <c r="F113" s="417"/>
      <c r="G113" s="417"/>
      <c r="H113" s="417"/>
      <c r="I113" s="417"/>
      <c r="J113" s="417"/>
      <c r="K113" s="417"/>
      <c r="L113" s="417"/>
      <c r="M113" s="417"/>
      <c r="N113" s="417"/>
      <c r="O113" s="417"/>
      <c r="P113" s="417"/>
      <c r="Q113" s="417"/>
      <c r="R113" s="417"/>
      <c r="S113" s="417"/>
      <c r="T113" s="417"/>
      <c r="U113" s="417"/>
      <c r="V113" s="417"/>
      <c r="W113" s="417"/>
      <c r="X113" s="417"/>
      <c r="Y113" s="417"/>
      <c r="Z113" s="417"/>
      <c r="AA113" s="417"/>
      <c r="AB113" s="417"/>
      <c r="AC113" s="417"/>
    </row>
    <row r="114" spans="6:29" ht="16.5" customHeight="1">
      <c r="F114" s="417"/>
      <c r="G114" s="417"/>
      <c r="H114" s="417"/>
      <c r="I114" s="417"/>
      <c r="J114" s="417"/>
      <c r="K114" s="417"/>
      <c r="L114" s="417"/>
      <c r="M114" s="417"/>
      <c r="N114" s="417"/>
      <c r="O114" s="417"/>
      <c r="P114" s="417"/>
      <c r="Q114" s="417"/>
      <c r="R114" s="417"/>
      <c r="S114" s="417"/>
      <c r="T114" s="417"/>
      <c r="U114" s="417"/>
      <c r="V114" s="417"/>
      <c r="W114" s="417"/>
      <c r="X114" s="417"/>
      <c r="Y114" s="417"/>
      <c r="Z114" s="417"/>
      <c r="AA114" s="417"/>
      <c r="AB114" s="417"/>
      <c r="AC114" s="417"/>
    </row>
    <row r="115" spans="6:29" ht="16.5" customHeight="1">
      <c r="F115" s="417"/>
      <c r="G115" s="417"/>
      <c r="H115" s="417"/>
      <c r="I115" s="417"/>
      <c r="J115" s="417"/>
      <c r="K115" s="417"/>
      <c r="L115" s="417"/>
      <c r="M115" s="417"/>
      <c r="N115" s="417"/>
      <c r="O115" s="417"/>
      <c r="P115" s="417"/>
      <c r="Q115" s="417"/>
      <c r="R115" s="417"/>
      <c r="S115" s="417"/>
      <c r="T115" s="417"/>
      <c r="U115" s="417"/>
      <c r="V115" s="417"/>
      <c r="W115" s="417"/>
      <c r="X115" s="417"/>
      <c r="Y115" s="417"/>
      <c r="Z115" s="417"/>
      <c r="AA115" s="417"/>
      <c r="AB115" s="417"/>
      <c r="AC115" s="417"/>
    </row>
    <row r="116" spans="6:29" ht="16.5" customHeight="1">
      <c r="F116" s="417"/>
      <c r="G116" s="417"/>
      <c r="H116" s="417"/>
      <c r="I116" s="417"/>
      <c r="J116" s="417"/>
      <c r="K116" s="417"/>
      <c r="L116" s="417"/>
      <c r="M116" s="417"/>
      <c r="N116" s="417"/>
      <c r="O116" s="417"/>
      <c r="P116" s="417"/>
      <c r="Q116" s="417"/>
      <c r="R116" s="417"/>
      <c r="S116" s="417"/>
      <c r="T116" s="417"/>
      <c r="U116" s="417"/>
      <c r="V116" s="417"/>
      <c r="W116" s="417"/>
      <c r="X116" s="417"/>
      <c r="Y116" s="417"/>
      <c r="Z116" s="417"/>
      <c r="AA116" s="417"/>
      <c r="AB116" s="417"/>
      <c r="AC116" s="417"/>
    </row>
    <row r="117" spans="6:29" ht="16.5" customHeight="1">
      <c r="F117" s="417"/>
      <c r="G117" s="417"/>
      <c r="H117" s="417"/>
      <c r="I117" s="417"/>
      <c r="J117" s="417"/>
      <c r="K117" s="417"/>
      <c r="L117" s="417"/>
      <c r="M117" s="417"/>
      <c r="N117" s="417"/>
      <c r="O117" s="417"/>
      <c r="P117" s="417"/>
      <c r="Q117" s="417"/>
      <c r="R117" s="417"/>
      <c r="S117" s="417"/>
      <c r="T117" s="417"/>
      <c r="U117" s="417"/>
      <c r="V117" s="417"/>
      <c r="W117" s="417"/>
      <c r="X117" s="417"/>
      <c r="Y117" s="417"/>
      <c r="Z117" s="417"/>
      <c r="AA117" s="417"/>
      <c r="AB117" s="417"/>
      <c r="AC117" s="417"/>
    </row>
    <row r="118" spans="6:29" ht="16.5" customHeight="1">
      <c r="F118" s="417"/>
      <c r="G118" s="417"/>
      <c r="H118" s="417"/>
      <c r="I118" s="417"/>
      <c r="J118" s="417"/>
      <c r="K118" s="417"/>
      <c r="L118" s="417"/>
      <c r="M118" s="417"/>
      <c r="N118" s="417"/>
      <c r="O118" s="417"/>
      <c r="P118" s="417"/>
      <c r="Q118" s="417"/>
      <c r="R118" s="417"/>
      <c r="S118" s="417"/>
      <c r="T118" s="417"/>
      <c r="U118" s="417"/>
      <c r="V118" s="417"/>
      <c r="W118" s="417"/>
      <c r="X118" s="417"/>
      <c r="Y118" s="417"/>
      <c r="Z118" s="417"/>
      <c r="AA118" s="417"/>
      <c r="AB118" s="417"/>
      <c r="AC118" s="417"/>
    </row>
    <row r="119" spans="6:29" ht="16.5" customHeight="1">
      <c r="F119" s="417"/>
      <c r="G119" s="417"/>
      <c r="H119" s="417"/>
      <c r="I119" s="417"/>
      <c r="J119" s="417"/>
      <c r="K119" s="417"/>
      <c r="L119" s="417"/>
      <c r="M119" s="417"/>
      <c r="N119" s="417"/>
      <c r="O119" s="417"/>
      <c r="P119" s="417"/>
      <c r="Q119" s="417"/>
      <c r="R119" s="417"/>
      <c r="S119" s="417"/>
      <c r="T119" s="417"/>
      <c r="U119" s="417"/>
      <c r="V119" s="417"/>
      <c r="W119" s="417"/>
      <c r="X119" s="417"/>
      <c r="Y119" s="417"/>
      <c r="Z119" s="417"/>
      <c r="AA119" s="417"/>
      <c r="AB119" s="417"/>
      <c r="AC119" s="417"/>
    </row>
    <row r="120" spans="6:29" ht="16.5" customHeight="1">
      <c r="F120" s="417"/>
      <c r="G120" s="417"/>
      <c r="H120" s="417"/>
      <c r="I120" s="417"/>
      <c r="J120" s="417"/>
      <c r="K120" s="417"/>
      <c r="L120" s="417"/>
      <c r="M120" s="417"/>
      <c r="N120" s="417"/>
      <c r="O120" s="417"/>
      <c r="P120" s="417"/>
      <c r="Q120" s="417"/>
      <c r="R120" s="417"/>
      <c r="S120" s="417"/>
      <c r="T120" s="417"/>
      <c r="U120" s="417"/>
      <c r="V120" s="417"/>
      <c r="W120" s="417"/>
      <c r="X120" s="417"/>
      <c r="Y120" s="417"/>
      <c r="Z120" s="417"/>
      <c r="AA120" s="417"/>
      <c r="AB120" s="417"/>
      <c r="AC120" s="417"/>
    </row>
    <row r="121" spans="6:29" ht="16.5" customHeight="1">
      <c r="F121" s="417"/>
      <c r="G121" s="417"/>
      <c r="H121" s="417"/>
      <c r="I121" s="417"/>
      <c r="J121" s="417"/>
      <c r="K121" s="417"/>
      <c r="L121" s="417"/>
      <c r="M121" s="417"/>
      <c r="N121" s="417"/>
      <c r="O121" s="417"/>
      <c r="P121" s="417"/>
      <c r="Q121" s="417"/>
      <c r="R121" s="417"/>
      <c r="S121" s="417"/>
      <c r="T121" s="417"/>
      <c r="U121" s="417"/>
      <c r="V121" s="417"/>
      <c r="W121" s="417"/>
      <c r="X121" s="417"/>
      <c r="Y121" s="417"/>
      <c r="Z121" s="417"/>
      <c r="AA121" s="417"/>
      <c r="AB121" s="417"/>
      <c r="AC121" s="417"/>
    </row>
    <row r="122" spans="6:29" ht="16.5" customHeight="1">
      <c r="F122" s="417"/>
      <c r="G122" s="417"/>
      <c r="H122" s="417"/>
      <c r="I122" s="417"/>
      <c r="J122" s="417"/>
      <c r="K122" s="417"/>
      <c r="L122" s="417"/>
      <c r="M122" s="417"/>
      <c r="N122" s="417"/>
      <c r="O122" s="417"/>
      <c r="P122" s="417"/>
      <c r="Q122" s="417"/>
      <c r="R122" s="417"/>
      <c r="S122" s="417"/>
      <c r="T122" s="417"/>
      <c r="U122" s="417"/>
      <c r="V122" s="417"/>
      <c r="W122" s="417"/>
      <c r="X122" s="417"/>
      <c r="Y122" s="417"/>
      <c r="Z122" s="417"/>
      <c r="AA122" s="417"/>
      <c r="AB122" s="417"/>
      <c r="AC122" s="417"/>
    </row>
    <row r="123" spans="6:29" ht="16.5" customHeight="1">
      <c r="F123" s="417"/>
      <c r="G123" s="417"/>
      <c r="H123" s="417"/>
      <c r="I123" s="417"/>
      <c r="J123" s="417"/>
      <c r="K123" s="417"/>
      <c r="L123" s="417"/>
      <c r="M123" s="417"/>
      <c r="N123" s="417"/>
      <c r="O123" s="417"/>
      <c r="P123" s="417"/>
      <c r="Q123" s="417"/>
      <c r="R123" s="417"/>
      <c r="S123" s="417"/>
      <c r="T123" s="417"/>
      <c r="U123" s="417"/>
      <c r="V123" s="417"/>
      <c r="W123" s="417"/>
      <c r="X123" s="417"/>
      <c r="Y123" s="417"/>
      <c r="Z123" s="417"/>
      <c r="AA123" s="417"/>
      <c r="AB123" s="417"/>
      <c r="AC123" s="417"/>
    </row>
    <row r="124" spans="6:29" ht="16.5" customHeight="1">
      <c r="F124" s="417"/>
      <c r="G124" s="417"/>
      <c r="H124" s="417"/>
      <c r="I124" s="417"/>
      <c r="J124" s="417"/>
      <c r="K124" s="417"/>
      <c r="L124" s="417"/>
      <c r="M124" s="417"/>
      <c r="N124" s="417"/>
      <c r="O124" s="417"/>
      <c r="P124" s="417"/>
      <c r="Q124" s="417"/>
      <c r="R124" s="417"/>
      <c r="S124" s="417"/>
      <c r="T124" s="417"/>
      <c r="U124" s="417"/>
      <c r="V124" s="417"/>
      <c r="W124" s="417"/>
      <c r="X124" s="417"/>
      <c r="Y124" s="417"/>
      <c r="Z124" s="417"/>
      <c r="AA124" s="417"/>
      <c r="AB124" s="417"/>
      <c r="AC124" s="417"/>
    </row>
    <row r="125" spans="6:29" ht="16.5" customHeight="1">
      <c r="F125" s="417"/>
      <c r="G125" s="417"/>
      <c r="H125" s="417"/>
      <c r="I125" s="417"/>
      <c r="J125" s="417"/>
      <c r="K125" s="417"/>
      <c r="L125" s="417"/>
      <c r="M125" s="417"/>
      <c r="N125" s="417"/>
      <c r="O125" s="417"/>
      <c r="P125" s="417"/>
      <c r="Q125" s="417"/>
      <c r="R125" s="417"/>
      <c r="S125" s="417"/>
      <c r="T125" s="417"/>
      <c r="U125" s="417"/>
      <c r="V125" s="417"/>
      <c r="W125" s="417"/>
      <c r="X125" s="417"/>
      <c r="Y125" s="417"/>
      <c r="Z125" s="417"/>
      <c r="AA125" s="417"/>
      <c r="AB125" s="417"/>
      <c r="AC125" s="417"/>
    </row>
    <row r="126" spans="6:29" ht="16.5" customHeight="1">
      <c r="F126" s="417"/>
      <c r="G126" s="417"/>
      <c r="H126" s="417"/>
      <c r="I126" s="417"/>
      <c r="J126" s="417"/>
      <c r="K126" s="417"/>
      <c r="L126" s="417"/>
      <c r="M126" s="417"/>
      <c r="N126" s="417"/>
      <c r="O126" s="417"/>
      <c r="P126" s="417"/>
      <c r="Q126" s="417"/>
      <c r="R126" s="417"/>
      <c r="S126" s="417"/>
      <c r="T126" s="417"/>
      <c r="U126" s="417"/>
      <c r="V126" s="417"/>
      <c r="W126" s="417"/>
      <c r="X126" s="417"/>
      <c r="Y126" s="417"/>
      <c r="Z126" s="417"/>
      <c r="AA126" s="417"/>
      <c r="AB126" s="417"/>
      <c r="AC126" s="417"/>
    </row>
    <row r="127" spans="6:29" ht="16.5" customHeight="1">
      <c r="F127" s="417"/>
      <c r="G127" s="417"/>
      <c r="H127" s="417"/>
      <c r="I127" s="417"/>
      <c r="J127" s="417"/>
      <c r="K127" s="417"/>
      <c r="L127" s="417"/>
      <c r="M127" s="417"/>
      <c r="N127" s="417"/>
      <c r="O127" s="417"/>
      <c r="P127" s="417"/>
      <c r="Q127" s="417"/>
      <c r="R127" s="417"/>
      <c r="S127" s="417"/>
      <c r="T127" s="417"/>
      <c r="U127" s="417"/>
      <c r="V127" s="417"/>
      <c r="W127" s="417"/>
      <c r="X127" s="417"/>
      <c r="Y127" s="417"/>
      <c r="Z127" s="417"/>
      <c r="AA127" s="417"/>
      <c r="AB127" s="417"/>
      <c r="AC127" s="417"/>
    </row>
    <row r="128" spans="6:29" ht="16.5" customHeight="1">
      <c r="F128" s="417"/>
      <c r="G128" s="417"/>
      <c r="H128" s="417"/>
      <c r="I128" s="417"/>
      <c r="J128" s="417"/>
      <c r="K128" s="417"/>
      <c r="L128" s="417"/>
      <c r="M128" s="417"/>
      <c r="N128" s="417"/>
      <c r="O128" s="417"/>
      <c r="P128" s="417"/>
      <c r="Q128" s="417"/>
      <c r="R128" s="417"/>
      <c r="S128" s="417"/>
      <c r="T128" s="417"/>
      <c r="U128" s="417"/>
      <c r="V128" s="417"/>
      <c r="W128" s="417"/>
      <c r="X128" s="417"/>
      <c r="Y128" s="417"/>
      <c r="Z128" s="417"/>
      <c r="AA128" s="417"/>
      <c r="AB128" s="417"/>
      <c r="AC128" s="417"/>
    </row>
    <row r="129" spans="6:29" ht="16.5" customHeight="1">
      <c r="F129" s="417"/>
      <c r="G129" s="417"/>
      <c r="H129" s="417"/>
      <c r="I129" s="417"/>
      <c r="J129" s="417"/>
      <c r="K129" s="417"/>
      <c r="L129" s="417"/>
      <c r="M129" s="417"/>
      <c r="N129" s="417"/>
      <c r="O129" s="417"/>
      <c r="P129" s="417"/>
      <c r="Q129" s="417"/>
      <c r="R129" s="417"/>
      <c r="S129" s="417"/>
      <c r="T129" s="417"/>
      <c r="U129" s="417"/>
      <c r="V129" s="417"/>
      <c r="W129" s="417"/>
      <c r="X129" s="417"/>
      <c r="Y129" s="417"/>
      <c r="Z129" s="417"/>
      <c r="AA129" s="417"/>
      <c r="AB129" s="417"/>
      <c r="AC129" s="417"/>
    </row>
    <row r="130" spans="6:29" ht="16.5" customHeight="1">
      <c r="F130" s="417"/>
      <c r="G130" s="417"/>
      <c r="H130" s="417"/>
      <c r="I130" s="417"/>
      <c r="J130" s="417"/>
      <c r="K130" s="417"/>
      <c r="L130" s="417"/>
      <c r="M130" s="417"/>
      <c r="N130" s="417"/>
      <c r="O130" s="417"/>
      <c r="P130" s="417"/>
      <c r="Q130" s="417"/>
      <c r="R130" s="417"/>
      <c r="S130" s="417"/>
      <c r="T130" s="417"/>
      <c r="U130" s="417"/>
      <c r="V130" s="417"/>
      <c r="W130" s="417"/>
      <c r="X130" s="417"/>
      <c r="Y130" s="417"/>
      <c r="Z130" s="417"/>
      <c r="AA130" s="417"/>
      <c r="AB130" s="417"/>
      <c r="AC130" s="417"/>
    </row>
    <row r="131" spans="6:29" ht="16.5" customHeight="1">
      <c r="F131" s="417"/>
      <c r="G131" s="417"/>
      <c r="H131" s="417"/>
      <c r="I131" s="417"/>
      <c r="J131" s="417"/>
      <c r="K131" s="417"/>
      <c r="L131" s="417"/>
      <c r="M131" s="417"/>
      <c r="N131" s="417"/>
      <c r="O131" s="417"/>
      <c r="P131" s="417"/>
      <c r="Q131" s="417"/>
      <c r="R131" s="417"/>
      <c r="S131" s="417"/>
      <c r="T131" s="417"/>
      <c r="U131" s="417"/>
      <c r="V131" s="417"/>
      <c r="W131" s="417"/>
      <c r="X131" s="417"/>
      <c r="Y131" s="417"/>
      <c r="Z131" s="417"/>
      <c r="AA131" s="417"/>
      <c r="AB131" s="417"/>
      <c r="AC131" s="417"/>
    </row>
    <row r="132" spans="6:29" ht="16.5" customHeight="1">
      <c r="F132" s="417"/>
      <c r="G132" s="417"/>
      <c r="H132" s="417"/>
      <c r="I132" s="417"/>
      <c r="J132" s="417"/>
      <c r="K132" s="417"/>
      <c r="L132" s="417"/>
      <c r="M132" s="417"/>
      <c r="N132" s="417"/>
      <c r="O132" s="417"/>
      <c r="P132" s="417"/>
      <c r="Q132" s="417"/>
      <c r="R132" s="417"/>
      <c r="S132" s="417"/>
      <c r="T132" s="417"/>
      <c r="U132" s="417"/>
      <c r="V132" s="417"/>
      <c r="W132" s="417"/>
      <c r="X132" s="417"/>
      <c r="Y132" s="417"/>
      <c r="Z132" s="417"/>
      <c r="AA132" s="417"/>
      <c r="AB132" s="417"/>
      <c r="AC132" s="417"/>
    </row>
    <row r="133" spans="6:29" ht="16.5" customHeight="1">
      <c r="F133" s="417"/>
      <c r="G133" s="417"/>
      <c r="H133" s="417"/>
      <c r="I133" s="417"/>
      <c r="J133" s="417"/>
      <c r="K133" s="417"/>
      <c r="L133" s="417"/>
      <c r="M133" s="417"/>
      <c r="N133" s="417"/>
      <c r="O133" s="417"/>
      <c r="P133" s="417"/>
      <c r="Q133" s="417"/>
      <c r="R133" s="417"/>
      <c r="S133" s="417"/>
      <c r="T133" s="417"/>
      <c r="U133" s="417"/>
      <c r="V133" s="417"/>
      <c r="W133" s="417"/>
      <c r="X133" s="417"/>
      <c r="Y133" s="417"/>
      <c r="Z133" s="417"/>
      <c r="AA133" s="417"/>
      <c r="AB133" s="417"/>
      <c r="AC133" s="417"/>
    </row>
    <row r="134" spans="6:29" ht="16.5" customHeight="1">
      <c r="F134" s="417"/>
      <c r="G134" s="417"/>
      <c r="H134" s="417"/>
      <c r="I134" s="417"/>
      <c r="J134" s="417"/>
      <c r="K134" s="417"/>
      <c r="L134" s="417"/>
      <c r="M134" s="417"/>
      <c r="N134" s="417"/>
      <c r="O134" s="417"/>
      <c r="P134" s="417"/>
      <c r="Q134" s="417"/>
      <c r="R134" s="417"/>
      <c r="S134" s="417"/>
      <c r="T134" s="417"/>
      <c r="U134" s="417"/>
      <c r="V134" s="417"/>
      <c r="W134" s="417"/>
      <c r="X134" s="417"/>
      <c r="Y134" s="417"/>
      <c r="Z134" s="417"/>
      <c r="AA134" s="417"/>
      <c r="AB134" s="417"/>
      <c r="AC134" s="417"/>
    </row>
    <row r="135" spans="6:29" ht="16.5" customHeight="1">
      <c r="F135" s="417"/>
      <c r="G135" s="417"/>
      <c r="H135" s="417"/>
      <c r="I135" s="417"/>
      <c r="J135" s="417"/>
      <c r="K135" s="417"/>
      <c r="L135" s="417"/>
      <c r="M135" s="417"/>
      <c r="N135" s="417"/>
      <c r="O135" s="417"/>
      <c r="P135" s="417"/>
      <c r="Q135" s="417"/>
      <c r="R135" s="417"/>
      <c r="S135" s="417"/>
      <c r="T135" s="417"/>
      <c r="U135" s="417"/>
      <c r="V135" s="417"/>
      <c r="W135" s="417"/>
      <c r="X135" s="417"/>
      <c r="Y135" s="417"/>
      <c r="Z135" s="417"/>
      <c r="AA135" s="417"/>
      <c r="AB135" s="417"/>
      <c r="AC135" s="417"/>
    </row>
    <row r="136" spans="6:29" ht="16.5" customHeight="1">
      <c r="F136" s="417"/>
      <c r="G136" s="417"/>
      <c r="H136" s="417"/>
      <c r="I136" s="417"/>
      <c r="J136" s="417"/>
      <c r="K136" s="417"/>
      <c r="L136" s="417"/>
      <c r="M136" s="417"/>
      <c r="N136" s="417"/>
      <c r="O136" s="417"/>
      <c r="P136" s="417"/>
      <c r="Q136" s="417"/>
      <c r="R136" s="417"/>
      <c r="S136" s="417"/>
      <c r="T136" s="417"/>
      <c r="U136" s="417"/>
      <c r="V136" s="417"/>
      <c r="W136" s="417"/>
      <c r="X136" s="417"/>
      <c r="Y136" s="417"/>
      <c r="Z136" s="417"/>
      <c r="AA136" s="417"/>
      <c r="AB136" s="417"/>
      <c r="AC136" s="417"/>
    </row>
    <row r="137" spans="6:29" ht="16.5" customHeight="1">
      <c r="F137" s="417"/>
      <c r="G137" s="417"/>
      <c r="H137" s="417"/>
      <c r="I137" s="417"/>
      <c r="J137" s="417"/>
      <c r="K137" s="417"/>
      <c r="L137" s="417"/>
      <c r="M137" s="417"/>
      <c r="N137" s="417"/>
      <c r="O137" s="417"/>
      <c r="P137" s="417"/>
      <c r="Q137" s="417"/>
      <c r="R137" s="417"/>
      <c r="S137" s="417"/>
      <c r="T137" s="417"/>
      <c r="U137" s="417"/>
      <c r="V137" s="417"/>
      <c r="W137" s="417"/>
      <c r="X137" s="417"/>
      <c r="Y137" s="417"/>
      <c r="Z137" s="417"/>
      <c r="AA137" s="417"/>
      <c r="AB137" s="417"/>
      <c r="AC137" s="417"/>
    </row>
    <row r="138" spans="6:29" ht="16.5" customHeight="1">
      <c r="F138" s="417"/>
      <c r="G138" s="417"/>
      <c r="H138" s="417"/>
      <c r="I138" s="417"/>
      <c r="J138" s="417"/>
      <c r="K138" s="417"/>
      <c r="L138" s="417"/>
      <c r="M138" s="417"/>
      <c r="N138" s="417"/>
      <c r="O138" s="417"/>
      <c r="P138" s="417"/>
      <c r="Q138" s="417"/>
      <c r="R138" s="417"/>
      <c r="S138" s="417"/>
      <c r="T138" s="417"/>
      <c r="U138" s="417"/>
      <c r="V138" s="417"/>
      <c r="W138" s="417"/>
      <c r="X138" s="417"/>
      <c r="Y138" s="417"/>
      <c r="Z138" s="417"/>
      <c r="AA138" s="417"/>
      <c r="AB138" s="417"/>
      <c r="AC138" s="417"/>
    </row>
    <row r="139" spans="6:29" ht="16.5" customHeight="1">
      <c r="F139" s="417"/>
      <c r="G139" s="417"/>
      <c r="H139" s="417"/>
      <c r="I139" s="417"/>
      <c r="J139" s="417"/>
      <c r="K139" s="417"/>
      <c r="L139" s="417"/>
      <c r="M139" s="417"/>
      <c r="N139" s="417"/>
      <c r="O139" s="417"/>
      <c r="P139" s="417"/>
      <c r="Q139" s="417"/>
      <c r="R139" s="417"/>
      <c r="S139" s="417"/>
      <c r="T139" s="417"/>
      <c r="U139" s="417"/>
      <c r="V139" s="417"/>
      <c r="W139" s="417"/>
      <c r="X139" s="417"/>
      <c r="Y139" s="417"/>
      <c r="Z139" s="417"/>
      <c r="AA139" s="417"/>
      <c r="AB139" s="417"/>
      <c r="AC139" s="417"/>
    </row>
    <row r="140" spans="6:29" ht="16.5" customHeight="1">
      <c r="F140" s="417"/>
      <c r="G140" s="417"/>
      <c r="H140" s="417"/>
      <c r="I140" s="417"/>
      <c r="J140" s="417"/>
      <c r="K140" s="417"/>
      <c r="L140" s="417"/>
      <c r="M140" s="417"/>
      <c r="N140" s="417"/>
      <c r="O140" s="417"/>
      <c r="P140" s="417"/>
      <c r="Q140" s="417"/>
      <c r="R140" s="417"/>
      <c r="S140" s="417"/>
      <c r="T140" s="417"/>
      <c r="U140" s="417"/>
      <c r="V140" s="417"/>
      <c r="W140" s="417"/>
      <c r="X140" s="417"/>
      <c r="Y140" s="417"/>
      <c r="Z140" s="417"/>
      <c r="AA140" s="417"/>
      <c r="AB140" s="417"/>
      <c r="AC140" s="417"/>
    </row>
    <row r="141" spans="6:29" ht="16.5" customHeight="1">
      <c r="F141" s="417"/>
      <c r="G141" s="417"/>
      <c r="H141" s="417"/>
      <c r="I141" s="417"/>
      <c r="J141" s="417"/>
      <c r="K141" s="417"/>
      <c r="L141" s="417"/>
      <c r="M141" s="417"/>
      <c r="N141" s="417"/>
      <c r="O141" s="417"/>
      <c r="P141" s="417"/>
      <c r="Q141" s="417"/>
      <c r="R141" s="417"/>
      <c r="S141" s="417"/>
      <c r="T141" s="417"/>
      <c r="U141" s="417"/>
      <c r="V141" s="417"/>
      <c r="W141" s="417"/>
      <c r="X141" s="417"/>
      <c r="Y141" s="417"/>
      <c r="Z141" s="417"/>
      <c r="AA141" s="417"/>
      <c r="AB141" s="417"/>
      <c r="AC141" s="417"/>
    </row>
    <row r="142" spans="6:29" ht="16.5" customHeight="1">
      <c r="F142" s="417"/>
      <c r="G142" s="417"/>
      <c r="H142" s="417"/>
      <c r="I142" s="417"/>
      <c r="J142" s="417"/>
      <c r="K142" s="417"/>
      <c r="L142" s="417"/>
      <c r="M142" s="417"/>
      <c r="N142" s="417"/>
      <c r="O142" s="417"/>
      <c r="P142" s="417"/>
      <c r="Q142" s="417"/>
      <c r="R142" s="417"/>
      <c r="S142" s="417"/>
      <c r="T142" s="417"/>
      <c r="U142" s="417"/>
      <c r="V142" s="417"/>
      <c r="W142" s="417"/>
      <c r="X142" s="417"/>
      <c r="Y142" s="417"/>
      <c r="Z142" s="417"/>
      <c r="AA142" s="417"/>
      <c r="AB142" s="417"/>
      <c r="AC142" s="417"/>
    </row>
    <row r="143" spans="6:29" ht="16.5" customHeight="1">
      <c r="F143" s="417"/>
      <c r="G143" s="417"/>
      <c r="H143" s="417"/>
      <c r="I143" s="417"/>
      <c r="J143" s="417"/>
      <c r="K143" s="417"/>
      <c r="L143" s="417"/>
      <c r="M143" s="417"/>
      <c r="N143" s="417"/>
      <c r="O143" s="417"/>
      <c r="P143" s="417"/>
      <c r="Q143" s="417"/>
      <c r="R143" s="417"/>
      <c r="S143" s="417"/>
      <c r="T143" s="417"/>
      <c r="U143" s="417"/>
      <c r="V143" s="417"/>
      <c r="W143" s="417"/>
      <c r="X143" s="417"/>
      <c r="Y143" s="417"/>
      <c r="Z143" s="417"/>
      <c r="AA143" s="417"/>
      <c r="AB143" s="417"/>
      <c r="AC143" s="417"/>
    </row>
    <row r="144" spans="6:29" ht="16.5" customHeight="1">
      <c r="F144" s="417"/>
      <c r="G144" s="417"/>
      <c r="H144" s="417"/>
      <c r="I144" s="417"/>
      <c r="J144" s="417"/>
      <c r="K144" s="417"/>
      <c r="L144" s="417"/>
      <c r="M144" s="417"/>
      <c r="N144" s="417"/>
      <c r="O144" s="417"/>
      <c r="P144" s="417"/>
      <c r="Q144" s="417"/>
      <c r="R144" s="417"/>
      <c r="S144" s="417"/>
      <c r="T144" s="417"/>
      <c r="U144" s="417"/>
      <c r="V144" s="417"/>
      <c r="W144" s="417"/>
      <c r="X144" s="417"/>
      <c r="Y144" s="417"/>
      <c r="Z144" s="417"/>
      <c r="AA144" s="417"/>
      <c r="AB144" s="417"/>
      <c r="AC144" s="417"/>
    </row>
    <row r="145" spans="6:29" ht="16.5" customHeight="1">
      <c r="F145" s="417"/>
      <c r="G145" s="417"/>
      <c r="H145" s="417"/>
      <c r="I145" s="417"/>
      <c r="J145" s="417"/>
      <c r="K145" s="417"/>
      <c r="L145" s="417"/>
      <c r="M145" s="417"/>
      <c r="N145" s="417"/>
      <c r="O145" s="417"/>
      <c r="P145" s="417"/>
      <c r="Q145" s="417"/>
      <c r="R145" s="417"/>
      <c r="S145" s="417"/>
      <c r="T145" s="417"/>
      <c r="U145" s="417"/>
      <c r="V145" s="417"/>
      <c r="W145" s="417"/>
      <c r="X145" s="417"/>
      <c r="Y145" s="417"/>
      <c r="Z145" s="417"/>
      <c r="AA145" s="417"/>
      <c r="AB145" s="417"/>
      <c r="AC145" s="417"/>
    </row>
    <row r="146" spans="6:29" ht="16.5" customHeight="1">
      <c r="F146" s="417"/>
      <c r="G146" s="417"/>
      <c r="H146" s="417"/>
      <c r="I146" s="417"/>
      <c r="J146" s="417"/>
      <c r="K146" s="417"/>
      <c r="L146" s="417"/>
      <c r="M146" s="417"/>
      <c r="N146" s="417"/>
      <c r="O146" s="417"/>
      <c r="P146" s="417"/>
      <c r="Q146" s="417"/>
      <c r="R146" s="417"/>
      <c r="S146" s="417"/>
      <c r="T146" s="417"/>
      <c r="U146" s="417"/>
      <c r="V146" s="417"/>
      <c r="W146" s="417"/>
      <c r="X146" s="417"/>
      <c r="Y146" s="417"/>
      <c r="Z146" s="417"/>
      <c r="AA146" s="417"/>
      <c r="AB146" s="417"/>
      <c r="AC146" s="417"/>
    </row>
    <row r="147" spans="6:29" ht="16.5" customHeight="1">
      <c r="F147" s="417"/>
      <c r="G147" s="417"/>
      <c r="H147" s="417"/>
      <c r="I147" s="417"/>
      <c r="J147" s="417"/>
      <c r="K147" s="417"/>
      <c r="L147" s="417"/>
      <c r="M147" s="417"/>
      <c r="N147" s="417"/>
      <c r="O147" s="417"/>
      <c r="P147" s="417"/>
      <c r="Q147" s="417"/>
      <c r="R147" s="417"/>
      <c r="S147" s="417"/>
      <c r="T147" s="417"/>
      <c r="U147" s="417"/>
      <c r="V147" s="417"/>
      <c r="W147" s="417"/>
      <c r="X147" s="417"/>
      <c r="Y147" s="417"/>
      <c r="Z147" s="417"/>
      <c r="AA147" s="417"/>
      <c r="AB147" s="417"/>
      <c r="AC147" s="417"/>
    </row>
    <row r="148" spans="6:29" ht="16.5" customHeight="1">
      <c r="F148" s="417"/>
      <c r="G148" s="417"/>
      <c r="H148" s="417"/>
      <c r="I148" s="417"/>
      <c r="J148" s="417"/>
      <c r="K148" s="417"/>
      <c r="L148" s="417"/>
      <c r="M148" s="417"/>
      <c r="N148" s="417"/>
      <c r="O148" s="417"/>
      <c r="P148" s="417"/>
      <c r="Q148" s="417"/>
      <c r="R148" s="417"/>
      <c r="S148" s="417"/>
      <c r="T148" s="417"/>
      <c r="U148" s="417"/>
      <c r="V148" s="417"/>
      <c r="W148" s="417"/>
      <c r="X148" s="417"/>
      <c r="Y148" s="417"/>
      <c r="Z148" s="417"/>
      <c r="AA148" s="417"/>
      <c r="AB148" s="417"/>
      <c r="AC148" s="417"/>
    </row>
    <row r="149" spans="6:29" ht="16.5" customHeight="1">
      <c r="F149" s="417"/>
      <c r="G149" s="417"/>
      <c r="H149" s="417"/>
      <c r="I149" s="417"/>
      <c r="J149" s="417"/>
      <c r="K149" s="417"/>
      <c r="L149" s="417"/>
      <c r="M149" s="417"/>
      <c r="N149" s="417"/>
      <c r="O149" s="417"/>
      <c r="P149" s="417"/>
      <c r="Q149" s="417"/>
      <c r="R149" s="417"/>
      <c r="S149" s="417"/>
      <c r="T149" s="417"/>
      <c r="U149" s="417"/>
      <c r="V149" s="417"/>
      <c r="W149" s="417"/>
      <c r="X149" s="417"/>
      <c r="Y149" s="417"/>
      <c r="Z149" s="417"/>
      <c r="AA149" s="417"/>
      <c r="AB149" s="417"/>
      <c r="AC149" s="417"/>
    </row>
    <row r="150" spans="6:29" ht="16.5" customHeight="1">
      <c r="F150" s="417"/>
      <c r="G150" s="417"/>
      <c r="H150" s="417"/>
      <c r="I150" s="417"/>
      <c r="J150" s="417"/>
      <c r="K150" s="417"/>
      <c r="L150" s="417"/>
      <c r="M150" s="417"/>
      <c r="N150" s="417"/>
      <c r="O150" s="417"/>
      <c r="P150" s="417"/>
      <c r="Q150" s="417"/>
      <c r="R150" s="417"/>
      <c r="S150" s="417"/>
      <c r="T150" s="417"/>
      <c r="U150" s="417"/>
      <c r="V150" s="417"/>
      <c r="W150" s="417"/>
      <c r="X150" s="417"/>
      <c r="Y150" s="417"/>
      <c r="Z150" s="417"/>
      <c r="AA150" s="417"/>
      <c r="AB150" s="417"/>
      <c r="AC150" s="417"/>
    </row>
    <row r="151" spans="6:29" ht="16.5" customHeight="1">
      <c r="F151" s="417"/>
      <c r="G151" s="417"/>
      <c r="H151" s="417"/>
      <c r="I151" s="417"/>
      <c r="J151" s="417"/>
      <c r="K151" s="417"/>
      <c r="L151" s="417"/>
      <c r="M151" s="417"/>
      <c r="N151" s="417"/>
      <c r="O151" s="417"/>
      <c r="P151" s="417"/>
      <c r="Q151" s="417"/>
      <c r="R151" s="417"/>
      <c r="S151" s="417"/>
      <c r="T151" s="417"/>
      <c r="U151" s="417"/>
      <c r="V151" s="417"/>
      <c r="W151" s="417"/>
      <c r="X151" s="417"/>
      <c r="Y151" s="417"/>
      <c r="Z151" s="417"/>
      <c r="AA151" s="417"/>
      <c r="AB151" s="417"/>
      <c r="AC151" s="417"/>
    </row>
    <row r="152" spans="6:29" ht="16.5" customHeight="1">
      <c r="F152" s="417"/>
      <c r="G152" s="417"/>
      <c r="H152" s="417"/>
      <c r="I152" s="417"/>
      <c r="J152" s="417"/>
      <c r="K152" s="417"/>
      <c r="L152" s="417"/>
      <c r="M152" s="417"/>
      <c r="N152" s="417"/>
      <c r="O152" s="417"/>
      <c r="P152" s="417"/>
      <c r="Q152" s="417"/>
      <c r="R152" s="417"/>
      <c r="S152" s="417"/>
      <c r="T152" s="417"/>
      <c r="U152" s="417"/>
      <c r="V152" s="417"/>
      <c r="W152" s="417"/>
      <c r="X152" s="417"/>
      <c r="Y152" s="417"/>
      <c r="Z152" s="417"/>
      <c r="AA152" s="417"/>
      <c r="AB152" s="417"/>
      <c r="AC152" s="417"/>
    </row>
    <row r="153" spans="6:29" ht="16.5" customHeight="1">
      <c r="F153" s="417"/>
      <c r="G153" s="417"/>
      <c r="H153" s="417"/>
      <c r="I153" s="417"/>
      <c r="J153" s="417"/>
      <c r="K153" s="417"/>
      <c r="L153" s="417"/>
      <c r="M153" s="417"/>
      <c r="N153" s="417"/>
      <c r="O153" s="417"/>
      <c r="P153" s="417"/>
      <c r="Q153" s="417"/>
      <c r="R153" s="417"/>
      <c r="S153" s="417"/>
      <c r="T153" s="417"/>
      <c r="U153" s="417"/>
      <c r="V153" s="417"/>
      <c r="W153" s="417"/>
      <c r="X153" s="417"/>
      <c r="Y153" s="417"/>
      <c r="Z153" s="417"/>
      <c r="AA153" s="417"/>
      <c r="AB153" s="417"/>
      <c r="AC153" s="417"/>
    </row>
    <row r="154" spans="6:29" ht="16.5" customHeight="1">
      <c r="F154" s="417"/>
      <c r="G154" s="417"/>
      <c r="H154" s="417"/>
      <c r="AB154" s="417"/>
      <c r="AC154" s="417"/>
    </row>
    <row r="155" spans="6:8" ht="16.5" customHeight="1">
      <c r="F155" s="417"/>
      <c r="G155" s="417"/>
      <c r="H155" s="417"/>
    </row>
    <row r="156" spans="6:8" ht="16.5" customHeight="1">
      <c r="F156" s="417"/>
      <c r="G156" s="417"/>
      <c r="H156" s="417"/>
    </row>
    <row r="157" spans="6:8" ht="16.5" customHeight="1">
      <c r="F157" s="417"/>
      <c r="G157" s="417"/>
      <c r="H157" s="417"/>
    </row>
    <row r="158" spans="6:8" ht="16.5" customHeight="1">
      <c r="F158" s="417"/>
      <c r="G158" s="417"/>
      <c r="H158" s="417"/>
    </row>
    <row r="159" spans="6:8" ht="16.5" customHeight="1">
      <c r="F159" s="417"/>
      <c r="G159" s="417"/>
      <c r="H159" s="417"/>
    </row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Roman,Normal"&amp;8&amp;F-&amp;A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9">
    <pageSetUpPr fitToPage="1"/>
  </sheetPr>
  <dimension ref="A1:AF45"/>
  <sheetViews>
    <sheetView zoomScale="70" zoomScaleNormal="70" zoomScalePageLayoutView="0" workbookViewId="0" topLeftCell="C1">
      <selection activeCell="N51" sqref="N51"/>
    </sheetView>
  </sheetViews>
  <sheetFormatPr defaultColWidth="11.421875" defaultRowHeight="12.75"/>
  <cols>
    <col min="1" max="2" width="4.140625" style="9" customWidth="1"/>
    <col min="3" max="3" width="5.57421875" style="9" customWidth="1"/>
    <col min="4" max="5" width="13.57421875" style="9" customWidth="1"/>
    <col min="6" max="6" width="45.7109375" style="9" customWidth="1"/>
    <col min="7" max="8" width="9.7109375" style="9" customWidth="1"/>
    <col min="9" max="9" width="3.8515625" style="9" customWidth="1"/>
    <col min="10" max="10" width="3.140625" style="9" hidden="1" customWidth="1"/>
    <col min="11" max="11" width="6.00390625" style="9" hidden="1" customWidth="1"/>
    <col min="12" max="13" width="15.7109375" style="9" customWidth="1"/>
    <col min="14" max="16" width="9.7109375" style="9" customWidth="1"/>
    <col min="17" max="17" width="8.7109375" style="9" customWidth="1"/>
    <col min="18" max="18" width="5.421875" style="9" customWidth="1"/>
    <col min="19" max="19" width="6.00390625" style="9" customWidth="1"/>
    <col min="20" max="21" width="12.28125" style="9" hidden="1" customWidth="1"/>
    <col min="22" max="27" width="5.7109375" style="9" hidden="1" customWidth="1"/>
    <col min="28" max="28" width="12.28125" style="9" hidden="1" customWidth="1"/>
    <col min="29" max="29" width="13.421875" style="9" hidden="1" customWidth="1"/>
    <col min="30" max="30" width="9.7109375" style="9" customWidth="1"/>
    <col min="31" max="31" width="15.7109375" style="9" customWidth="1"/>
    <col min="32" max="32" width="4.140625" style="9" customWidth="1"/>
    <col min="33" max="33" width="30.421875" style="9" customWidth="1"/>
    <col min="34" max="34" width="3.140625" style="9" customWidth="1"/>
    <col min="35" max="35" width="3.57421875" style="9" customWidth="1"/>
    <col min="36" max="36" width="24.28125" style="9" customWidth="1"/>
    <col min="37" max="37" width="4.7109375" style="9" customWidth="1"/>
    <col min="38" max="38" width="7.57421875" style="9" customWidth="1"/>
    <col min="39" max="40" width="4.140625" style="9" customWidth="1"/>
    <col min="41" max="41" width="7.140625" style="9" customWidth="1"/>
    <col min="42" max="42" width="5.28125" style="9" customWidth="1"/>
    <col min="43" max="43" width="5.421875" style="9" customWidth="1"/>
    <col min="44" max="44" width="4.7109375" style="9" customWidth="1"/>
    <col min="45" max="45" width="5.28125" style="9" customWidth="1"/>
    <col min="46" max="47" width="13.28125" style="9" customWidth="1"/>
    <col min="48" max="48" width="6.57421875" style="9" customWidth="1"/>
    <col min="49" max="49" width="6.421875" style="9" customWidth="1"/>
    <col min="50" max="53" width="11.421875" style="9" customWidth="1"/>
    <col min="54" max="54" width="12.7109375" style="9" customWidth="1"/>
    <col min="55" max="57" width="11.421875" style="9" customWidth="1"/>
    <col min="58" max="58" width="21.00390625" style="9" customWidth="1"/>
    <col min="59" max="16384" width="11.421875" style="9" customWidth="1"/>
  </cols>
  <sheetData>
    <row r="1" spans="1:32" s="3" customFormat="1" ht="26.25">
      <c r="A1" s="9"/>
      <c r="E1" s="9"/>
      <c r="G1" s="9"/>
      <c r="I1" s="9"/>
      <c r="K1" s="9"/>
      <c r="M1" s="9"/>
      <c r="O1" s="9"/>
      <c r="Q1" s="9"/>
      <c r="S1" s="9"/>
      <c r="U1" s="9"/>
      <c r="W1" s="9"/>
      <c r="Y1" s="9"/>
      <c r="AA1" s="9"/>
      <c r="AF1" s="5"/>
    </row>
    <row r="2" spans="1:32" s="3" customFormat="1" ht="26.25">
      <c r="A2" s="88"/>
      <c r="B2" s="2" t="str">
        <f>+'TOT-0912'!B2</f>
        <v>ANEXO IV al Memorándum  D.T.E.E.  N° 295 / 2014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8" customFormat="1" ht="12.75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32" s="8" customFormat="1" ht="13.5" thickTop="1">
      <c r="B7" s="91"/>
      <c r="C7" s="92"/>
      <c r="D7" s="92"/>
      <c r="E7" s="92"/>
      <c r="F7" s="92"/>
      <c r="G7" s="93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4"/>
    </row>
    <row r="8" spans="2:32" s="18" customFormat="1" ht="20.25">
      <c r="B8" s="95"/>
      <c r="C8" s="23"/>
      <c r="D8" s="23"/>
      <c r="E8" s="23"/>
      <c r="F8" s="96" t="s">
        <v>23</v>
      </c>
      <c r="G8" s="23"/>
      <c r="H8" s="23"/>
      <c r="I8" s="23"/>
      <c r="J8" s="23"/>
      <c r="P8" s="23"/>
      <c r="Q8" s="23"/>
      <c r="R8" s="97"/>
      <c r="S8" s="97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98"/>
    </row>
    <row r="9" spans="2:32" s="8" customFormat="1" ht="12.75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99"/>
    </row>
    <row r="10" spans="2:32" s="18" customFormat="1" ht="20.25">
      <c r="B10" s="95"/>
      <c r="C10" s="23"/>
      <c r="D10" s="23"/>
      <c r="E10" s="23"/>
      <c r="F10" s="97" t="s">
        <v>24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98"/>
    </row>
    <row r="11" spans="2:32" s="8" customFormat="1" ht="12.75">
      <c r="B11" s="55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99"/>
    </row>
    <row r="12" spans="2:32" s="18" customFormat="1" ht="20.25">
      <c r="B12" s="95"/>
      <c r="C12" s="23"/>
      <c r="D12" s="23"/>
      <c r="E12" s="23"/>
      <c r="F12" s="97" t="s">
        <v>25</v>
      </c>
      <c r="G12" s="23"/>
      <c r="H12" s="23"/>
      <c r="I12" s="23"/>
      <c r="K12" s="23"/>
      <c r="L12" s="23"/>
      <c r="M12" s="23"/>
      <c r="N12" s="23"/>
      <c r="O12" s="23"/>
      <c r="P12" s="23"/>
      <c r="Q12" s="23"/>
      <c r="R12" s="97"/>
      <c r="S12" s="97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98"/>
    </row>
    <row r="13" spans="2:32" s="8" customFormat="1" ht="12.75">
      <c r="B13" s="55"/>
      <c r="C13" s="11"/>
      <c r="D13" s="11"/>
      <c r="E13" s="11"/>
      <c r="F13" s="11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99"/>
    </row>
    <row r="14" spans="2:32" s="34" customFormat="1" ht="19.5">
      <c r="B14" s="35" t="str">
        <f>'TOT-0912'!B14</f>
        <v>Desde el 01 al 30 de septiembre de 2012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101"/>
      <c r="Q14" s="101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102"/>
    </row>
    <row r="15" spans="2:32" s="8" customFormat="1" ht="16.5" customHeight="1" thickBot="1">
      <c r="B15" s="55"/>
      <c r="C15" s="11"/>
      <c r="D15" s="11"/>
      <c r="E15" s="11"/>
      <c r="F15" s="11"/>
      <c r="G15" s="85"/>
      <c r="H15" s="85"/>
      <c r="I15" s="11"/>
      <c r="J15" s="11"/>
      <c r="K15" s="11"/>
      <c r="L15" s="103"/>
      <c r="M15" s="11"/>
      <c r="N15" s="11"/>
      <c r="O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99"/>
    </row>
    <row r="16" spans="2:32" s="8" customFormat="1" ht="16.5" customHeight="1" thickBot="1" thickTop="1">
      <c r="B16" s="55"/>
      <c r="C16" s="11"/>
      <c r="D16" s="11"/>
      <c r="E16" s="11"/>
      <c r="F16" s="104" t="s">
        <v>26</v>
      </c>
      <c r="G16" s="105">
        <v>253.422</v>
      </c>
      <c r="H16" s="106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99"/>
    </row>
    <row r="17" spans="2:32" s="8" customFormat="1" ht="16.5" customHeight="1" thickBot="1" thickTop="1">
      <c r="B17" s="55"/>
      <c r="C17" s="11"/>
      <c r="D17" s="11"/>
      <c r="E17" s="11"/>
      <c r="F17" s="104" t="s">
        <v>27</v>
      </c>
      <c r="G17" s="105">
        <v>211.19</v>
      </c>
      <c r="H17" s="106"/>
      <c r="I17" s="11"/>
      <c r="J17" s="11"/>
      <c r="K17" s="11"/>
      <c r="L17" s="107"/>
      <c r="M17" s="108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09"/>
      <c r="Y17" s="109"/>
      <c r="Z17" s="109"/>
      <c r="AA17" s="109"/>
      <c r="AB17" s="109"/>
      <c r="AC17" s="109"/>
      <c r="AD17" s="109"/>
      <c r="AF17" s="99"/>
    </row>
    <row r="18" spans="2:32" s="8" customFormat="1" ht="16.5" customHeight="1" thickBot="1" thickTop="1">
      <c r="B18" s="55"/>
      <c r="C18" s="110">
        <v>3</v>
      </c>
      <c r="D18" s="110">
        <v>4</v>
      </c>
      <c r="E18" s="110">
        <v>5</v>
      </c>
      <c r="F18" s="110">
        <v>6</v>
      </c>
      <c r="G18" s="110">
        <v>7</v>
      </c>
      <c r="H18" s="110">
        <v>8</v>
      </c>
      <c r="I18" s="110">
        <v>9</v>
      </c>
      <c r="J18" s="110">
        <v>10</v>
      </c>
      <c r="K18" s="110">
        <v>11</v>
      </c>
      <c r="L18" s="110">
        <v>12</v>
      </c>
      <c r="M18" s="110">
        <v>13</v>
      </c>
      <c r="N18" s="110">
        <v>14</v>
      </c>
      <c r="O18" s="110">
        <v>15</v>
      </c>
      <c r="P18" s="110">
        <v>16</v>
      </c>
      <c r="Q18" s="110">
        <v>17</v>
      </c>
      <c r="R18" s="110">
        <v>18</v>
      </c>
      <c r="S18" s="110">
        <v>19</v>
      </c>
      <c r="T18" s="110">
        <v>20</v>
      </c>
      <c r="U18" s="110">
        <v>21</v>
      </c>
      <c r="V18" s="110">
        <v>22</v>
      </c>
      <c r="W18" s="110">
        <v>23</v>
      </c>
      <c r="X18" s="110">
        <v>24</v>
      </c>
      <c r="Y18" s="110">
        <v>25</v>
      </c>
      <c r="Z18" s="110">
        <v>26</v>
      </c>
      <c r="AA18" s="110">
        <v>27</v>
      </c>
      <c r="AB18" s="110">
        <v>28</v>
      </c>
      <c r="AC18" s="110">
        <v>29</v>
      </c>
      <c r="AD18" s="110">
        <v>30</v>
      </c>
      <c r="AE18" s="110">
        <v>31</v>
      </c>
      <c r="AF18" s="99"/>
    </row>
    <row r="19" spans="2:32" s="8" customFormat="1" ht="33.75" customHeight="1" thickBot="1" thickTop="1">
      <c r="B19" s="55"/>
      <c r="C19" s="111" t="s">
        <v>28</v>
      </c>
      <c r="D19" s="111" t="s">
        <v>29</v>
      </c>
      <c r="E19" s="111" t="s">
        <v>30</v>
      </c>
      <c r="F19" s="112" t="s">
        <v>5</v>
      </c>
      <c r="G19" s="113" t="s">
        <v>31</v>
      </c>
      <c r="H19" s="114" t="s">
        <v>32</v>
      </c>
      <c r="I19" s="115" t="s">
        <v>33</v>
      </c>
      <c r="J19" s="116" t="s">
        <v>34</v>
      </c>
      <c r="K19" s="117" t="s">
        <v>35</v>
      </c>
      <c r="L19" s="112" t="s">
        <v>36</v>
      </c>
      <c r="M19" s="118" t="s">
        <v>37</v>
      </c>
      <c r="N19" s="119" t="s">
        <v>38</v>
      </c>
      <c r="O19" s="114" t="s">
        <v>39</v>
      </c>
      <c r="P19" s="119" t="s">
        <v>254</v>
      </c>
      <c r="Q19" s="114" t="s">
        <v>40</v>
      </c>
      <c r="R19" s="118" t="s">
        <v>41</v>
      </c>
      <c r="S19" s="112" t="s">
        <v>42</v>
      </c>
      <c r="T19" s="120" t="s">
        <v>43</v>
      </c>
      <c r="U19" s="121" t="s">
        <v>44</v>
      </c>
      <c r="V19" s="122" t="s">
        <v>45</v>
      </c>
      <c r="W19" s="123"/>
      <c r="X19" s="124"/>
      <c r="Y19" s="125" t="s">
        <v>46</v>
      </c>
      <c r="Z19" s="126"/>
      <c r="AA19" s="127"/>
      <c r="AB19" s="128" t="s">
        <v>47</v>
      </c>
      <c r="AC19" s="129" t="s">
        <v>48</v>
      </c>
      <c r="AD19" s="130" t="s">
        <v>49</v>
      </c>
      <c r="AE19" s="130" t="s">
        <v>50</v>
      </c>
      <c r="AF19" s="131"/>
    </row>
    <row r="20" spans="2:32" s="8" customFormat="1" ht="16.5" customHeight="1" thickTop="1">
      <c r="B20" s="55"/>
      <c r="C20" s="132"/>
      <c r="D20" s="132"/>
      <c r="E20" s="132"/>
      <c r="F20" s="133"/>
      <c r="G20" s="133"/>
      <c r="H20" s="134"/>
      <c r="I20" s="135"/>
      <c r="J20" s="136"/>
      <c r="K20" s="137"/>
      <c r="L20" s="138"/>
      <c r="M20" s="138"/>
      <c r="N20" s="135"/>
      <c r="O20" s="135"/>
      <c r="P20" s="135"/>
      <c r="Q20" s="135"/>
      <c r="R20" s="135"/>
      <c r="S20" s="135"/>
      <c r="T20" s="139"/>
      <c r="U20" s="140"/>
      <c r="V20" s="141"/>
      <c r="W20" s="142"/>
      <c r="X20" s="143"/>
      <c r="Y20" s="144"/>
      <c r="Z20" s="145"/>
      <c r="AA20" s="146"/>
      <c r="AB20" s="147"/>
      <c r="AC20" s="148"/>
      <c r="AD20" s="135"/>
      <c r="AE20" s="149"/>
      <c r="AF20" s="99"/>
    </row>
    <row r="21" spans="2:32" s="8" customFormat="1" ht="16.5" customHeight="1">
      <c r="B21" s="55"/>
      <c r="C21" s="150"/>
      <c r="D21" s="150"/>
      <c r="E21" s="150"/>
      <c r="F21" s="151"/>
      <c r="G21" s="152"/>
      <c r="H21" s="153"/>
      <c r="I21" s="151"/>
      <c r="J21" s="154"/>
      <c r="K21" s="155"/>
      <c r="L21" s="156"/>
      <c r="M21" s="109"/>
      <c r="N21" s="151"/>
      <c r="O21" s="151"/>
      <c r="P21" s="157"/>
      <c r="Q21" s="151"/>
      <c r="R21" s="151"/>
      <c r="S21" s="151"/>
      <c r="T21" s="158"/>
      <c r="U21" s="159"/>
      <c r="V21" s="160"/>
      <c r="W21" s="161"/>
      <c r="X21" s="162"/>
      <c r="Y21" s="163"/>
      <c r="Z21" s="164"/>
      <c r="AA21" s="165"/>
      <c r="AB21" s="166"/>
      <c r="AC21" s="167"/>
      <c r="AD21" s="151"/>
      <c r="AE21" s="168"/>
      <c r="AF21" s="99"/>
    </row>
    <row r="22" spans="2:32" s="8" customFormat="1" ht="16.5" customHeight="1">
      <c r="B22" s="55"/>
      <c r="C22" s="169">
        <v>1</v>
      </c>
      <c r="D22" s="169">
        <v>250982</v>
      </c>
      <c r="E22" s="169">
        <v>2</v>
      </c>
      <c r="F22" s="169" t="s">
        <v>257</v>
      </c>
      <c r="G22" s="170">
        <v>500</v>
      </c>
      <c r="H22" s="171">
        <v>58</v>
      </c>
      <c r="I22" s="170" t="s">
        <v>258</v>
      </c>
      <c r="J22" s="172">
        <f aca="true" t="shared" si="0" ref="J22:J41">IF(I22="A",200,IF(I22="B",60,20))</f>
        <v>20</v>
      </c>
      <c r="K22" s="173">
        <f aca="true" t="shared" si="1" ref="K22:K41">IF(G22=500,IF(H22&lt;100,100*$G$16/100,H22*$G$16/100),IF(H22&lt;100,100*$G$17/100,H22*$G$17/100))</f>
        <v>253.422</v>
      </c>
      <c r="L22" s="174">
        <v>41153.180555555555</v>
      </c>
      <c r="M22" s="175">
        <v>41154.60277777778</v>
      </c>
      <c r="N22" s="176">
        <f aca="true" t="shared" si="2" ref="N22:N41">IF(F22="","",(M22-L22)*24)</f>
        <v>34.1333333333605</v>
      </c>
      <c r="O22" s="177">
        <f aca="true" t="shared" si="3" ref="O22:O41">IF(F22="","",ROUND((M22-L22)*24*60,0))</f>
        <v>2048</v>
      </c>
      <c r="P22" s="178" t="s">
        <v>259</v>
      </c>
      <c r="Q22" s="179" t="str">
        <f aca="true" t="shared" si="4" ref="Q22:Q41">IF(F22="","","--")</f>
        <v>--</v>
      </c>
      <c r="R22" s="180" t="str">
        <f aca="true" t="shared" si="5" ref="R22:R41">IF(F22="","","NO")</f>
        <v>NO</v>
      </c>
      <c r="S22" s="180" t="str">
        <f aca="true" t="shared" si="6" ref="S22:S41">IF(F22="","",IF(OR(P22="P",P22="RP"),"--","NO"))</f>
        <v>--</v>
      </c>
      <c r="T22" s="181">
        <f aca="true" t="shared" si="7" ref="T22:T41">IF(P22="P",K22*J22*ROUND(O22/60,2)*0.01,"--")</f>
        <v>1729.858572</v>
      </c>
      <c r="U22" s="182" t="str">
        <f aca="true" t="shared" si="8" ref="U22:U41">IF(P22="RP",K22*J22*ROUND(O22/60,2)*0.01*Q22/100,"--")</f>
        <v>--</v>
      </c>
      <c r="V22" s="183" t="str">
        <f aca="true" t="shared" si="9" ref="V22:V41">IF(AND(P22="F",S22="NO"),K22*J22*IF(R22="SI",1.2,1),"--")</f>
        <v>--</v>
      </c>
      <c r="W22" s="184" t="str">
        <f aca="true" t="shared" si="10" ref="W22:W41">IF(AND(P22="F",O22&gt;=10),K22*J22*IF(R22="SI",1.2,1)*IF(O22&lt;=300,ROUND(O22/60,2),5),"--")</f>
        <v>--</v>
      </c>
      <c r="X22" s="185" t="str">
        <f aca="true" t="shared" si="11" ref="X22:X41">IF(AND(P22="F",O22&gt;300),(ROUND(O22/60,2)-5)*K22*J22*0.1*IF(R22="SI",1.2,1),"--")</f>
        <v>--</v>
      </c>
      <c r="Y22" s="186" t="str">
        <f aca="true" t="shared" si="12" ref="Y22:Y41">IF(AND(P22="R",S22="NO"),K22*J22*Q22/100*IF(R22="SI",1.2,1),"--")</f>
        <v>--</v>
      </c>
      <c r="Z22" s="187" t="str">
        <f aca="true" t="shared" si="13" ref="Z22:Z41">IF(AND(P22="R",O22&gt;=10),K22*J22*Q22/100*IF(R22="SI",1.2,1)*IF(O22&lt;=300,ROUND(O22/60,2),5),"--")</f>
        <v>--</v>
      </c>
      <c r="AA22" s="188" t="str">
        <f aca="true" t="shared" si="14" ref="AA22:AA41">IF(AND(P22="R",O22&gt;300),(ROUND(O22/60,2)-5)*K22*J22*0.1*Q22/100*IF(R22="SI",1.2,1),"--")</f>
        <v>--</v>
      </c>
      <c r="AB22" s="189" t="str">
        <f aca="true" t="shared" si="15" ref="AB22:AB41">IF(P22="RF",ROUND(O22/60,2)*K22*J22*0.1*IF(R22="SI",1.2,1),"--")</f>
        <v>--</v>
      </c>
      <c r="AC22" s="190" t="str">
        <f aca="true" t="shared" si="16" ref="AC22:AC41">IF(P22="RR",ROUND(O22/60,2)*K22*J22*0.1*Q22/100*IF(R22="SI",1.2,1),"--")</f>
        <v>--</v>
      </c>
      <c r="AD22" s="191" t="s">
        <v>79</v>
      </c>
      <c r="AE22" s="192">
        <v>0</v>
      </c>
      <c r="AF22" s="193"/>
    </row>
    <row r="23" spans="2:32" s="8" customFormat="1" ht="16.5" customHeight="1">
      <c r="B23" s="55"/>
      <c r="C23" s="150">
        <v>2</v>
      </c>
      <c r="D23" s="150">
        <v>250983</v>
      </c>
      <c r="E23" s="150">
        <v>12</v>
      </c>
      <c r="F23" s="169" t="s">
        <v>260</v>
      </c>
      <c r="G23" s="170">
        <v>500</v>
      </c>
      <c r="H23" s="171">
        <v>105</v>
      </c>
      <c r="I23" s="170" t="s">
        <v>258</v>
      </c>
      <c r="J23" s="172">
        <f t="shared" si="0"/>
        <v>20</v>
      </c>
      <c r="K23" s="173">
        <f t="shared" si="1"/>
        <v>266.0931</v>
      </c>
      <c r="L23" s="174">
        <v>41153.35277777778</v>
      </c>
      <c r="M23" s="175">
        <v>41153.720138888886</v>
      </c>
      <c r="N23" s="176">
        <f t="shared" si="2"/>
        <v>8.816666666592937</v>
      </c>
      <c r="O23" s="177">
        <f t="shared" si="3"/>
        <v>529</v>
      </c>
      <c r="P23" s="178" t="s">
        <v>259</v>
      </c>
      <c r="Q23" s="179" t="str">
        <f t="shared" si="4"/>
        <v>--</v>
      </c>
      <c r="R23" s="180" t="str">
        <f t="shared" si="5"/>
        <v>NO</v>
      </c>
      <c r="S23" s="180" t="str">
        <f t="shared" si="6"/>
        <v>--</v>
      </c>
      <c r="T23" s="181">
        <f t="shared" si="7"/>
        <v>469.3882284</v>
      </c>
      <c r="U23" s="182" t="str">
        <f t="shared" si="8"/>
        <v>--</v>
      </c>
      <c r="V23" s="183" t="str">
        <f t="shared" si="9"/>
        <v>--</v>
      </c>
      <c r="W23" s="184" t="str">
        <f t="shared" si="10"/>
        <v>--</v>
      </c>
      <c r="X23" s="185" t="str">
        <f t="shared" si="11"/>
        <v>--</v>
      </c>
      <c r="Y23" s="186" t="str">
        <f t="shared" si="12"/>
        <v>--</v>
      </c>
      <c r="Z23" s="187" t="str">
        <f t="shared" si="13"/>
        <v>--</v>
      </c>
      <c r="AA23" s="188" t="str">
        <f t="shared" si="14"/>
        <v>--</v>
      </c>
      <c r="AB23" s="189" t="str">
        <f t="shared" si="15"/>
        <v>--</v>
      </c>
      <c r="AC23" s="190" t="str">
        <f t="shared" si="16"/>
        <v>--</v>
      </c>
      <c r="AD23" s="191" t="s">
        <v>79</v>
      </c>
      <c r="AE23" s="192">
        <v>0</v>
      </c>
      <c r="AF23" s="193"/>
    </row>
    <row r="24" spans="2:32" s="8" customFormat="1" ht="16.5" customHeight="1">
      <c r="B24" s="55"/>
      <c r="C24" s="169"/>
      <c r="D24" s="169"/>
      <c r="E24" s="169"/>
      <c r="F24" s="194"/>
      <c r="G24" s="195"/>
      <c r="H24" s="196"/>
      <c r="I24" s="195"/>
      <c r="J24" s="172"/>
      <c r="K24" s="173"/>
      <c r="L24" s="197"/>
      <c r="M24" s="198"/>
      <c r="N24" s="176"/>
      <c r="O24" s="177"/>
      <c r="P24" s="178"/>
      <c r="Q24" s="179"/>
      <c r="R24" s="180"/>
      <c r="S24" s="180"/>
      <c r="T24" s="181"/>
      <c r="U24" s="182"/>
      <c r="V24" s="183"/>
      <c r="W24" s="184"/>
      <c r="X24" s="185"/>
      <c r="Y24" s="186"/>
      <c r="Z24" s="187"/>
      <c r="AA24" s="188"/>
      <c r="AB24" s="189"/>
      <c r="AC24" s="190"/>
      <c r="AD24" s="191"/>
      <c r="AE24" s="192"/>
      <c r="AF24" s="193"/>
    </row>
    <row r="25" spans="2:32" s="8" customFormat="1" ht="16.5" customHeight="1">
      <c r="B25" s="55"/>
      <c r="C25" s="150">
        <v>4</v>
      </c>
      <c r="D25" s="150">
        <v>251376</v>
      </c>
      <c r="E25" s="150">
        <v>2</v>
      </c>
      <c r="F25" s="194" t="s">
        <v>257</v>
      </c>
      <c r="G25" s="195">
        <v>500</v>
      </c>
      <c r="H25" s="196">
        <v>58</v>
      </c>
      <c r="I25" s="195" t="s">
        <v>258</v>
      </c>
      <c r="J25" s="172">
        <f t="shared" si="0"/>
        <v>20</v>
      </c>
      <c r="K25" s="173">
        <f t="shared" si="1"/>
        <v>253.422</v>
      </c>
      <c r="L25" s="197">
        <v>41156.08611111111</v>
      </c>
      <c r="M25" s="198">
        <v>41156.595138888886</v>
      </c>
      <c r="N25" s="176">
        <f t="shared" si="2"/>
        <v>12.216666666674428</v>
      </c>
      <c r="O25" s="177">
        <f t="shared" si="3"/>
        <v>733</v>
      </c>
      <c r="P25" s="178" t="s">
        <v>259</v>
      </c>
      <c r="Q25" s="179" t="str">
        <f t="shared" si="4"/>
        <v>--</v>
      </c>
      <c r="R25" s="180" t="str">
        <f t="shared" si="5"/>
        <v>NO</v>
      </c>
      <c r="S25" s="180" t="str">
        <f t="shared" si="6"/>
        <v>--</v>
      </c>
      <c r="T25" s="181">
        <f t="shared" si="7"/>
        <v>619.363368</v>
      </c>
      <c r="U25" s="182" t="str">
        <f t="shared" si="8"/>
        <v>--</v>
      </c>
      <c r="V25" s="183" t="str">
        <f t="shared" si="9"/>
        <v>--</v>
      </c>
      <c r="W25" s="184" t="str">
        <f t="shared" si="10"/>
        <v>--</v>
      </c>
      <c r="X25" s="185" t="str">
        <f t="shared" si="11"/>
        <v>--</v>
      </c>
      <c r="Y25" s="186" t="str">
        <f t="shared" si="12"/>
        <v>--</v>
      </c>
      <c r="Z25" s="187" t="str">
        <f t="shared" si="13"/>
        <v>--</v>
      </c>
      <c r="AA25" s="188" t="str">
        <f t="shared" si="14"/>
        <v>--</v>
      </c>
      <c r="AB25" s="189" t="str">
        <f t="shared" si="15"/>
        <v>--</v>
      </c>
      <c r="AC25" s="190" t="str">
        <f t="shared" si="16"/>
        <v>--</v>
      </c>
      <c r="AD25" s="191" t="s">
        <v>79</v>
      </c>
      <c r="AE25" s="192">
        <v>0</v>
      </c>
      <c r="AF25" s="193"/>
    </row>
    <row r="26" spans="2:32" s="8" customFormat="1" ht="16.5" customHeight="1">
      <c r="B26" s="55"/>
      <c r="C26" s="169">
        <v>5</v>
      </c>
      <c r="D26" s="169">
        <v>251377</v>
      </c>
      <c r="E26" s="169">
        <v>2</v>
      </c>
      <c r="F26" s="169" t="s">
        <v>257</v>
      </c>
      <c r="G26" s="170">
        <v>500</v>
      </c>
      <c r="H26" s="171">
        <v>58</v>
      </c>
      <c r="I26" s="170" t="s">
        <v>258</v>
      </c>
      <c r="J26" s="172">
        <f t="shared" si="0"/>
        <v>20</v>
      </c>
      <c r="K26" s="173">
        <f t="shared" si="1"/>
        <v>253.422</v>
      </c>
      <c r="L26" s="174">
        <v>41157.084027777775</v>
      </c>
      <c r="M26" s="175">
        <v>41157.657638888886</v>
      </c>
      <c r="N26" s="176">
        <f t="shared" si="2"/>
        <v>13.766666666662786</v>
      </c>
      <c r="O26" s="177">
        <f t="shared" si="3"/>
        <v>826</v>
      </c>
      <c r="P26" s="178" t="s">
        <v>259</v>
      </c>
      <c r="Q26" s="179" t="str">
        <f t="shared" si="4"/>
        <v>--</v>
      </c>
      <c r="R26" s="180" t="str">
        <f t="shared" si="5"/>
        <v>NO</v>
      </c>
      <c r="S26" s="180" t="str">
        <f t="shared" si="6"/>
        <v>--</v>
      </c>
      <c r="T26" s="181">
        <f t="shared" si="7"/>
        <v>697.924188</v>
      </c>
      <c r="U26" s="182" t="str">
        <f t="shared" si="8"/>
        <v>--</v>
      </c>
      <c r="V26" s="183" t="str">
        <f t="shared" si="9"/>
        <v>--</v>
      </c>
      <c r="W26" s="184" t="str">
        <f t="shared" si="10"/>
        <v>--</v>
      </c>
      <c r="X26" s="185" t="str">
        <f t="shared" si="11"/>
        <v>--</v>
      </c>
      <c r="Y26" s="186" t="str">
        <f t="shared" si="12"/>
        <v>--</v>
      </c>
      <c r="Z26" s="187" t="str">
        <f t="shared" si="13"/>
        <v>--</v>
      </c>
      <c r="AA26" s="188" t="str">
        <f t="shared" si="14"/>
        <v>--</v>
      </c>
      <c r="AB26" s="189" t="str">
        <f t="shared" si="15"/>
        <v>--</v>
      </c>
      <c r="AC26" s="190" t="str">
        <f t="shared" si="16"/>
        <v>--</v>
      </c>
      <c r="AD26" s="191" t="s">
        <v>79</v>
      </c>
      <c r="AE26" s="192">
        <v>0</v>
      </c>
      <c r="AF26" s="193"/>
    </row>
    <row r="27" spans="2:32" s="8" customFormat="1" ht="16.5" customHeight="1">
      <c r="B27" s="55"/>
      <c r="C27" s="150">
        <v>6</v>
      </c>
      <c r="D27" s="150">
        <v>251584</v>
      </c>
      <c r="E27" s="150">
        <v>29</v>
      </c>
      <c r="F27" s="169" t="s">
        <v>263</v>
      </c>
      <c r="G27" s="170">
        <v>500</v>
      </c>
      <c r="H27" s="171">
        <v>3</v>
      </c>
      <c r="I27" s="170" t="s">
        <v>258</v>
      </c>
      <c r="J27" s="172">
        <f t="shared" si="0"/>
        <v>20</v>
      </c>
      <c r="K27" s="173">
        <f t="shared" si="1"/>
        <v>253.422</v>
      </c>
      <c r="L27" s="174">
        <v>41163.339583333334</v>
      </c>
      <c r="M27" s="175">
        <v>41163.71319444444</v>
      </c>
      <c r="N27" s="176">
        <f t="shared" si="2"/>
        <v>8.966666666558012</v>
      </c>
      <c r="O27" s="177">
        <f t="shared" si="3"/>
        <v>538</v>
      </c>
      <c r="P27" s="178" t="s">
        <v>259</v>
      </c>
      <c r="Q27" s="179" t="str">
        <f t="shared" si="4"/>
        <v>--</v>
      </c>
      <c r="R27" s="180" t="str">
        <f t="shared" si="5"/>
        <v>NO</v>
      </c>
      <c r="S27" s="180" t="str">
        <f t="shared" si="6"/>
        <v>--</v>
      </c>
      <c r="T27" s="181">
        <f t="shared" si="7"/>
        <v>454.63906799999995</v>
      </c>
      <c r="U27" s="182" t="str">
        <f t="shared" si="8"/>
        <v>--</v>
      </c>
      <c r="V27" s="183" t="str">
        <f t="shared" si="9"/>
        <v>--</v>
      </c>
      <c r="W27" s="184" t="str">
        <f t="shared" si="10"/>
        <v>--</v>
      </c>
      <c r="X27" s="185" t="str">
        <f t="shared" si="11"/>
        <v>--</v>
      </c>
      <c r="Y27" s="186" t="str">
        <f t="shared" si="12"/>
        <v>--</v>
      </c>
      <c r="Z27" s="187" t="str">
        <f t="shared" si="13"/>
        <v>--</v>
      </c>
      <c r="AA27" s="188" t="str">
        <f t="shared" si="14"/>
        <v>--</v>
      </c>
      <c r="AB27" s="189" t="str">
        <f t="shared" si="15"/>
        <v>--</v>
      </c>
      <c r="AC27" s="190" t="str">
        <f t="shared" si="16"/>
        <v>--</v>
      </c>
      <c r="AD27" s="191" t="s">
        <v>79</v>
      </c>
      <c r="AE27" s="192">
        <f aca="true" t="shared" si="17" ref="AE27:AE41">IF(F27="","",SUM(T27:AC27)*IF(AD27="SI",1,2))</f>
        <v>454.63906799999995</v>
      </c>
      <c r="AF27" s="193"/>
    </row>
    <row r="28" spans="2:32" s="8" customFormat="1" ht="16.5" customHeight="1">
      <c r="B28" s="55"/>
      <c r="C28" s="169">
        <v>7</v>
      </c>
      <c r="D28" s="169">
        <v>251595</v>
      </c>
      <c r="E28" s="169">
        <v>29</v>
      </c>
      <c r="F28" s="199" t="s">
        <v>263</v>
      </c>
      <c r="G28" s="200">
        <v>500</v>
      </c>
      <c r="H28" s="201">
        <v>3</v>
      </c>
      <c r="I28" s="200" t="s">
        <v>258</v>
      </c>
      <c r="J28" s="172">
        <f t="shared" si="0"/>
        <v>20</v>
      </c>
      <c r="K28" s="173">
        <f t="shared" si="1"/>
        <v>253.422</v>
      </c>
      <c r="L28" s="202">
        <v>41164.36111111111</v>
      </c>
      <c r="M28" s="203">
        <v>41164.717361111114</v>
      </c>
      <c r="N28" s="176">
        <f t="shared" si="2"/>
        <v>8.550000000104774</v>
      </c>
      <c r="O28" s="177">
        <f t="shared" si="3"/>
        <v>513</v>
      </c>
      <c r="P28" s="178" t="s">
        <v>259</v>
      </c>
      <c r="Q28" s="179" t="str">
        <f t="shared" si="4"/>
        <v>--</v>
      </c>
      <c r="R28" s="180" t="str">
        <f t="shared" si="5"/>
        <v>NO</v>
      </c>
      <c r="S28" s="180" t="str">
        <f t="shared" si="6"/>
        <v>--</v>
      </c>
      <c r="T28" s="181">
        <f t="shared" si="7"/>
        <v>433.35161999999997</v>
      </c>
      <c r="U28" s="182" t="str">
        <f t="shared" si="8"/>
        <v>--</v>
      </c>
      <c r="V28" s="183" t="str">
        <f t="shared" si="9"/>
        <v>--</v>
      </c>
      <c r="W28" s="184" t="str">
        <f t="shared" si="10"/>
        <v>--</v>
      </c>
      <c r="X28" s="185" t="str">
        <f t="shared" si="11"/>
        <v>--</v>
      </c>
      <c r="Y28" s="186" t="str">
        <f t="shared" si="12"/>
        <v>--</v>
      </c>
      <c r="Z28" s="187" t="str">
        <f t="shared" si="13"/>
        <v>--</v>
      </c>
      <c r="AA28" s="188" t="str">
        <f t="shared" si="14"/>
        <v>--</v>
      </c>
      <c r="AB28" s="189" t="str">
        <f t="shared" si="15"/>
        <v>--</v>
      </c>
      <c r="AC28" s="190" t="str">
        <f t="shared" si="16"/>
        <v>--</v>
      </c>
      <c r="AD28" s="191" t="s">
        <v>79</v>
      </c>
      <c r="AE28" s="192">
        <f t="shared" si="17"/>
        <v>433.35161999999997</v>
      </c>
      <c r="AF28" s="193"/>
    </row>
    <row r="29" spans="2:32" s="8" customFormat="1" ht="16.5" customHeight="1">
      <c r="B29" s="55"/>
      <c r="C29" s="150">
        <v>8</v>
      </c>
      <c r="D29" s="150">
        <v>251610</v>
      </c>
      <c r="E29" s="150">
        <v>27</v>
      </c>
      <c r="F29" s="199" t="s">
        <v>264</v>
      </c>
      <c r="G29" s="200">
        <v>500</v>
      </c>
      <c r="H29" s="201">
        <v>3</v>
      </c>
      <c r="I29" s="200" t="s">
        <v>258</v>
      </c>
      <c r="J29" s="172">
        <f t="shared" si="0"/>
        <v>20</v>
      </c>
      <c r="K29" s="173">
        <f t="shared" si="1"/>
        <v>253.422</v>
      </c>
      <c r="L29" s="202">
        <v>41165.35</v>
      </c>
      <c r="M29" s="203">
        <v>41165.71041666667</v>
      </c>
      <c r="N29" s="176">
        <f t="shared" si="2"/>
        <v>8.65000000008149</v>
      </c>
      <c r="O29" s="177">
        <f t="shared" si="3"/>
        <v>519</v>
      </c>
      <c r="P29" s="178" t="s">
        <v>259</v>
      </c>
      <c r="Q29" s="179" t="str">
        <f t="shared" si="4"/>
        <v>--</v>
      </c>
      <c r="R29" s="180" t="str">
        <f t="shared" si="5"/>
        <v>NO</v>
      </c>
      <c r="S29" s="180" t="str">
        <f t="shared" si="6"/>
        <v>--</v>
      </c>
      <c r="T29" s="181">
        <f t="shared" si="7"/>
        <v>438.42006000000003</v>
      </c>
      <c r="U29" s="182" t="str">
        <f t="shared" si="8"/>
        <v>--</v>
      </c>
      <c r="V29" s="183" t="str">
        <f t="shared" si="9"/>
        <v>--</v>
      </c>
      <c r="W29" s="184" t="str">
        <f t="shared" si="10"/>
        <v>--</v>
      </c>
      <c r="X29" s="185" t="str">
        <f t="shared" si="11"/>
        <v>--</v>
      </c>
      <c r="Y29" s="186" t="str">
        <f t="shared" si="12"/>
        <v>--</v>
      </c>
      <c r="Z29" s="187" t="str">
        <f t="shared" si="13"/>
        <v>--</v>
      </c>
      <c r="AA29" s="188" t="str">
        <f t="shared" si="14"/>
        <v>--</v>
      </c>
      <c r="AB29" s="189" t="str">
        <f t="shared" si="15"/>
        <v>--</v>
      </c>
      <c r="AC29" s="190" t="str">
        <f t="shared" si="16"/>
        <v>--</v>
      </c>
      <c r="AD29" s="191" t="s">
        <v>79</v>
      </c>
      <c r="AE29" s="192">
        <f t="shared" si="17"/>
        <v>438.42006000000003</v>
      </c>
      <c r="AF29" s="193"/>
    </row>
    <row r="30" spans="2:32" s="8" customFormat="1" ht="16.5" customHeight="1">
      <c r="B30" s="55"/>
      <c r="C30" s="169">
        <v>9</v>
      </c>
      <c r="D30" s="169">
        <v>251625</v>
      </c>
      <c r="E30" s="169">
        <v>27</v>
      </c>
      <c r="F30" s="199" t="s">
        <v>264</v>
      </c>
      <c r="G30" s="200">
        <v>500</v>
      </c>
      <c r="H30" s="201">
        <v>3</v>
      </c>
      <c r="I30" s="200" t="s">
        <v>258</v>
      </c>
      <c r="J30" s="172">
        <f t="shared" si="0"/>
        <v>20</v>
      </c>
      <c r="K30" s="173">
        <f t="shared" si="1"/>
        <v>253.422</v>
      </c>
      <c r="L30" s="202">
        <v>41166.41736111111</v>
      </c>
      <c r="M30" s="203">
        <v>41166.71111111111</v>
      </c>
      <c r="N30" s="176">
        <f t="shared" si="2"/>
        <v>7.049999999930151</v>
      </c>
      <c r="O30" s="177">
        <f t="shared" si="3"/>
        <v>423</v>
      </c>
      <c r="P30" s="178" t="s">
        <v>259</v>
      </c>
      <c r="Q30" s="179" t="str">
        <f t="shared" si="4"/>
        <v>--</v>
      </c>
      <c r="R30" s="180" t="str">
        <f t="shared" si="5"/>
        <v>NO</v>
      </c>
      <c r="S30" s="180" t="str">
        <f t="shared" si="6"/>
        <v>--</v>
      </c>
      <c r="T30" s="181">
        <f t="shared" si="7"/>
        <v>357.32501999999994</v>
      </c>
      <c r="U30" s="182" t="str">
        <f t="shared" si="8"/>
        <v>--</v>
      </c>
      <c r="V30" s="183" t="str">
        <f t="shared" si="9"/>
        <v>--</v>
      </c>
      <c r="W30" s="184" t="str">
        <f t="shared" si="10"/>
        <v>--</v>
      </c>
      <c r="X30" s="185" t="str">
        <f t="shared" si="11"/>
        <v>--</v>
      </c>
      <c r="Y30" s="186" t="str">
        <f t="shared" si="12"/>
        <v>--</v>
      </c>
      <c r="Z30" s="187" t="str">
        <f t="shared" si="13"/>
        <v>--</v>
      </c>
      <c r="AA30" s="188" t="str">
        <f t="shared" si="14"/>
        <v>--</v>
      </c>
      <c r="AB30" s="189" t="str">
        <f t="shared" si="15"/>
        <v>--</v>
      </c>
      <c r="AC30" s="190" t="str">
        <f t="shared" si="16"/>
        <v>--</v>
      </c>
      <c r="AD30" s="191" t="s">
        <v>79</v>
      </c>
      <c r="AE30" s="192">
        <f t="shared" si="17"/>
        <v>357.32501999999994</v>
      </c>
      <c r="AF30" s="193"/>
    </row>
    <row r="31" spans="2:32" s="8" customFormat="1" ht="16.5" customHeight="1">
      <c r="B31" s="55"/>
      <c r="C31" s="150">
        <v>10</v>
      </c>
      <c r="D31" s="150">
        <v>251630</v>
      </c>
      <c r="E31" s="150">
        <v>1344</v>
      </c>
      <c r="F31" s="199" t="s">
        <v>261</v>
      </c>
      <c r="G31" s="200">
        <v>500</v>
      </c>
      <c r="H31" s="201">
        <v>194</v>
      </c>
      <c r="I31" s="200" t="s">
        <v>258</v>
      </c>
      <c r="J31" s="172">
        <f t="shared" si="0"/>
        <v>20</v>
      </c>
      <c r="K31" s="173">
        <f t="shared" si="1"/>
        <v>491.63868</v>
      </c>
      <c r="L31" s="202">
        <v>41168.325694444444</v>
      </c>
      <c r="M31" s="203">
        <v>41168.697222222225</v>
      </c>
      <c r="N31" s="176">
        <f t="shared" si="2"/>
        <v>8.916666666744277</v>
      </c>
      <c r="O31" s="177">
        <f t="shared" si="3"/>
        <v>535</v>
      </c>
      <c r="P31" s="178" t="s">
        <v>259</v>
      </c>
      <c r="Q31" s="179" t="str">
        <f t="shared" si="4"/>
        <v>--</v>
      </c>
      <c r="R31" s="180" t="str">
        <f t="shared" si="5"/>
        <v>NO</v>
      </c>
      <c r="S31" s="180" t="str">
        <f t="shared" si="6"/>
        <v>--</v>
      </c>
      <c r="T31" s="181">
        <f t="shared" si="7"/>
        <v>877.0834051200001</v>
      </c>
      <c r="U31" s="182" t="str">
        <f t="shared" si="8"/>
        <v>--</v>
      </c>
      <c r="V31" s="183" t="str">
        <f t="shared" si="9"/>
        <v>--</v>
      </c>
      <c r="W31" s="184" t="str">
        <f t="shared" si="10"/>
        <v>--</v>
      </c>
      <c r="X31" s="185" t="str">
        <f t="shared" si="11"/>
        <v>--</v>
      </c>
      <c r="Y31" s="186" t="str">
        <f t="shared" si="12"/>
        <v>--</v>
      </c>
      <c r="Z31" s="187" t="str">
        <f t="shared" si="13"/>
        <v>--</v>
      </c>
      <c r="AA31" s="188" t="str">
        <f t="shared" si="14"/>
        <v>--</v>
      </c>
      <c r="AB31" s="189" t="str">
        <f t="shared" si="15"/>
        <v>--</v>
      </c>
      <c r="AC31" s="190" t="str">
        <f t="shared" si="16"/>
        <v>--</v>
      </c>
      <c r="AD31" s="191" t="s">
        <v>79</v>
      </c>
      <c r="AE31" s="192">
        <f t="shared" si="17"/>
        <v>877.0834051200001</v>
      </c>
      <c r="AF31" s="193"/>
    </row>
    <row r="32" spans="2:32" s="8" customFormat="1" ht="16.5" customHeight="1">
      <c r="B32" s="55"/>
      <c r="C32" s="169">
        <v>11</v>
      </c>
      <c r="D32" s="169">
        <v>251633</v>
      </c>
      <c r="E32" s="169">
        <v>53</v>
      </c>
      <c r="F32" s="199" t="s">
        <v>265</v>
      </c>
      <c r="G32" s="200">
        <v>220</v>
      </c>
      <c r="H32" s="201">
        <v>26</v>
      </c>
      <c r="I32" s="200" t="s">
        <v>258</v>
      </c>
      <c r="J32" s="172">
        <f t="shared" si="0"/>
        <v>20</v>
      </c>
      <c r="K32" s="173">
        <f t="shared" si="1"/>
        <v>211.19</v>
      </c>
      <c r="L32" s="202">
        <v>41168.35833333333</v>
      </c>
      <c r="M32" s="203">
        <v>41168.71319444444</v>
      </c>
      <c r="N32" s="176">
        <f t="shared" si="2"/>
        <v>8.516666666662786</v>
      </c>
      <c r="O32" s="177">
        <f t="shared" si="3"/>
        <v>511</v>
      </c>
      <c r="P32" s="178" t="s">
        <v>259</v>
      </c>
      <c r="Q32" s="179" t="str">
        <f t="shared" si="4"/>
        <v>--</v>
      </c>
      <c r="R32" s="180" t="str">
        <f t="shared" si="5"/>
        <v>NO</v>
      </c>
      <c r="S32" s="180" t="str">
        <f t="shared" si="6"/>
        <v>--</v>
      </c>
      <c r="T32" s="181">
        <f t="shared" si="7"/>
        <v>359.86776</v>
      </c>
      <c r="U32" s="182" t="str">
        <f t="shared" si="8"/>
        <v>--</v>
      </c>
      <c r="V32" s="183" t="str">
        <f t="shared" si="9"/>
        <v>--</v>
      </c>
      <c r="W32" s="184" t="str">
        <f t="shared" si="10"/>
        <v>--</v>
      </c>
      <c r="X32" s="185" t="str">
        <f t="shared" si="11"/>
        <v>--</v>
      </c>
      <c r="Y32" s="186" t="str">
        <f t="shared" si="12"/>
        <v>--</v>
      </c>
      <c r="Z32" s="187" t="str">
        <f t="shared" si="13"/>
        <v>--</v>
      </c>
      <c r="AA32" s="188" t="str">
        <f t="shared" si="14"/>
        <v>--</v>
      </c>
      <c r="AB32" s="189" t="str">
        <f t="shared" si="15"/>
        <v>--</v>
      </c>
      <c r="AC32" s="190" t="str">
        <f t="shared" si="16"/>
        <v>--</v>
      </c>
      <c r="AD32" s="191" t="s">
        <v>79</v>
      </c>
      <c r="AE32" s="192">
        <f t="shared" si="17"/>
        <v>359.86776</v>
      </c>
      <c r="AF32" s="193"/>
    </row>
    <row r="33" spans="2:32" s="8" customFormat="1" ht="16.5" customHeight="1">
      <c r="B33" s="55"/>
      <c r="C33" s="150"/>
      <c r="D33" s="150"/>
      <c r="E33" s="150"/>
      <c r="F33" s="199"/>
      <c r="G33" s="200"/>
      <c r="H33" s="201"/>
      <c r="I33" s="200"/>
      <c r="J33" s="172">
        <f t="shared" si="0"/>
        <v>20</v>
      </c>
      <c r="K33" s="173">
        <f t="shared" si="1"/>
        <v>211.19</v>
      </c>
      <c r="L33" s="202"/>
      <c r="M33" s="204"/>
      <c r="N33" s="176">
        <f t="shared" si="2"/>
      </c>
      <c r="O33" s="177">
        <f t="shared" si="3"/>
      </c>
      <c r="P33" s="178"/>
      <c r="Q33" s="179">
        <f t="shared" si="4"/>
      </c>
      <c r="R33" s="180">
        <f t="shared" si="5"/>
      </c>
      <c r="S33" s="180">
        <f t="shared" si="6"/>
      </c>
      <c r="T33" s="181" t="str">
        <f t="shared" si="7"/>
        <v>--</v>
      </c>
      <c r="U33" s="182" t="str">
        <f t="shared" si="8"/>
        <v>--</v>
      </c>
      <c r="V33" s="183" t="str">
        <f t="shared" si="9"/>
        <v>--</v>
      </c>
      <c r="W33" s="184" t="str">
        <f t="shared" si="10"/>
        <v>--</v>
      </c>
      <c r="X33" s="185" t="str">
        <f t="shared" si="11"/>
        <v>--</v>
      </c>
      <c r="Y33" s="186" t="str">
        <f t="shared" si="12"/>
        <v>--</v>
      </c>
      <c r="Z33" s="187" t="str">
        <f t="shared" si="13"/>
        <v>--</v>
      </c>
      <c r="AA33" s="188" t="str">
        <f t="shared" si="14"/>
        <v>--</v>
      </c>
      <c r="AB33" s="189" t="str">
        <f t="shared" si="15"/>
        <v>--</v>
      </c>
      <c r="AC33" s="190" t="str">
        <f t="shared" si="16"/>
        <v>--</v>
      </c>
      <c r="AD33" s="191">
        <f aca="true" t="shared" si="18" ref="AD33:AD41">IF(F33="","","SI")</f>
      </c>
      <c r="AE33" s="192">
        <f t="shared" si="17"/>
      </c>
      <c r="AF33" s="193"/>
    </row>
    <row r="34" spans="2:32" s="8" customFormat="1" ht="16.5" customHeight="1">
      <c r="B34" s="55"/>
      <c r="C34" s="169"/>
      <c r="D34" s="169"/>
      <c r="E34" s="169"/>
      <c r="F34" s="199"/>
      <c r="G34" s="200"/>
      <c r="H34" s="201"/>
      <c r="I34" s="200"/>
      <c r="J34" s="172">
        <f t="shared" si="0"/>
        <v>20</v>
      </c>
      <c r="K34" s="173">
        <f t="shared" si="1"/>
        <v>211.19</v>
      </c>
      <c r="L34" s="202"/>
      <c r="M34" s="204"/>
      <c r="N34" s="176">
        <f t="shared" si="2"/>
      </c>
      <c r="O34" s="177">
        <f t="shared" si="3"/>
      </c>
      <c r="P34" s="178"/>
      <c r="Q34" s="179">
        <f t="shared" si="4"/>
      </c>
      <c r="R34" s="180">
        <f t="shared" si="5"/>
      </c>
      <c r="S34" s="180">
        <f t="shared" si="6"/>
      </c>
      <c r="T34" s="181" t="str">
        <f t="shared" si="7"/>
        <v>--</v>
      </c>
      <c r="U34" s="182" t="str">
        <f t="shared" si="8"/>
        <v>--</v>
      </c>
      <c r="V34" s="183" t="str">
        <f t="shared" si="9"/>
        <v>--</v>
      </c>
      <c r="W34" s="184" t="str">
        <f t="shared" si="10"/>
        <v>--</v>
      </c>
      <c r="X34" s="185" t="str">
        <f t="shared" si="11"/>
        <v>--</v>
      </c>
      <c r="Y34" s="186" t="str">
        <f t="shared" si="12"/>
        <v>--</v>
      </c>
      <c r="Z34" s="187" t="str">
        <f t="shared" si="13"/>
        <v>--</v>
      </c>
      <c r="AA34" s="188" t="str">
        <f t="shared" si="14"/>
        <v>--</v>
      </c>
      <c r="AB34" s="189" t="str">
        <f t="shared" si="15"/>
        <v>--</v>
      </c>
      <c r="AC34" s="190" t="str">
        <f t="shared" si="16"/>
        <v>--</v>
      </c>
      <c r="AD34" s="191">
        <f t="shared" si="18"/>
      </c>
      <c r="AE34" s="192">
        <f t="shared" si="17"/>
      </c>
      <c r="AF34" s="193"/>
    </row>
    <row r="35" spans="2:32" s="8" customFormat="1" ht="16.5" customHeight="1">
      <c r="B35" s="55"/>
      <c r="C35" s="150"/>
      <c r="D35" s="150"/>
      <c r="E35" s="150"/>
      <c r="F35" s="199"/>
      <c r="G35" s="200"/>
      <c r="H35" s="201"/>
      <c r="I35" s="200"/>
      <c r="J35" s="172">
        <f t="shared" si="0"/>
        <v>20</v>
      </c>
      <c r="K35" s="173">
        <f t="shared" si="1"/>
        <v>211.19</v>
      </c>
      <c r="L35" s="202"/>
      <c r="M35" s="204"/>
      <c r="N35" s="176">
        <f t="shared" si="2"/>
      </c>
      <c r="O35" s="177">
        <f t="shared" si="3"/>
      </c>
      <c r="P35" s="178"/>
      <c r="Q35" s="179">
        <f t="shared" si="4"/>
      </c>
      <c r="R35" s="180">
        <f t="shared" si="5"/>
      </c>
      <c r="S35" s="180">
        <f t="shared" si="6"/>
      </c>
      <c r="T35" s="181" t="str">
        <f t="shared" si="7"/>
        <v>--</v>
      </c>
      <c r="U35" s="182" t="str">
        <f t="shared" si="8"/>
        <v>--</v>
      </c>
      <c r="V35" s="183" t="str">
        <f t="shared" si="9"/>
        <v>--</v>
      </c>
      <c r="W35" s="184" t="str">
        <f t="shared" si="10"/>
        <v>--</v>
      </c>
      <c r="X35" s="185" t="str">
        <f t="shared" si="11"/>
        <v>--</v>
      </c>
      <c r="Y35" s="186" t="str">
        <f t="shared" si="12"/>
        <v>--</v>
      </c>
      <c r="Z35" s="187" t="str">
        <f t="shared" si="13"/>
        <v>--</v>
      </c>
      <c r="AA35" s="188" t="str">
        <f t="shared" si="14"/>
        <v>--</v>
      </c>
      <c r="AB35" s="189" t="str">
        <f t="shared" si="15"/>
        <v>--</v>
      </c>
      <c r="AC35" s="190" t="str">
        <f t="shared" si="16"/>
        <v>--</v>
      </c>
      <c r="AD35" s="191">
        <f t="shared" si="18"/>
      </c>
      <c r="AE35" s="192">
        <f t="shared" si="17"/>
      </c>
      <c r="AF35" s="193"/>
    </row>
    <row r="36" spans="2:32" s="8" customFormat="1" ht="16.5" customHeight="1">
      <c r="B36" s="55"/>
      <c r="C36" s="169"/>
      <c r="D36" s="169"/>
      <c r="E36" s="169"/>
      <c r="F36" s="199"/>
      <c r="G36" s="200"/>
      <c r="H36" s="201"/>
      <c r="I36" s="200"/>
      <c r="J36" s="172">
        <f t="shared" si="0"/>
        <v>20</v>
      </c>
      <c r="K36" s="173">
        <f t="shared" si="1"/>
        <v>211.19</v>
      </c>
      <c r="L36" s="202"/>
      <c r="M36" s="204"/>
      <c r="N36" s="176">
        <f t="shared" si="2"/>
      </c>
      <c r="O36" s="177">
        <f t="shared" si="3"/>
      </c>
      <c r="P36" s="178"/>
      <c r="Q36" s="179">
        <f t="shared" si="4"/>
      </c>
      <c r="R36" s="180">
        <f t="shared" si="5"/>
      </c>
      <c r="S36" s="180">
        <f t="shared" si="6"/>
      </c>
      <c r="T36" s="181" t="str">
        <f t="shared" si="7"/>
        <v>--</v>
      </c>
      <c r="U36" s="182" t="str">
        <f t="shared" si="8"/>
        <v>--</v>
      </c>
      <c r="V36" s="183" t="str">
        <f t="shared" si="9"/>
        <v>--</v>
      </c>
      <c r="W36" s="184" t="str">
        <f t="shared" si="10"/>
        <v>--</v>
      </c>
      <c r="X36" s="185" t="str">
        <f t="shared" si="11"/>
        <v>--</v>
      </c>
      <c r="Y36" s="186" t="str">
        <f t="shared" si="12"/>
        <v>--</v>
      </c>
      <c r="Z36" s="187" t="str">
        <f t="shared" si="13"/>
        <v>--</v>
      </c>
      <c r="AA36" s="188" t="str">
        <f t="shared" si="14"/>
        <v>--</v>
      </c>
      <c r="AB36" s="189" t="str">
        <f t="shared" si="15"/>
        <v>--</v>
      </c>
      <c r="AC36" s="190" t="str">
        <f t="shared" si="16"/>
        <v>--</v>
      </c>
      <c r="AD36" s="191">
        <f t="shared" si="18"/>
      </c>
      <c r="AE36" s="192">
        <f t="shared" si="17"/>
      </c>
      <c r="AF36" s="193"/>
    </row>
    <row r="37" spans="2:32" s="8" customFormat="1" ht="16.5" customHeight="1">
      <c r="B37" s="55"/>
      <c r="C37" s="150"/>
      <c r="D37" s="150"/>
      <c r="E37" s="150"/>
      <c r="F37" s="199"/>
      <c r="G37" s="200"/>
      <c r="H37" s="201"/>
      <c r="I37" s="200"/>
      <c r="J37" s="172">
        <f t="shared" si="0"/>
        <v>20</v>
      </c>
      <c r="K37" s="173">
        <f t="shared" si="1"/>
        <v>211.19</v>
      </c>
      <c r="L37" s="202"/>
      <c r="M37" s="204"/>
      <c r="N37" s="176">
        <f t="shared" si="2"/>
      </c>
      <c r="O37" s="177">
        <f t="shared" si="3"/>
      </c>
      <c r="P37" s="178"/>
      <c r="Q37" s="179">
        <f t="shared" si="4"/>
      </c>
      <c r="R37" s="180">
        <f t="shared" si="5"/>
      </c>
      <c r="S37" s="180">
        <f t="shared" si="6"/>
      </c>
      <c r="T37" s="181" t="str">
        <f t="shared" si="7"/>
        <v>--</v>
      </c>
      <c r="U37" s="182" t="str">
        <f t="shared" si="8"/>
        <v>--</v>
      </c>
      <c r="V37" s="183" t="str">
        <f t="shared" si="9"/>
        <v>--</v>
      </c>
      <c r="W37" s="184" t="str">
        <f t="shared" si="10"/>
        <v>--</v>
      </c>
      <c r="X37" s="185" t="str">
        <f t="shared" si="11"/>
        <v>--</v>
      </c>
      <c r="Y37" s="186" t="str">
        <f t="shared" si="12"/>
        <v>--</v>
      </c>
      <c r="Z37" s="187" t="str">
        <f t="shared" si="13"/>
        <v>--</v>
      </c>
      <c r="AA37" s="188" t="str">
        <f t="shared" si="14"/>
        <v>--</v>
      </c>
      <c r="AB37" s="189" t="str">
        <f t="shared" si="15"/>
        <v>--</v>
      </c>
      <c r="AC37" s="190" t="str">
        <f t="shared" si="16"/>
        <v>--</v>
      </c>
      <c r="AD37" s="191">
        <f t="shared" si="18"/>
      </c>
      <c r="AE37" s="192">
        <f t="shared" si="17"/>
      </c>
      <c r="AF37" s="193"/>
    </row>
    <row r="38" spans="2:32" s="8" customFormat="1" ht="16.5" customHeight="1">
      <c r="B38" s="55"/>
      <c r="C38" s="169"/>
      <c r="D38" s="169"/>
      <c r="E38" s="169"/>
      <c r="F38" s="199"/>
      <c r="G38" s="200"/>
      <c r="H38" s="201"/>
      <c r="I38" s="200"/>
      <c r="J38" s="172">
        <f t="shared" si="0"/>
        <v>20</v>
      </c>
      <c r="K38" s="173">
        <f t="shared" si="1"/>
        <v>211.19</v>
      </c>
      <c r="L38" s="202"/>
      <c r="M38" s="204"/>
      <c r="N38" s="176">
        <f t="shared" si="2"/>
      </c>
      <c r="O38" s="177">
        <f t="shared" si="3"/>
      </c>
      <c r="P38" s="178"/>
      <c r="Q38" s="179">
        <f t="shared" si="4"/>
      </c>
      <c r="R38" s="180">
        <f t="shared" si="5"/>
      </c>
      <c r="S38" s="180">
        <f t="shared" si="6"/>
      </c>
      <c r="T38" s="181" t="str">
        <f t="shared" si="7"/>
        <v>--</v>
      </c>
      <c r="U38" s="182" t="str">
        <f t="shared" si="8"/>
        <v>--</v>
      </c>
      <c r="V38" s="183" t="str">
        <f t="shared" si="9"/>
        <v>--</v>
      </c>
      <c r="W38" s="184" t="str">
        <f t="shared" si="10"/>
        <v>--</v>
      </c>
      <c r="X38" s="185" t="str">
        <f t="shared" si="11"/>
        <v>--</v>
      </c>
      <c r="Y38" s="186" t="str">
        <f t="shared" si="12"/>
        <v>--</v>
      </c>
      <c r="Z38" s="187" t="str">
        <f t="shared" si="13"/>
        <v>--</v>
      </c>
      <c r="AA38" s="188" t="str">
        <f t="shared" si="14"/>
        <v>--</v>
      </c>
      <c r="AB38" s="189" t="str">
        <f t="shared" si="15"/>
        <v>--</v>
      </c>
      <c r="AC38" s="190" t="str">
        <f t="shared" si="16"/>
        <v>--</v>
      </c>
      <c r="AD38" s="191">
        <f t="shared" si="18"/>
      </c>
      <c r="AE38" s="192">
        <f t="shared" si="17"/>
      </c>
      <c r="AF38" s="193"/>
    </row>
    <row r="39" spans="2:32" s="8" customFormat="1" ht="16.5" customHeight="1">
      <c r="B39" s="55"/>
      <c r="C39" s="150"/>
      <c r="D39" s="150"/>
      <c r="E39" s="150"/>
      <c r="F39" s="199"/>
      <c r="G39" s="200"/>
      <c r="H39" s="201"/>
      <c r="I39" s="200"/>
      <c r="J39" s="172">
        <f t="shared" si="0"/>
        <v>20</v>
      </c>
      <c r="K39" s="173">
        <f t="shared" si="1"/>
        <v>211.19</v>
      </c>
      <c r="L39" s="202"/>
      <c r="M39" s="204"/>
      <c r="N39" s="176">
        <f t="shared" si="2"/>
      </c>
      <c r="O39" s="177">
        <f t="shared" si="3"/>
      </c>
      <c r="P39" s="178"/>
      <c r="Q39" s="179">
        <f t="shared" si="4"/>
      </c>
      <c r="R39" s="180">
        <f t="shared" si="5"/>
      </c>
      <c r="S39" s="180">
        <f t="shared" si="6"/>
      </c>
      <c r="T39" s="181" t="str">
        <f t="shared" si="7"/>
        <v>--</v>
      </c>
      <c r="U39" s="182" t="str">
        <f t="shared" si="8"/>
        <v>--</v>
      </c>
      <c r="V39" s="183" t="str">
        <f t="shared" si="9"/>
        <v>--</v>
      </c>
      <c r="W39" s="184" t="str">
        <f t="shared" si="10"/>
        <v>--</v>
      </c>
      <c r="X39" s="185" t="str">
        <f t="shared" si="11"/>
        <v>--</v>
      </c>
      <c r="Y39" s="186" t="str">
        <f t="shared" si="12"/>
        <v>--</v>
      </c>
      <c r="Z39" s="187" t="str">
        <f t="shared" si="13"/>
        <v>--</v>
      </c>
      <c r="AA39" s="188" t="str">
        <f t="shared" si="14"/>
        <v>--</v>
      </c>
      <c r="AB39" s="189" t="str">
        <f t="shared" si="15"/>
        <v>--</v>
      </c>
      <c r="AC39" s="190" t="str">
        <f t="shared" si="16"/>
        <v>--</v>
      </c>
      <c r="AD39" s="191">
        <f t="shared" si="18"/>
      </c>
      <c r="AE39" s="192">
        <f t="shared" si="17"/>
      </c>
      <c r="AF39" s="193"/>
    </row>
    <row r="40" spans="2:32" s="8" customFormat="1" ht="16.5" customHeight="1">
      <c r="B40" s="55"/>
      <c r="C40" s="169"/>
      <c r="D40" s="169"/>
      <c r="E40" s="169"/>
      <c r="F40" s="199"/>
      <c r="G40" s="200"/>
      <c r="H40" s="201"/>
      <c r="I40" s="200"/>
      <c r="J40" s="172">
        <f t="shared" si="0"/>
        <v>20</v>
      </c>
      <c r="K40" s="173">
        <f t="shared" si="1"/>
        <v>211.19</v>
      </c>
      <c r="L40" s="202"/>
      <c r="M40" s="204"/>
      <c r="N40" s="176">
        <f t="shared" si="2"/>
      </c>
      <c r="O40" s="177">
        <f t="shared" si="3"/>
      </c>
      <c r="P40" s="178"/>
      <c r="Q40" s="179">
        <f t="shared" si="4"/>
      </c>
      <c r="R40" s="180">
        <f t="shared" si="5"/>
      </c>
      <c r="S40" s="180">
        <f t="shared" si="6"/>
      </c>
      <c r="T40" s="181" t="str">
        <f t="shared" si="7"/>
        <v>--</v>
      </c>
      <c r="U40" s="182" t="str">
        <f t="shared" si="8"/>
        <v>--</v>
      </c>
      <c r="V40" s="183" t="str">
        <f t="shared" si="9"/>
        <v>--</v>
      </c>
      <c r="W40" s="184" t="str">
        <f t="shared" si="10"/>
        <v>--</v>
      </c>
      <c r="X40" s="185" t="str">
        <f t="shared" si="11"/>
        <v>--</v>
      </c>
      <c r="Y40" s="186" t="str">
        <f t="shared" si="12"/>
        <v>--</v>
      </c>
      <c r="Z40" s="187" t="str">
        <f t="shared" si="13"/>
        <v>--</v>
      </c>
      <c r="AA40" s="188" t="str">
        <f t="shared" si="14"/>
        <v>--</v>
      </c>
      <c r="AB40" s="189" t="str">
        <f t="shared" si="15"/>
        <v>--</v>
      </c>
      <c r="AC40" s="190" t="str">
        <f t="shared" si="16"/>
        <v>--</v>
      </c>
      <c r="AD40" s="191">
        <f t="shared" si="18"/>
      </c>
      <c r="AE40" s="192">
        <f t="shared" si="17"/>
      </c>
      <c r="AF40" s="193"/>
    </row>
    <row r="41" spans="2:32" s="8" customFormat="1" ht="16.5" customHeight="1">
      <c r="B41" s="55"/>
      <c r="C41" s="150"/>
      <c r="D41" s="150"/>
      <c r="E41" s="150"/>
      <c r="F41" s="199"/>
      <c r="G41" s="200"/>
      <c r="H41" s="201"/>
      <c r="I41" s="200"/>
      <c r="J41" s="172">
        <f t="shared" si="0"/>
        <v>20</v>
      </c>
      <c r="K41" s="173">
        <f t="shared" si="1"/>
        <v>211.19</v>
      </c>
      <c r="L41" s="202"/>
      <c r="M41" s="204"/>
      <c r="N41" s="176">
        <f t="shared" si="2"/>
      </c>
      <c r="O41" s="177">
        <f t="shared" si="3"/>
      </c>
      <c r="P41" s="178"/>
      <c r="Q41" s="179">
        <f t="shared" si="4"/>
      </c>
      <c r="R41" s="180">
        <f t="shared" si="5"/>
      </c>
      <c r="S41" s="180">
        <f t="shared" si="6"/>
      </c>
      <c r="T41" s="181" t="str">
        <f t="shared" si="7"/>
        <v>--</v>
      </c>
      <c r="U41" s="182" t="str">
        <f t="shared" si="8"/>
        <v>--</v>
      </c>
      <c r="V41" s="183" t="str">
        <f t="shared" si="9"/>
        <v>--</v>
      </c>
      <c r="W41" s="184" t="str">
        <f t="shared" si="10"/>
        <v>--</v>
      </c>
      <c r="X41" s="185" t="str">
        <f t="shared" si="11"/>
        <v>--</v>
      </c>
      <c r="Y41" s="186" t="str">
        <f t="shared" si="12"/>
        <v>--</v>
      </c>
      <c r="Z41" s="187" t="str">
        <f t="shared" si="13"/>
        <v>--</v>
      </c>
      <c r="AA41" s="188" t="str">
        <f t="shared" si="14"/>
        <v>--</v>
      </c>
      <c r="AB41" s="189" t="str">
        <f t="shared" si="15"/>
        <v>--</v>
      </c>
      <c r="AC41" s="190" t="str">
        <f t="shared" si="16"/>
        <v>--</v>
      </c>
      <c r="AD41" s="191">
        <f t="shared" si="18"/>
      </c>
      <c r="AE41" s="192">
        <f t="shared" si="17"/>
      </c>
      <c r="AF41" s="193"/>
    </row>
    <row r="42" spans="2:32" s="8" customFormat="1" ht="16.5" customHeight="1" thickBot="1">
      <c r="B42" s="55"/>
      <c r="C42" s="205"/>
      <c r="D42" s="206"/>
      <c r="E42" s="169"/>
      <c r="F42" s="207"/>
      <c r="G42" s="208"/>
      <c r="H42" s="209"/>
      <c r="I42" s="210"/>
      <c r="J42" s="211"/>
      <c r="K42" s="212"/>
      <c r="L42" s="213"/>
      <c r="M42" s="213"/>
      <c r="N42" s="214"/>
      <c r="O42" s="214"/>
      <c r="P42" s="215"/>
      <c r="Q42" s="216"/>
      <c r="R42" s="215"/>
      <c r="S42" s="215"/>
      <c r="T42" s="217"/>
      <c r="U42" s="218"/>
      <c r="V42" s="219"/>
      <c r="W42" s="220"/>
      <c r="X42" s="221"/>
      <c r="Y42" s="222"/>
      <c r="Z42" s="223"/>
      <c r="AA42" s="224"/>
      <c r="AB42" s="225"/>
      <c r="AC42" s="226"/>
      <c r="AD42" s="227"/>
      <c r="AE42" s="228"/>
      <c r="AF42" s="193"/>
    </row>
    <row r="43" spans="2:32" s="8" customFormat="1" ht="16.5" customHeight="1" thickBot="1" thickTop="1">
      <c r="B43" s="55"/>
      <c r="C43" s="625" t="s">
        <v>327</v>
      </c>
      <c r="D43" s="784" t="s">
        <v>482</v>
      </c>
      <c r="E43" s="229"/>
      <c r="F43" s="231"/>
      <c r="G43" s="232"/>
      <c r="H43" s="233"/>
      <c r="I43" s="234"/>
      <c r="J43" s="233"/>
      <c r="K43" s="235"/>
      <c r="L43" s="235"/>
      <c r="M43" s="235"/>
      <c r="N43" s="235"/>
      <c r="O43" s="235"/>
      <c r="P43" s="235"/>
      <c r="Q43" s="236"/>
      <c r="R43" s="235"/>
      <c r="S43" s="235"/>
      <c r="T43" s="237">
        <f aca="true" t="shared" si="19" ref="T43:AC43">SUM(T20:T42)</f>
        <v>6437.221289520001</v>
      </c>
      <c r="U43" s="238">
        <f t="shared" si="19"/>
        <v>0</v>
      </c>
      <c r="V43" s="239">
        <f t="shared" si="19"/>
        <v>0</v>
      </c>
      <c r="W43" s="239">
        <f t="shared" si="19"/>
        <v>0</v>
      </c>
      <c r="X43" s="239">
        <f t="shared" si="19"/>
        <v>0</v>
      </c>
      <c r="Y43" s="240">
        <f t="shared" si="19"/>
        <v>0</v>
      </c>
      <c r="Z43" s="240">
        <f t="shared" si="19"/>
        <v>0</v>
      </c>
      <c r="AA43" s="240">
        <f t="shared" si="19"/>
        <v>0</v>
      </c>
      <c r="AB43" s="241">
        <f t="shared" si="19"/>
        <v>0</v>
      </c>
      <c r="AC43" s="242">
        <f t="shared" si="19"/>
        <v>0</v>
      </c>
      <c r="AD43" s="243"/>
      <c r="AE43" s="244">
        <f>ROUND(SUM(AE20:AE42),2)</f>
        <v>2920.69</v>
      </c>
      <c r="AF43" s="193"/>
    </row>
    <row r="44" spans="2:32" s="8" customFormat="1" ht="16.5" customHeight="1" thickBot="1" thickTop="1">
      <c r="B44" s="245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7"/>
    </row>
    <row r="45" spans="2:32" ht="16.5" customHeight="1" thickTop="1">
      <c r="B45" s="248"/>
      <c r="C45" s="248"/>
      <c r="D45" s="248"/>
      <c r="AF45" s="248"/>
    </row>
  </sheetData>
  <sheetProtection password="CC12"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Roman,Normal"&amp;8&amp;F-&amp;A</oddFooter>
  </headerFooter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7"/>
  <sheetViews>
    <sheetView zoomScale="75" zoomScaleNormal="75" zoomScalePageLayoutView="0" workbookViewId="0" topLeftCell="A1">
      <selection activeCell="N51" sqref="N51"/>
    </sheetView>
  </sheetViews>
  <sheetFormatPr defaultColWidth="11.421875" defaultRowHeight="12.75"/>
  <cols>
    <col min="1" max="1" width="2.140625" style="9" customWidth="1"/>
    <col min="2" max="2" width="4.140625" style="9" customWidth="1"/>
    <col min="3" max="3" width="5.421875" style="9" customWidth="1"/>
    <col min="4" max="5" width="13.57421875" style="9" customWidth="1"/>
    <col min="6" max="6" width="35.8515625" style="9" customWidth="1"/>
    <col min="7" max="7" width="30.7109375" style="9" customWidth="1"/>
    <col min="8" max="8" width="8.00390625" style="9" customWidth="1"/>
    <col min="9" max="9" width="5.421875" style="9" hidden="1" customWidth="1"/>
    <col min="10" max="11" width="15.7109375" style="9" customWidth="1"/>
    <col min="12" max="15" width="9.7109375" style="9" customWidth="1"/>
    <col min="16" max="16" width="6.00390625" style="9" customWidth="1"/>
    <col min="17" max="17" width="3.7109375" style="9" hidden="1" customWidth="1"/>
    <col min="18" max="18" width="13.140625" style="9" hidden="1" customWidth="1"/>
    <col min="19" max="22" width="9.57421875" style="9" hidden="1" customWidth="1"/>
    <col min="23" max="24" width="12.28125" style="9" hidden="1" customWidth="1"/>
    <col min="25" max="25" width="9.7109375" style="9" customWidth="1"/>
    <col min="26" max="26" width="15.7109375" style="9" customWidth="1"/>
    <col min="27" max="27" width="4.140625" style="9" customWidth="1"/>
    <col min="28" max="16384" width="11.421875" style="9" customWidth="1"/>
  </cols>
  <sheetData>
    <row r="1" s="3" customFormat="1" ht="26.25">
      <c r="AA1" s="5"/>
    </row>
    <row r="2" spans="1:27" s="3" customFormat="1" ht="26.25">
      <c r="A2" s="88"/>
      <c r="B2" s="529" t="str">
        <f>'TOT-0912'!B2</f>
        <v>ANEXO IV al Memorándum  D.T.E.E.  N° 295 / 2014</v>
      </c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</row>
    <row r="3" s="8" customFormat="1" ht="15" customHeight="1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27" s="8" customFormat="1" ht="13.5" thickTop="1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460"/>
    </row>
    <row r="8" spans="2:27" s="18" customFormat="1" ht="20.25">
      <c r="B8" s="95"/>
      <c r="C8" s="23"/>
      <c r="D8" s="23"/>
      <c r="F8" s="96" t="s">
        <v>73</v>
      </c>
      <c r="G8" s="530"/>
      <c r="H8" s="22"/>
      <c r="I8" s="21"/>
      <c r="J8" s="21"/>
      <c r="K8" s="21"/>
      <c r="L8" s="21"/>
      <c r="M8" s="21"/>
      <c r="N8" s="21"/>
      <c r="O8" s="2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531"/>
    </row>
    <row r="9" spans="2:27" s="8" customFormat="1" ht="12.75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60"/>
    </row>
    <row r="10" spans="2:27" s="18" customFormat="1" ht="20.25">
      <c r="B10" s="95"/>
      <c r="C10" s="23"/>
      <c r="D10" s="23"/>
      <c r="F10" s="97" t="s">
        <v>74</v>
      </c>
      <c r="H10" s="532"/>
      <c r="I10" s="533"/>
      <c r="J10" s="533"/>
      <c r="K10" s="533"/>
      <c r="L10" s="533"/>
      <c r="M10" s="533"/>
      <c r="N10" s="533"/>
      <c r="O10" s="533"/>
      <c r="P10" s="533"/>
      <c r="Q10" s="533"/>
      <c r="R10" s="23"/>
      <c r="S10" s="23"/>
      <c r="T10" s="23"/>
      <c r="U10" s="23"/>
      <c r="V10" s="23"/>
      <c r="W10" s="23"/>
      <c r="X10" s="23"/>
      <c r="Y10" s="23"/>
      <c r="Z10" s="23"/>
      <c r="AA10" s="462"/>
    </row>
    <row r="11" spans="2:27" s="8" customFormat="1" ht="16.5" customHeight="1">
      <c r="B11" s="55"/>
      <c r="C11" s="11"/>
      <c r="D11" s="11"/>
      <c r="E11" s="11"/>
      <c r="F11" s="534"/>
      <c r="H11" s="24"/>
      <c r="I11" s="100"/>
      <c r="J11" s="100"/>
      <c r="K11" s="100"/>
      <c r="L11" s="100"/>
      <c r="M11" s="100"/>
      <c r="N11" s="100"/>
      <c r="O11" s="100"/>
      <c r="P11" s="100"/>
      <c r="Q11" s="100"/>
      <c r="R11" s="11"/>
      <c r="S11" s="11"/>
      <c r="T11" s="11"/>
      <c r="U11" s="11"/>
      <c r="V11" s="11"/>
      <c r="W11" s="11"/>
      <c r="X11" s="11"/>
      <c r="Y11" s="11"/>
      <c r="Z11" s="11"/>
      <c r="AA11" s="60"/>
    </row>
    <row r="12" spans="2:27" s="18" customFormat="1" ht="20.25">
      <c r="B12" s="95"/>
      <c r="C12" s="23"/>
      <c r="D12" s="23"/>
      <c r="F12" s="97" t="s">
        <v>347</v>
      </c>
      <c r="H12" s="532"/>
      <c r="I12" s="533"/>
      <c r="J12" s="533"/>
      <c r="K12" s="533"/>
      <c r="L12" s="533"/>
      <c r="M12" s="533"/>
      <c r="N12" s="533"/>
      <c r="O12" s="533"/>
      <c r="P12" s="533"/>
      <c r="Q12" s="533"/>
      <c r="R12" s="23"/>
      <c r="S12" s="23"/>
      <c r="T12" s="23"/>
      <c r="U12" s="23"/>
      <c r="V12" s="23"/>
      <c r="W12" s="23"/>
      <c r="X12" s="23"/>
      <c r="Y12" s="23"/>
      <c r="Z12" s="23"/>
      <c r="AA12" s="462"/>
    </row>
    <row r="13" spans="2:27" s="8" customFormat="1" ht="16.5" customHeight="1">
      <c r="B13" s="55"/>
      <c r="C13" s="11"/>
      <c r="D13" s="11"/>
      <c r="E13" s="11"/>
      <c r="F13" s="534"/>
      <c r="H13" s="24"/>
      <c r="I13" s="100"/>
      <c r="J13" s="100"/>
      <c r="K13" s="100"/>
      <c r="L13" s="100"/>
      <c r="M13" s="100"/>
      <c r="N13" s="100"/>
      <c r="O13" s="100"/>
      <c r="P13" s="100"/>
      <c r="Q13" s="100"/>
      <c r="R13" s="11"/>
      <c r="S13" s="11"/>
      <c r="T13" s="11"/>
      <c r="U13" s="11"/>
      <c r="V13" s="11"/>
      <c r="W13" s="11"/>
      <c r="X13" s="11"/>
      <c r="Y13" s="11"/>
      <c r="Z13" s="11"/>
      <c r="AA13" s="60"/>
    </row>
    <row r="14" spans="2:27" s="34" customFormat="1" ht="16.5" customHeight="1">
      <c r="B14" s="35" t="str">
        <f>'[4]TOT-0812'!B14</f>
        <v>Desde el 01 al 31 de agosto de 2012</v>
      </c>
      <c r="C14" s="39"/>
      <c r="D14" s="39"/>
      <c r="E14" s="535"/>
      <c r="F14" s="536"/>
      <c r="G14" s="536"/>
      <c r="H14" s="536"/>
      <c r="I14" s="536"/>
      <c r="J14" s="536"/>
      <c r="K14" s="536"/>
      <c r="L14" s="536"/>
      <c r="M14" s="536"/>
      <c r="N14" s="536"/>
      <c r="O14" s="536"/>
      <c r="P14" s="536"/>
      <c r="Q14" s="536"/>
      <c r="R14" s="535"/>
      <c r="S14" s="535"/>
      <c r="T14" s="535"/>
      <c r="U14" s="535"/>
      <c r="V14" s="535"/>
      <c r="W14" s="535"/>
      <c r="X14" s="535"/>
      <c r="Y14" s="535"/>
      <c r="Z14" s="535"/>
      <c r="AA14" s="537"/>
    </row>
    <row r="15" spans="2:27" s="8" customFormat="1" ht="16.5" customHeight="1" thickBot="1">
      <c r="B15" s="5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R15" s="11"/>
      <c r="S15" s="11"/>
      <c r="T15" s="11"/>
      <c r="U15" s="11"/>
      <c r="V15" s="11"/>
      <c r="W15" s="11"/>
      <c r="X15" s="11"/>
      <c r="Y15" s="11"/>
      <c r="Z15" s="11"/>
      <c r="AA15" s="60"/>
    </row>
    <row r="16" spans="2:27" s="8" customFormat="1" ht="16.5" customHeight="1" thickBot="1" thickTop="1">
      <c r="B16" s="55"/>
      <c r="C16" s="11"/>
      <c r="D16" s="11"/>
      <c r="E16" s="11"/>
      <c r="F16" s="538" t="s">
        <v>56</v>
      </c>
      <c r="G16" s="276"/>
      <c r="H16" s="315">
        <v>0.319</v>
      </c>
      <c r="I16" s="474"/>
      <c r="J16" s="9"/>
      <c r="K16" s="11"/>
      <c r="L16" s="11"/>
      <c r="M16" s="11"/>
      <c r="N16" s="11"/>
      <c r="O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60"/>
    </row>
    <row r="17" spans="2:27" s="8" customFormat="1" ht="16.5" customHeight="1" thickBot="1" thickTop="1">
      <c r="B17" s="55"/>
      <c r="C17" s="11"/>
      <c r="D17" s="11"/>
      <c r="E17" s="11"/>
      <c r="F17" s="539" t="s">
        <v>57</v>
      </c>
      <c r="G17" s="540"/>
      <c r="H17" s="541">
        <v>20</v>
      </c>
      <c r="I17" s="474"/>
      <c r="J17" s="9"/>
      <c r="K17" s="107"/>
      <c r="L17" s="108"/>
      <c r="M17" s="11"/>
      <c r="N17" s="11"/>
      <c r="O17" s="11"/>
      <c r="Q17" s="11"/>
      <c r="R17" s="11"/>
      <c r="S17" s="11"/>
      <c r="T17" s="109"/>
      <c r="U17" s="109"/>
      <c r="V17" s="109"/>
      <c r="W17" s="109"/>
      <c r="X17" s="109"/>
      <c r="Y17" s="109"/>
      <c r="Z17" s="109"/>
      <c r="AA17" s="60"/>
    </row>
    <row r="18" spans="2:27" s="8" customFormat="1" ht="16.5" customHeight="1" thickBot="1" thickTop="1">
      <c r="B18" s="55"/>
      <c r="C18" s="110">
        <v>3</v>
      </c>
      <c r="D18" s="110">
        <v>4</v>
      </c>
      <c r="E18" s="110">
        <v>5</v>
      </c>
      <c r="F18" s="110">
        <v>6</v>
      </c>
      <c r="G18" s="110">
        <v>7</v>
      </c>
      <c r="H18" s="110">
        <v>8</v>
      </c>
      <c r="I18" s="110">
        <v>9</v>
      </c>
      <c r="J18" s="110">
        <v>10</v>
      </c>
      <c r="K18" s="110">
        <v>11</v>
      </c>
      <c r="L18" s="110">
        <v>12</v>
      </c>
      <c r="M18" s="110">
        <v>13</v>
      </c>
      <c r="N18" s="110">
        <v>14</v>
      </c>
      <c r="O18" s="110">
        <v>15</v>
      </c>
      <c r="P18" s="110">
        <v>16</v>
      </c>
      <c r="Q18" s="110">
        <v>17</v>
      </c>
      <c r="R18" s="110">
        <v>18</v>
      </c>
      <c r="S18" s="110">
        <v>19</v>
      </c>
      <c r="T18" s="110">
        <v>20</v>
      </c>
      <c r="U18" s="110">
        <v>21</v>
      </c>
      <c r="V18" s="110">
        <v>22</v>
      </c>
      <c r="W18" s="110">
        <v>23</v>
      </c>
      <c r="X18" s="110">
        <v>24</v>
      </c>
      <c r="Y18" s="110">
        <v>25</v>
      </c>
      <c r="Z18" s="110">
        <v>26</v>
      </c>
      <c r="AA18" s="60"/>
    </row>
    <row r="19" spans="2:27" s="8" customFormat="1" ht="33.75" customHeight="1" thickBot="1" thickTop="1">
      <c r="B19" s="55"/>
      <c r="C19" s="321" t="s">
        <v>28</v>
      </c>
      <c r="D19" s="111" t="s">
        <v>29</v>
      </c>
      <c r="E19" s="111" t="s">
        <v>30</v>
      </c>
      <c r="F19" s="114" t="s">
        <v>58</v>
      </c>
      <c r="G19" s="112" t="s">
        <v>59</v>
      </c>
      <c r="H19" s="542" t="s">
        <v>76</v>
      </c>
      <c r="I19" s="326" t="s">
        <v>35</v>
      </c>
      <c r="J19" s="112" t="s">
        <v>36</v>
      </c>
      <c r="K19" s="112" t="s">
        <v>37</v>
      </c>
      <c r="L19" s="114" t="s">
        <v>38</v>
      </c>
      <c r="M19" s="114" t="s">
        <v>39</v>
      </c>
      <c r="N19" s="119" t="s">
        <v>254</v>
      </c>
      <c r="O19" s="119" t="s">
        <v>40</v>
      </c>
      <c r="P19" s="112" t="s">
        <v>42</v>
      </c>
      <c r="Q19" s="326" t="s">
        <v>34</v>
      </c>
      <c r="R19" s="543" t="s">
        <v>71</v>
      </c>
      <c r="S19" s="544" t="s">
        <v>77</v>
      </c>
      <c r="T19" s="545"/>
      <c r="U19" s="331" t="s">
        <v>78</v>
      </c>
      <c r="V19" s="332"/>
      <c r="W19" s="546" t="s">
        <v>47</v>
      </c>
      <c r="X19" s="330" t="s">
        <v>44</v>
      </c>
      <c r="Y19" s="130" t="s">
        <v>49</v>
      </c>
      <c r="Z19" s="547" t="s">
        <v>50</v>
      </c>
      <c r="AA19" s="60"/>
    </row>
    <row r="20" spans="2:27" s="8" customFormat="1" ht="16.5" customHeight="1" thickTop="1">
      <c r="B20" s="55"/>
      <c r="C20" s="335"/>
      <c r="D20" s="335"/>
      <c r="E20" s="335"/>
      <c r="F20" s="548"/>
      <c r="G20" s="548"/>
      <c r="H20" s="548"/>
      <c r="I20" s="423"/>
      <c r="J20" s="549"/>
      <c r="K20" s="549"/>
      <c r="L20" s="550"/>
      <c r="M20" s="550"/>
      <c r="N20" s="548"/>
      <c r="O20" s="151"/>
      <c r="P20" s="550"/>
      <c r="Q20" s="551"/>
      <c r="R20" s="552"/>
      <c r="S20" s="553"/>
      <c r="T20" s="554"/>
      <c r="U20" s="344"/>
      <c r="V20" s="345"/>
      <c r="W20" s="555"/>
      <c r="X20" s="555"/>
      <c r="Y20" s="556"/>
      <c r="Z20" s="557"/>
      <c r="AA20" s="60"/>
    </row>
    <row r="21" spans="2:27" s="8" customFormat="1" ht="16.5" customHeight="1">
      <c r="B21" s="55"/>
      <c r="C21" s="150"/>
      <c r="D21" s="150"/>
      <c r="E21" s="150"/>
      <c r="F21" s="558"/>
      <c r="G21" s="559"/>
      <c r="H21" s="560"/>
      <c r="I21" s="561"/>
      <c r="J21" s="562"/>
      <c r="K21" s="563"/>
      <c r="L21" s="564"/>
      <c r="M21" s="565"/>
      <c r="N21" s="566"/>
      <c r="O21" s="157"/>
      <c r="P21" s="426"/>
      <c r="Q21" s="567"/>
      <c r="R21" s="568"/>
      <c r="S21" s="569"/>
      <c r="T21" s="570"/>
      <c r="U21" s="357"/>
      <c r="V21" s="358"/>
      <c r="W21" s="571"/>
      <c r="X21" s="571"/>
      <c r="Y21" s="426"/>
      <c r="Z21" s="572"/>
      <c r="AA21" s="60"/>
    </row>
    <row r="22" spans="2:27" s="8" customFormat="1" ht="16.5" customHeight="1">
      <c r="B22" s="55"/>
      <c r="C22" s="150">
        <v>122</v>
      </c>
      <c r="D22" s="150">
        <v>251835</v>
      </c>
      <c r="E22" s="169">
        <v>2671</v>
      </c>
      <c r="F22" s="620" t="s">
        <v>280</v>
      </c>
      <c r="G22" s="621" t="s">
        <v>349</v>
      </c>
      <c r="H22" s="199">
        <v>80</v>
      </c>
      <c r="I22" s="366">
        <f aca="true" t="shared" si="0" ref="I22:I41">H22*$H$16</f>
        <v>25.52</v>
      </c>
      <c r="J22" s="508">
        <v>41169.350694444445</v>
      </c>
      <c r="K22" s="204">
        <v>41172.47361111111</v>
      </c>
      <c r="L22" s="510">
        <f aca="true" t="shared" si="1" ref="L22:L41">IF(F22="","",(K22-J22)*24)</f>
        <v>74.95000000001164</v>
      </c>
      <c r="M22" s="511">
        <f aca="true" t="shared" si="2" ref="M22:M41">IF(F22="","",ROUND((K22-J22)*24*60,0))</f>
        <v>4497</v>
      </c>
      <c r="N22" s="178" t="s">
        <v>259</v>
      </c>
      <c r="O22" s="274" t="str">
        <f aca="true" t="shared" si="3" ref="O22:O41">IF(F22="","","--")</f>
        <v>--</v>
      </c>
      <c r="P22" s="180" t="str">
        <f aca="true" t="shared" si="4" ref="P22:P41">IF(F22="","",IF(OR(N22="P",N22="RP"),"--","NO"))</f>
        <v>--</v>
      </c>
      <c r="Q22" s="575">
        <f aca="true" t="shared" si="5" ref="Q22:Q41">IF(OR(N22="P",N22="RP"),$H$17/10,$H$17)</f>
        <v>2</v>
      </c>
      <c r="R22" s="576">
        <f aca="true" t="shared" si="6" ref="R22:R41">IF(N22="P",I22*Q22*ROUND(M22/60,2),"--")</f>
        <v>3825.448</v>
      </c>
      <c r="S22" s="569" t="str">
        <f aca="true" t="shared" si="7" ref="S22:S41">IF(AND(N22="F",P22="NO"),I22*Q22,"--")</f>
        <v>--</v>
      </c>
      <c r="T22" s="570" t="str">
        <f aca="true" t="shared" si="8" ref="T22:T41">IF(N22="F",I22*Q22*ROUND(M22/60,2),"--")</f>
        <v>--</v>
      </c>
      <c r="U22" s="377" t="str">
        <f aca="true" t="shared" si="9" ref="U22:U41">IF(AND(N22="R",P22="NO"),I22*Q22*O22/100,"--")</f>
        <v>--</v>
      </c>
      <c r="V22" s="378" t="str">
        <f aca="true" t="shared" si="10" ref="V22:V41">IF(N22="R",I22*Q22*O22/100*ROUND(M22/60,2),"--")</f>
        <v>--</v>
      </c>
      <c r="W22" s="571" t="str">
        <f aca="true" t="shared" si="11" ref="W22:W41">IF(N22="RF",I22*Q22*ROUND(M22/60,2),"--")</f>
        <v>--</v>
      </c>
      <c r="X22" s="428" t="str">
        <f aca="true" t="shared" si="12" ref="X22:X41">IF(N22="RP",I22*Q22*O22/100*ROUND(M22/60,2),"--")</f>
        <v>--</v>
      </c>
      <c r="Y22" s="180" t="str">
        <f aca="true" t="shared" si="13" ref="Y22:Y41">IF(F22="","","SI")</f>
        <v>SI</v>
      </c>
      <c r="Z22" s="514">
        <f aca="true" t="shared" si="14" ref="Z22:Z41">IF(F22="","",SUM(R22:X22)*IF(Y22="SI",1,2)*IF(AND(O22&lt;&gt;"--",N22="RF"),O22/100,1))</f>
        <v>3825.448</v>
      </c>
      <c r="AA22" s="60"/>
    </row>
    <row r="23" spans="2:27" s="8" customFormat="1" ht="16.5" customHeight="1">
      <c r="B23" s="55"/>
      <c r="C23" s="150"/>
      <c r="D23" s="150"/>
      <c r="E23" s="150"/>
      <c r="F23" s="620"/>
      <c r="G23" s="621"/>
      <c r="H23" s="199"/>
      <c r="I23" s="366">
        <f t="shared" si="0"/>
        <v>0</v>
      </c>
      <c r="J23" s="508"/>
      <c r="K23" s="204"/>
      <c r="L23" s="510">
        <f t="shared" si="1"/>
      </c>
      <c r="M23" s="511">
        <f t="shared" si="2"/>
      </c>
      <c r="N23" s="178"/>
      <c r="O23" s="274">
        <f t="shared" si="3"/>
      </c>
      <c r="P23" s="180">
        <f t="shared" si="4"/>
      </c>
      <c r="Q23" s="575">
        <f t="shared" si="5"/>
        <v>20</v>
      </c>
      <c r="R23" s="576" t="str">
        <f t="shared" si="6"/>
        <v>--</v>
      </c>
      <c r="S23" s="569" t="str">
        <f t="shared" si="7"/>
        <v>--</v>
      </c>
      <c r="T23" s="570" t="str">
        <f t="shared" si="8"/>
        <v>--</v>
      </c>
      <c r="U23" s="377" t="str">
        <f t="shared" si="9"/>
        <v>--</v>
      </c>
      <c r="V23" s="378" t="str">
        <f t="shared" si="10"/>
        <v>--</v>
      </c>
      <c r="W23" s="571" t="str">
        <f t="shared" si="11"/>
        <v>--</v>
      </c>
      <c r="X23" s="428" t="str">
        <f t="shared" si="12"/>
        <v>--</v>
      </c>
      <c r="Y23" s="180">
        <f t="shared" si="13"/>
      </c>
      <c r="Z23" s="514">
        <f t="shared" si="14"/>
      </c>
      <c r="AA23" s="60"/>
    </row>
    <row r="24" spans="2:27" s="8" customFormat="1" ht="16.5" customHeight="1">
      <c r="B24" s="55"/>
      <c r="C24" s="150"/>
      <c r="D24" s="150"/>
      <c r="E24" s="150"/>
      <c r="F24" s="620"/>
      <c r="G24" s="621"/>
      <c r="H24" s="199"/>
      <c r="I24" s="366">
        <f t="shared" si="0"/>
        <v>0</v>
      </c>
      <c r="J24" s="508"/>
      <c r="K24" s="204"/>
      <c r="L24" s="510">
        <f t="shared" si="1"/>
      </c>
      <c r="M24" s="511">
        <f t="shared" si="2"/>
      </c>
      <c r="N24" s="178"/>
      <c r="O24" s="274">
        <f t="shared" si="3"/>
      </c>
      <c r="P24" s="180">
        <f t="shared" si="4"/>
      </c>
      <c r="Q24" s="575">
        <f t="shared" si="5"/>
        <v>20</v>
      </c>
      <c r="R24" s="576" t="str">
        <f t="shared" si="6"/>
        <v>--</v>
      </c>
      <c r="S24" s="569" t="str">
        <f t="shared" si="7"/>
        <v>--</v>
      </c>
      <c r="T24" s="570" t="str">
        <f t="shared" si="8"/>
        <v>--</v>
      </c>
      <c r="U24" s="377" t="str">
        <f t="shared" si="9"/>
        <v>--</v>
      </c>
      <c r="V24" s="378" t="str">
        <f t="shared" si="10"/>
        <v>--</v>
      </c>
      <c r="W24" s="571" t="str">
        <f t="shared" si="11"/>
        <v>--</v>
      </c>
      <c r="X24" s="428" t="str">
        <f t="shared" si="12"/>
        <v>--</v>
      </c>
      <c r="Y24" s="180">
        <f t="shared" si="13"/>
      </c>
      <c r="Z24" s="514">
        <f t="shared" si="14"/>
      </c>
      <c r="AA24" s="60"/>
    </row>
    <row r="25" spans="2:27" s="8" customFormat="1" ht="16.5" customHeight="1">
      <c r="B25" s="55"/>
      <c r="C25" s="150"/>
      <c r="D25" s="150"/>
      <c r="E25" s="150"/>
      <c r="F25" s="620"/>
      <c r="G25" s="621"/>
      <c r="H25" s="199"/>
      <c r="I25" s="366">
        <f t="shared" si="0"/>
        <v>0</v>
      </c>
      <c r="J25" s="508"/>
      <c r="K25" s="204"/>
      <c r="L25" s="510">
        <f t="shared" si="1"/>
      </c>
      <c r="M25" s="511">
        <f t="shared" si="2"/>
      </c>
      <c r="N25" s="178"/>
      <c r="O25" s="274">
        <f t="shared" si="3"/>
      </c>
      <c r="P25" s="180">
        <f t="shared" si="4"/>
      </c>
      <c r="Q25" s="575">
        <f t="shared" si="5"/>
        <v>20</v>
      </c>
      <c r="R25" s="576" t="str">
        <f t="shared" si="6"/>
        <v>--</v>
      </c>
      <c r="S25" s="569" t="str">
        <f t="shared" si="7"/>
        <v>--</v>
      </c>
      <c r="T25" s="570" t="str">
        <f t="shared" si="8"/>
        <v>--</v>
      </c>
      <c r="U25" s="377" t="str">
        <f t="shared" si="9"/>
        <v>--</v>
      </c>
      <c r="V25" s="378" t="str">
        <f t="shared" si="10"/>
        <v>--</v>
      </c>
      <c r="W25" s="571" t="str">
        <f t="shared" si="11"/>
        <v>--</v>
      </c>
      <c r="X25" s="428" t="str">
        <f t="shared" si="12"/>
        <v>--</v>
      </c>
      <c r="Y25" s="180">
        <f t="shared" si="13"/>
      </c>
      <c r="Z25" s="514">
        <f t="shared" si="14"/>
      </c>
      <c r="AA25" s="577"/>
    </row>
    <row r="26" spans="2:27" s="8" customFormat="1" ht="16.5" customHeight="1">
      <c r="B26" s="55"/>
      <c r="C26" s="150"/>
      <c r="D26" s="150"/>
      <c r="E26" s="150"/>
      <c r="F26" s="620"/>
      <c r="G26" s="621"/>
      <c r="H26" s="199"/>
      <c r="I26" s="366">
        <f t="shared" si="0"/>
        <v>0</v>
      </c>
      <c r="J26" s="508"/>
      <c r="K26" s="204"/>
      <c r="L26" s="510">
        <f t="shared" si="1"/>
      </c>
      <c r="M26" s="511">
        <f t="shared" si="2"/>
      </c>
      <c r="N26" s="178"/>
      <c r="O26" s="274">
        <f t="shared" si="3"/>
      </c>
      <c r="P26" s="180">
        <f t="shared" si="4"/>
      </c>
      <c r="Q26" s="575">
        <f t="shared" si="5"/>
        <v>20</v>
      </c>
      <c r="R26" s="576" t="str">
        <f t="shared" si="6"/>
        <v>--</v>
      </c>
      <c r="S26" s="569" t="str">
        <f t="shared" si="7"/>
        <v>--</v>
      </c>
      <c r="T26" s="570" t="str">
        <f t="shared" si="8"/>
        <v>--</v>
      </c>
      <c r="U26" s="377" t="str">
        <f t="shared" si="9"/>
        <v>--</v>
      </c>
      <c r="V26" s="378" t="str">
        <f t="shared" si="10"/>
        <v>--</v>
      </c>
      <c r="W26" s="571" t="str">
        <f t="shared" si="11"/>
        <v>--</v>
      </c>
      <c r="X26" s="428" t="str">
        <f t="shared" si="12"/>
        <v>--</v>
      </c>
      <c r="Y26" s="180">
        <f t="shared" si="13"/>
      </c>
      <c r="Z26" s="514">
        <f t="shared" si="14"/>
      </c>
      <c r="AA26" s="577"/>
    </row>
    <row r="27" spans="2:27" s="8" customFormat="1" ht="16.5" customHeight="1">
      <c r="B27" s="55"/>
      <c r="C27" s="150"/>
      <c r="D27" s="150"/>
      <c r="E27" s="150"/>
      <c r="F27" s="573"/>
      <c r="G27" s="505"/>
      <c r="H27" s="574"/>
      <c r="I27" s="366">
        <f t="shared" si="0"/>
        <v>0</v>
      </c>
      <c r="J27" s="508"/>
      <c r="K27" s="204"/>
      <c r="L27" s="510">
        <f t="shared" si="1"/>
      </c>
      <c r="M27" s="511">
        <f t="shared" si="2"/>
      </c>
      <c r="N27" s="178"/>
      <c r="O27" s="274">
        <f t="shared" si="3"/>
      </c>
      <c r="P27" s="180">
        <f t="shared" si="4"/>
      </c>
      <c r="Q27" s="575">
        <f t="shared" si="5"/>
        <v>20</v>
      </c>
      <c r="R27" s="576" t="str">
        <f t="shared" si="6"/>
        <v>--</v>
      </c>
      <c r="S27" s="569" t="str">
        <f t="shared" si="7"/>
        <v>--</v>
      </c>
      <c r="T27" s="570" t="str">
        <f t="shared" si="8"/>
        <v>--</v>
      </c>
      <c r="U27" s="377" t="str">
        <f t="shared" si="9"/>
        <v>--</v>
      </c>
      <c r="V27" s="378" t="str">
        <f t="shared" si="10"/>
        <v>--</v>
      </c>
      <c r="W27" s="571" t="str">
        <f t="shared" si="11"/>
        <v>--</v>
      </c>
      <c r="X27" s="428" t="str">
        <f t="shared" si="12"/>
        <v>--</v>
      </c>
      <c r="Y27" s="180">
        <f t="shared" si="13"/>
      </c>
      <c r="Z27" s="514">
        <f t="shared" si="14"/>
      </c>
      <c r="AA27" s="577"/>
    </row>
    <row r="28" spans="2:27" s="8" customFormat="1" ht="16.5" customHeight="1">
      <c r="B28" s="55"/>
      <c r="C28" s="150"/>
      <c r="D28" s="150"/>
      <c r="E28" s="169"/>
      <c r="F28" s="573"/>
      <c r="G28" s="505"/>
      <c r="H28" s="574"/>
      <c r="I28" s="366">
        <f t="shared" si="0"/>
        <v>0</v>
      </c>
      <c r="J28" s="508"/>
      <c r="K28" s="204"/>
      <c r="L28" s="510">
        <f t="shared" si="1"/>
      </c>
      <c r="M28" s="511">
        <f t="shared" si="2"/>
      </c>
      <c r="N28" s="178"/>
      <c r="O28" s="274">
        <f t="shared" si="3"/>
      </c>
      <c r="P28" s="180">
        <f t="shared" si="4"/>
      </c>
      <c r="Q28" s="575">
        <f t="shared" si="5"/>
        <v>20</v>
      </c>
      <c r="R28" s="576" t="str">
        <f t="shared" si="6"/>
        <v>--</v>
      </c>
      <c r="S28" s="569" t="str">
        <f t="shared" si="7"/>
        <v>--</v>
      </c>
      <c r="T28" s="570" t="str">
        <f t="shared" si="8"/>
        <v>--</v>
      </c>
      <c r="U28" s="377" t="str">
        <f t="shared" si="9"/>
        <v>--</v>
      </c>
      <c r="V28" s="378" t="str">
        <f t="shared" si="10"/>
        <v>--</v>
      </c>
      <c r="W28" s="571" t="str">
        <f t="shared" si="11"/>
        <v>--</v>
      </c>
      <c r="X28" s="428" t="str">
        <f t="shared" si="12"/>
        <v>--</v>
      </c>
      <c r="Y28" s="180">
        <f t="shared" si="13"/>
      </c>
      <c r="Z28" s="514">
        <f t="shared" si="14"/>
      </c>
      <c r="AA28" s="577"/>
    </row>
    <row r="29" spans="2:27" s="8" customFormat="1" ht="16.5" customHeight="1">
      <c r="B29" s="55"/>
      <c r="C29" s="150"/>
      <c r="D29" s="150"/>
      <c r="E29" s="150"/>
      <c r="F29" s="573"/>
      <c r="G29" s="505"/>
      <c r="H29" s="574"/>
      <c r="I29" s="366">
        <f t="shared" si="0"/>
        <v>0</v>
      </c>
      <c r="J29" s="508"/>
      <c r="K29" s="204"/>
      <c r="L29" s="510">
        <f t="shared" si="1"/>
      </c>
      <c r="M29" s="511">
        <f t="shared" si="2"/>
      </c>
      <c r="N29" s="178"/>
      <c r="O29" s="274">
        <f t="shared" si="3"/>
      </c>
      <c r="P29" s="180">
        <f t="shared" si="4"/>
      </c>
      <c r="Q29" s="575">
        <f t="shared" si="5"/>
        <v>20</v>
      </c>
      <c r="R29" s="576" t="str">
        <f t="shared" si="6"/>
        <v>--</v>
      </c>
      <c r="S29" s="569" t="str">
        <f t="shared" si="7"/>
        <v>--</v>
      </c>
      <c r="T29" s="570" t="str">
        <f t="shared" si="8"/>
        <v>--</v>
      </c>
      <c r="U29" s="377" t="str">
        <f t="shared" si="9"/>
        <v>--</v>
      </c>
      <c r="V29" s="378" t="str">
        <f t="shared" si="10"/>
        <v>--</v>
      </c>
      <c r="W29" s="571" t="str">
        <f t="shared" si="11"/>
        <v>--</v>
      </c>
      <c r="X29" s="428" t="str">
        <f t="shared" si="12"/>
        <v>--</v>
      </c>
      <c r="Y29" s="180">
        <f t="shared" si="13"/>
      </c>
      <c r="Z29" s="514">
        <f t="shared" si="14"/>
      </c>
      <c r="AA29" s="577"/>
    </row>
    <row r="30" spans="2:27" s="8" customFormat="1" ht="16.5" customHeight="1">
      <c r="B30" s="55"/>
      <c r="C30" s="150"/>
      <c r="D30" s="150"/>
      <c r="E30" s="169"/>
      <c r="F30" s="573"/>
      <c r="G30" s="505"/>
      <c r="H30" s="574"/>
      <c r="I30" s="366">
        <f t="shared" si="0"/>
        <v>0</v>
      </c>
      <c r="J30" s="508"/>
      <c r="K30" s="204"/>
      <c r="L30" s="510">
        <f t="shared" si="1"/>
      </c>
      <c r="M30" s="511">
        <f t="shared" si="2"/>
      </c>
      <c r="N30" s="178"/>
      <c r="O30" s="274">
        <f t="shared" si="3"/>
      </c>
      <c r="P30" s="180">
        <f t="shared" si="4"/>
      </c>
      <c r="Q30" s="575">
        <f t="shared" si="5"/>
        <v>20</v>
      </c>
      <c r="R30" s="576" t="str">
        <f t="shared" si="6"/>
        <v>--</v>
      </c>
      <c r="S30" s="569" t="str">
        <f t="shared" si="7"/>
        <v>--</v>
      </c>
      <c r="T30" s="570" t="str">
        <f t="shared" si="8"/>
        <v>--</v>
      </c>
      <c r="U30" s="377" t="str">
        <f t="shared" si="9"/>
        <v>--</v>
      </c>
      <c r="V30" s="378" t="str">
        <f t="shared" si="10"/>
        <v>--</v>
      </c>
      <c r="W30" s="571" t="str">
        <f t="shared" si="11"/>
        <v>--</v>
      </c>
      <c r="X30" s="428" t="str">
        <f t="shared" si="12"/>
        <v>--</v>
      </c>
      <c r="Y30" s="180">
        <f t="shared" si="13"/>
      </c>
      <c r="Z30" s="514">
        <f t="shared" si="14"/>
      </c>
      <c r="AA30" s="577"/>
    </row>
    <row r="31" spans="2:27" s="8" customFormat="1" ht="16.5" customHeight="1">
      <c r="B31" s="55"/>
      <c r="C31" s="150"/>
      <c r="D31" s="150"/>
      <c r="E31" s="150"/>
      <c r="F31" s="573"/>
      <c r="G31" s="505"/>
      <c r="H31" s="574"/>
      <c r="I31" s="366">
        <f t="shared" si="0"/>
        <v>0</v>
      </c>
      <c r="J31" s="508"/>
      <c r="K31" s="204"/>
      <c r="L31" s="510">
        <f t="shared" si="1"/>
      </c>
      <c r="M31" s="511">
        <f t="shared" si="2"/>
      </c>
      <c r="N31" s="178"/>
      <c r="O31" s="274">
        <f t="shared" si="3"/>
      </c>
      <c r="P31" s="180">
        <f t="shared" si="4"/>
      </c>
      <c r="Q31" s="575">
        <f t="shared" si="5"/>
        <v>20</v>
      </c>
      <c r="R31" s="576" t="str">
        <f t="shared" si="6"/>
        <v>--</v>
      </c>
      <c r="S31" s="569" t="str">
        <f t="shared" si="7"/>
        <v>--</v>
      </c>
      <c r="T31" s="570" t="str">
        <f t="shared" si="8"/>
        <v>--</v>
      </c>
      <c r="U31" s="377" t="str">
        <f t="shared" si="9"/>
        <v>--</v>
      </c>
      <c r="V31" s="378" t="str">
        <f t="shared" si="10"/>
        <v>--</v>
      </c>
      <c r="W31" s="571" t="str">
        <f t="shared" si="11"/>
        <v>--</v>
      </c>
      <c r="X31" s="428" t="str">
        <f t="shared" si="12"/>
        <v>--</v>
      </c>
      <c r="Y31" s="180">
        <f t="shared" si="13"/>
      </c>
      <c r="Z31" s="514">
        <f t="shared" si="14"/>
      </c>
      <c r="AA31" s="60"/>
    </row>
    <row r="32" spans="2:27" s="8" customFormat="1" ht="16.5" customHeight="1">
      <c r="B32" s="55"/>
      <c r="C32" s="150"/>
      <c r="D32" s="150"/>
      <c r="E32" s="169"/>
      <c r="F32" s="573"/>
      <c r="G32" s="505"/>
      <c r="H32" s="574"/>
      <c r="I32" s="366">
        <f t="shared" si="0"/>
        <v>0</v>
      </c>
      <c r="J32" s="508"/>
      <c r="K32" s="204"/>
      <c r="L32" s="510">
        <f t="shared" si="1"/>
      </c>
      <c r="M32" s="511">
        <f t="shared" si="2"/>
      </c>
      <c r="N32" s="178"/>
      <c r="O32" s="274">
        <f t="shared" si="3"/>
      </c>
      <c r="P32" s="180">
        <f t="shared" si="4"/>
      </c>
      <c r="Q32" s="575">
        <f t="shared" si="5"/>
        <v>20</v>
      </c>
      <c r="R32" s="576" t="str">
        <f t="shared" si="6"/>
        <v>--</v>
      </c>
      <c r="S32" s="569" t="str">
        <f t="shared" si="7"/>
        <v>--</v>
      </c>
      <c r="T32" s="570" t="str">
        <f t="shared" si="8"/>
        <v>--</v>
      </c>
      <c r="U32" s="377" t="str">
        <f t="shared" si="9"/>
        <v>--</v>
      </c>
      <c r="V32" s="378" t="str">
        <f t="shared" si="10"/>
        <v>--</v>
      </c>
      <c r="W32" s="571" t="str">
        <f t="shared" si="11"/>
        <v>--</v>
      </c>
      <c r="X32" s="428" t="str">
        <f t="shared" si="12"/>
        <v>--</v>
      </c>
      <c r="Y32" s="180">
        <f t="shared" si="13"/>
      </c>
      <c r="Z32" s="514">
        <f t="shared" si="14"/>
      </c>
      <c r="AA32" s="60"/>
    </row>
    <row r="33" spans="2:27" s="8" customFormat="1" ht="16.5" customHeight="1">
      <c r="B33" s="55"/>
      <c r="C33" s="150"/>
      <c r="D33" s="150"/>
      <c r="E33" s="150"/>
      <c r="F33" s="573"/>
      <c r="G33" s="505"/>
      <c r="H33" s="574"/>
      <c r="I33" s="366">
        <f t="shared" si="0"/>
        <v>0</v>
      </c>
      <c r="J33" s="508"/>
      <c r="K33" s="204"/>
      <c r="L33" s="510">
        <f t="shared" si="1"/>
      </c>
      <c r="M33" s="511">
        <f t="shared" si="2"/>
      </c>
      <c r="N33" s="178"/>
      <c r="O33" s="274">
        <f t="shared" si="3"/>
      </c>
      <c r="P33" s="180">
        <f t="shared" si="4"/>
      </c>
      <c r="Q33" s="575">
        <f t="shared" si="5"/>
        <v>20</v>
      </c>
      <c r="R33" s="576" t="str">
        <f t="shared" si="6"/>
        <v>--</v>
      </c>
      <c r="S33" s="569" t="str">
        <f t="shared" si="7"/>
        <v>--</v>
      </c>
      <c r="T33" s="570" t="str">
        <f t="shared" si="8"/>
        <v>--</v>
      </c>
      <c r="U33" s="377" t="str">
        <f t="shared" si="9"/>
        <v>--</v>
      </c>
      <c r="V33" s="378" t="str">
        <f t="shared" si="10"/>
        <v>--</v>
      </c>
      <c r="W33" s="571" t="str">
        <f t="shared" si="11"/>
        <v>--</v>
      </c>
      <c r="X33" s="428" t="str">
        <f t="shared" si="12"/>
        <v>--</v>
      </c>
      <c r="Y33" s="180">
        <f t="shared" si="13"/>
      </c>
      <c r="Z33" s="514">
        <f t="shared" si="14"/>
      </c>
      <c r="AA33" s="60"/>
    </row>
    <row r="34" spans="2:27" s="8" customFormat="1" ht="16.5" customHeight="1">
      <c r="B34" s="55"/>
      <c r="C34" s="150"/>
      <c r="D34" s="150"/>
      <c r="E34" s="169"/>
      <c r="F34" s="573"/>
      <c r="G34" s="505"/>
      <c r="H34" s="574"/>
      <c r="I34" s="366">
        <f t="shared" si="0"/>
        <v>0</v>
      </c>
      <c r="J34" s="508"/>
      <c r="K34" s="204"/>
      <c r="L34" s="510">
        <f t="shared" si="1"/>
      </c>
      <c r="M34" s="511">
        <f t="shared" si="2"/>
      </c>
      <c r="N34" s="178"/>
      <c r="O34" s="274">
        <f t="shared" si="3"/>
      </c>
      <c r="P34" s="180">
        <f t="shared" si="4"/>
      </c>
      <c r="Q34" s="575">
        <f t="shared" si="5"/>
        <v>20</v>
      </c>
      <c r="R34" s="576" t="str">
        <f t="shared" si="6"/>
        <v>--</v>
      </c>
      <c r="S34" s="569" t="str">
        <f t="shared" si="7"/>
        <v>--</v>
      </c>
      <c r="T34" s="570" t="str">
        <f t="shared" si="8"/>
        <v>--</v>
      </c>
      <c r="U34" s="377" t="str">
        <f t="shared" si="9"/>
        <v>--</v>
      </c>
      <c r="V34" s="378" t="str">
        <f t="shared" si="10"/>
        <v>--</v>
      </c>
      <c r="W34" s="571" t="str">
        <f t="shared" si="11"/>
        <v>--</v>
      </c>
      <c r="X34" s="428" t="str">
        <f t="shared" si="12"/>
        <v>--</v>
      </c>
      <c r="Y34" s="180">
        <f t="shared" si="13"/>
      </c>
      <c r="Z34" s="514">
        <f t="shared" si="14"/>
      </c>
      <c r="AA34" s="60"/>
    </row>
    <row r="35" spans="2:27" s="8" customFormat="1" ht="16.5" customHeight="1">
      <c r="B35" s="55"/>
      <c r="C35" s="150"/>
      <c r="D35" s="150"/>
      <c r="E35" s="150"/>
      <c r="F35" s="573"/>
      <c r="G35" s="505"/>
      <c r="H35" s="574"/>
      <c r="I35" s="366">
        <f t="shared" si="0"/>
        <v>0</v>
      </c>
      <c r="J35" s="508"/>
      <c r="K35" s="204"/>
      <c r="L35" s="510">
        <f t="shared" si="1"/>
      </c>
      <c r="M35" s="511">
        <f t="shared" si="2"/>
      </c>
      <c r="N35" s="178"/>
      <c r="O35" s="274">
        <f t="shared" si="3"/>
      </c>
      <c r="P35" s="180">
        <f t="shared" si="4"/>
      </c>
      <c r="Q35" s="575">
        <f t="shared" si="5"/>
        <v>20</v>
      </c>
      <c r="R35" s="576" t="str">
        <f t="shared" si="6"/>
        <v>--</v>
      </c>
      <c r="S35" s="569" t="str">
        <f t="shared" si="7"/>
        <v>--</v>
      </c>
      <c r="T35" s="570" t="str">
        <f t="shared" si="8"/>
        <v>--</v>
      </c>
      <c r="U35" s="377" t="str">
        <f t="shared" si="9"/>
        <v>--</v>
      </c>
      <c r="V35" s="378" t="str">
        <f t="shared" si="10"/>
        <v>--</v>
      </c>
      <c r="W35" s="571" t="str">
        <f t="shared" si="11"/>
        <v>--</v>
      </c>
      <c r="X35" s="428" t="str">
        <f t="shared" si="12"/>
        <v>--</v>
      </c>
      <c r="Y35" s="180">
        <f t="shared" si="13"/>
      </c>
      <c r="Z35" s="514">
        <f t="shared" si="14"/>
      </c>
      <c r="AA35" s="60"/>
    </row>
    <row r="36" spans="2:27" s="8" customFormat="1" ht="16.5" customHeight="1">
      <c r="B36" s="55"/>
      <c r="C36" s="150"/>
      <c r="D36" s="150"/>
      <c r="E36" s="169"/>
      <c r="F36" s="573"/>
      <c r="G36" s="505"/>
      <c r="H36" s="574"/>
      <c r="I36" s="366">
        <f t="shared" si="0"/>
        <v>0</v>
      </c>
      <c r="J36" s="508"/>
      <c r="K36" s="204"/>
      <c r="L36" s="510">
        <f t="shared" si="1"/>
      </c>
      <c r="M36" s="511">
        <f t="shared" si="2"/>
      </c>
      <c r="N36" s="178"/>
      <c r="O36" s="274">
        <f t="shared" si="3"/>
      </c>
      <c r="P36" s="180">
        <f t="shared" si="4"/>
      </c>
      <c r="Q36" s="575">
        <f t="shared" si="5"/>
        <v>20</v>
      </c>
      <c r="R36" s="576" t="str">
        <f t="shared" si="6"/>
        <v>--</v>
      </c>
      <c r="S36" s="569" t="str">
        <f t="shared" si="7"/>
        <v>--</v>
      </c>
      <c r="T36" s="570" t="str">
        <f t="shared" si="8"/>
        <v>--</v>
      </c>
      <c r="U36" s="377" t="str">
        <f t="shared" si="9"/>
        <v>--</v>
      </c>
      <c r="V36" s="378" t="str">
        <f t="shared" si="10"/>
        <v>--</v>
      </c>
      <c r="W36" s="571" t="str">
        <f t="shared" si="11"/>
        <v>--</v>
      </c>
      <c r="X36" s="428" t="str">
        <f t="shared" si="12"/>
        <v>--</v>
      </c>
      <c r="Y36" s="180">
        <f t="shared" si="13"/>
      </c>
      <c r="Z36" s="514">
        <f t="shared" si="14"/>
      </c>
      <c r="AA36" s="60"/>
    </row>
    <row r="37" spans="2:27" s="8" customFormat="1" ht="16.5" customHeight="1">
      <c r="B37" s="55"/>
      <c r="C37" s="150"/>
      <c r="D37" s="150"/>
      <c r="E37" s="150"/>
      <c r="F37" s="573"/>
      <c r="G37" s="505"/>
      <c r="H37" s="574"/>
      <c r="I37" s="366">
        <f t="shared" si="0"/>
        <v>0</v>
      </c>
      <c r="J37" s="508"/>
      <c r="K37" s="204"/>
      <c r="L37" s="510">
        <f t="shared" si="1"/>
      </c>
      <c r="M37" s="511">
        <f t="shared" si="2"/>
      </c>
      <c r="N37" s="178"/>
      <c r="O37" s="274">
        <f t="shared" si="3"/>
      </c>
      <c r="P37" s="180">
        <f t="shared" si="4"/>
      </c>
      <c r="Q37" s="575">
        <f t="shared" si="5"/>
        <v>20</v>
      </c>
      <c r="R37" s="576" t="str">
        <f t="shared" si="6"/>
        <v>--</v>
      </c>
      <c r="S37" s="569" t="str">
        <f t="shared" si="7"/>
        <v>--</v>
      </c>
      <c r="T37" s="570" t="str">
        <f t="shared" si="8"/>
        <v>--</v>
      </c>
      <c r="U37" s="377" t="str">
        <f t="shared" si="9"/>
        <v>--</v>
      </c>
      <c r="V37" s="378" t="str">
        <f t="shared" si="10"/>
        <v>--</v>
      </c>
      <c r="W37" s="571" t="str">
        <f t="shared" si="11"/>
        <v>--</v>
      </c>
      <c r="X37" s="428" t="str">
        <f t="shared" si="12"/>
        <v>--</v>
      </c>
      <c r="Y37" s="180">
        <f t="shared" si="13"/>
      </c>
      <c r="Z37" s="514">
        <f t="shared" si="14"/>
      </c>
      <c r="AA37" s="60"/>
    </row>
    <row r="38" spans="2:27" s="8" customFormat="1" ht="16.5" customHeight="1">
      <c r="B38" s="55"/>
      <c r="C38" s="150"/>
      <c r="D38" s="150"/>
      <c r="E38" s="169"/>
      <c r="F38" s="573"/>
      <c r="G38" s="505"/>
      <c r="H38" s="574"/>
      <c r="I38" s="366">
        <f t="shared" si="0"/>
        <v>0</v>
      </c>
      <c r="J38" s="508"/>
      <c r="K38" s="204"/>
      <c r="L38" s="510">
        <f t="shared" si="1"/>
      </c>
      <c r="M38" s="511">
        <f t="shared" si="2"/>
      </c>
      <c r="N38" s="178"/>
      <c r="O38" s="274">
        <f t="shared" si="3"/>
      </c>
      <c r="P38" s="180">
        <f t="shared" si="4"/>
      </c>
      <c r="Q38" s="575">
        <f t="shared" si="5"/>
        <v>20</v>
      </c>
      <c r="R38" s="576" t="str">
        <f t="shared" si="6"/>
        <v>--</v>
      </c>
      <c r="S38" s="569" t="str">
        <f t="shared" si="7"/>
        <v>--</v>
      </c>
      <c r="T38" s="570" t="str">
        <f t="shared" si="8"/>
        <v>--</v>
      </c>
      <c r="U38" s="377" t="str">
        <f t="shared" si="9"/>
        <v>--</v>
      </c>
      <c r="V38" s="378" t="str">
        <f t="shared" si="10"/>
        <v>--</v>
      </c>
      <c r="W38" s="571" t="str">
        <f t="shared" si="11"/>
        <v>--</v>
      </c>
      <c r="X38" s="428" t="str">
        <f t="shared" si="12"/>
        <v>--</v>
      </c>
      <c r="Y38" s="180">
        <f t="shared" si="13"/>
      </c>
      <c r="Z38" s="514">
        <f t="shared" si="14"/>
      </c>
      <c r="AA38" s="60"/>
    </row>
    <row r="39" spans="2:27" s="8" customFormat="1" ht="16.5" customHeight="1">
      <c r="B39" s="55"/>
      <c r="C39" s="150"/>
      <c r="D39" s="150"/>
      <c r="E39" s="150"/>
      <c r="F39" s="573"/>
      <c r="G39" s="505"/>
      <c r="H39" s="574"/>
      <c r="I39" s="366">
        <f t="shared" si="0"/>
        <v>0</v>
      </c>
      <c r="J39" s="508"/>
      <c r="K39" s="204"/>
      <c r="L39" s="510">
        <f t="shared" si="1"/>
      </c>
      <c r="M39" s="511">
        <f t="shared" si="2"/>
      </c>
      <c r="N39" s="178"/>
      <c r="O39" s="274">
        <f t="shared" si="3"/>
      </c>
      <c r="P39" s="180">
        <f t="shared" si="4"/>
      </c>
      <c r="Q39" s="575">
        <f t="shared" si="5"/>
        <v>20</v>
      </c>
      <c r="R39" s="576" t="str">
        <f t="shared" si="6"/>
        <v>--</v>
      </c>
      <c r="S39" s="569" t="str">
        <f t="shared" si="7"/>
        <v>--</v>
      </c>
      <c r="T39" s="570" t="str">
        <f t="shared" si="8"/>
        <v>--</v>
      </c>
      <c r="U39" s="377" t="str">
        <f t="shared" si="9"/>
        <v>--</v>
      </c>
      <c r="V39" s="378" t="str">
        <f t="shared" si="10"/>
        <v>--</v>
      </c>
      <c r="W39" s="571" t="str">
        <f t="shared" si="11"/>
        <v>--</v>
      </c>
      <c r="X39" s="428" t="str">
        <f t="shared" si="12"/>
        <v>--</v>
      </c>
      <c r="Y39" s="180">
        <f t="shared" si="13"/>
      </c>
      <c r="Z39" s="514">
        <f t="shared" si="14"/>
      </c>
      <c r="AA39" s="60"/>
    </row>
    <row r="40" spans="2:27" s="8" customFormat="1" ht="16.5" customHeight="1">
      <c r="B40" s="55"/>
      <c r="C40" s="150"/>
      <c r="D40" s="150"/>
      <c r="E40" s="169"/>
      <c r="F40" s="573"/>
      <c r="G40" s="505"/>
      <c r="H40" s="574"/>
      <c r="I40" s="366">
        <f t="shared" si="0"/>
        <v>0</v>
      </c>
      <c r="J40" s="508"/>
      <c r="K40" s="204"/>
      <c r="L40" s="510">
        <f t="shared" si="1"/>
      </c>
      <c r="M40" s="511">
        <f t="shared" si="2"/>
      </c>
      <c r="N40" s="178"/>
      <c r="O40" s="274">
        <f t="shared" si="3"/>
      </c>
      <c r="P40" s="180">
        <f t="shared" si="4"/>
      </c>
      <c r="Q40" s="575">
        <f t="shared" si="5"/>
        <v>20</v>
      </c>
      <c r="R40" s="576" t="str">
        <f t="shared" si="6"/>
        <v>--</v>
      </c>
      <c r="S40" s="569" t="str">
        <f t="shared" si="7"/>
        <v>--</v>
      </c>
      <c r="T40" s="570" t="str">
        <f t="shared" si="8"/>
        <v>--</v>
      </c>
      <c r="U40" s="377" t="str">
        <f t="shared" si="9"/>
        <v>--</v>
      </c>
      <c r="V40" s="378" t="str">
        <f t="shared" si="10"/>
        <v>--</v>
      </c>
      <c r="W40" s="571" t="str">
        <f t="shared" si="11"/>
        <v>--</v>
      </c>
      <c r="X40" s="428" t="str">
        <f t="shared" si="12"/>
        <v>--</v>
      </c>
      <c r="Y40" s="180">
        <f t="shared" si="13"/>
      </c>
      <c r="Z40" s="514">
        <f t="shared" si="14"/>
      </c>
      <c r="AA40" s="60"/>
    </row>
    <row r="41" spans="2:27" s="8" customFormat="1" ht="16.5" customHeight="1">
      <c r="B41" s="55"/>
      <c r="C41" s="150"/>
      <c r="D41" s="150"/>
      <c r="E41" s="150"/>
      <c r="F41" s="573"/>
      <c r="G41" s="505"/>
      <c r="H41" s="574"/>
      <c r="I41" s="366">
        <f t="shared" si="0"/>
        <v>0</v>
      </c>
      <c r="J41" s="508"/>
      <c r="K41" s="204"/>
      <c r="L41" s="510">
        <f t="shared" si="1"/>
      </c>
      <c r="M41" s="511">
        <f t="shared" si="2"/>
      </c>
      <c r="N41" s="178"/>
      <c r="O41" s="274">
        <f t="shared" si="3"/>
      </c>
      <c r="P41" s="180">
        <f t="shared" si="4"/>
      </c>
      <c r="Q41" s="575">
        <f t="shared" si="5"/>
        <v>20</v>
      </c>
      <c r="R41" s="576" t="str">
        <f t="shared" si="6"/>
        <v>--</v>
      </c>
      <c r="S41" s="569" t="str">
        <f t="shared" si="7"/>
        <v>--</v>
      </c>
      <c r="T41" s="570" t="str">
        <f t="shared" si="8"/>
        <v>--</v>
      </c>
      <c r="U41" s="377" t="str">
        <f t="shared" si="9"/>
        <v>--</v>
      </c>
      <c r="V41" s="378" t="str">
        <f t="shared" si="10"/>
        <v>--</v>
      </c>
      <c r="W41" s="571" t="str">
        <f t="shared" si="11"/>
        <v>--</v>
      </c>
      <c r="X41" s="428" t="str">
        <f t="shared" si="12"/>
        <v>--</v>
      </c>
      <c r="Y41" s="180">
        <f t="shared" si="13"/>
      </c>
      <c r="Z41" s="514">
        <f t="shared" si="14"/>
      </c>
      <c r="AA41" s="60"/>
    </row>
    <row r="42" spans="2:27" s="8" customFormat="1" ht="16.5" customHeight="1" thickBot="1">
      <c r="B42" s="55"/>
      <c r="C42" s="578"/>
      <c r="D42" s="578"/>
      <c r="E42" s="578"/>
      <c r="F42" s="578"/>
      <c r="G42" s="578"/>
      <c r="H42" s="578"/>
      <c r="I42" s="386"/>
      <c r="J42" s="515"/>
      <c r="K42" s="515"/>
      <c r="L42" s="516"/>
      <c r="M42" s="516"/>
      <c r="N42" s="515"/>
      <c r="O42" s="216"/>
      <c r="P42" s="215"/>
      <c r="Q42" s="579"/>
      <c r="R42" s="580"/>
      <c r="S42" s="581"/>
      <c r="T42" s="582"/>
      <c r="U42" s="398"/>
      <c r="V42" s="399"/>
      <c r="W42" s="583"/>
      <c r="X42" s="583"/>
      <c r="Y42" s="215"/>
      <c r="Z42" s="584"/>
      <c r="AA42" s="60"/>
    </row>
    <row r="43" spans="2:27" s="8" customFormat="1" ht="16.5" customHeight="1" thickBot="1" thickTop="1">
      <c r="B43" s="55"/>
      <c r="C43" s="781" t="s">
        <v>327</v>
      </c>
      <c r="D43" s="782" t="s">
        <v>348</v>
      </c>
      <c r="E43" s="229"/>
      <c r="F43" s="231"/>
      <c r="I43" s="11"/>
      <c r="J43" s="11"/>
      <c r="K43" s="11"/>
      <c r="L43" s="11"/>
      <c r="M43" s="11"/>
      <c r="N43" s="11"/>
      <c r="O43" s="11"/>
      <c r="P43" s="11"/>
      <c r="Q43" s="11"/>
      <c r="R43" s="585">
        <f aca="true" t="shared" si="15" ref="R43:X43">SUM(R20:R42)</f>
        <v>3825.448</v>
      </c>
      <c r="S43" s="586">
        <f t="shared" si="15"/>
        <v>0</v>
      </c>
      <c r="T43" s="587">
        <f t="shared" si="15"/>
        <v>0</v>
      </c>
      <c r="U43" s="408">
        <f t="shared" si="15"/>
        <v>0</v>
      </c>
      <c r="V43" s="409">
        <f t="shared" si="15"/>
        <v>0</v>
      </c>
      <c r="W43" s="588">
        <f t="shared" si="15"/>
        <v>0</v>
      </c>
      <c r="X43" s="588">
        <f t="shared" si="15"/>
        <v>0</v>
      </c>
      <c r="Z43" s="528">
        <f>ROUND(SUM(Z20:Z42),2)</f>
        <v>3825.45</v>
      </c>
      <c r="AA43" s="589"/>
    </row>
    <row r="44" spans="2:27" s="8" customFormat="1" ht="16.5" customHeight="1" thickBot="1" thickTop="1">
      <c r="B44" s="245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7"/>
    </row>
    <row r="45" spans="6:29" ht="16.5" customHeight="1" thickTop="1">
      <c r="F45" s="590"/>
      <c r="G45" s="590"/>
      <c r="H45" s="590"/>
      <c r="I45" s="417"/>
      <c r="J45" s="417"/>
      <c r="K45" s="417"/>
      <c r="L45" s="417"/>
      <c r="M45" s="417"/>
      <c r="N45" s="417"/>
      <c r="O45" s="417"/>
      <c r="P45" s="417"/>
      <c r="Q45" s="417"/>
      <c r="R45" s="417"/>
      <c r="S45" s="417"/>
      <c r="T45" s="417"/>
      <c r="U45" s="417"/>
      <c r="V45" s="417"/>
      <c r="W45" s="417"/>
      <c r="X45" s="417"/>
      <c r="Y45" s="417"/>
      <c r="Z45" s="417"/>
      <c r="AA45" s="417"/>
      <c r="AB45" s="417"/>
      <c r="AC45" s="417"/>
    </row>
    <row r="46" spans="6:29" ht="16.5" customHeight="1">
      <c r="F46" s="590"/>
      <c r="G46" s="590"/>
      <c r="H46" s="590"/>
      <c r="I46" s="417"/>
      <c r="J46" s="417"/>
      <c r="K46" s="417"/>
      <c r="L46" s="417"/>
      <c r="M46" s="417"/>
      <c r="N46" s="417"/>
      <c r="O46" s="417"/>
      <c r="P46" s="417"/>
      <c r="Q46" s="417"/>
      <c r="R46" s="417"/>
      <c r="S46" s="417"/>
      <c r="T46" s="417"/>
      <c r="U46" s="417"/>
      <c r="V46" s="417"/>
      <c r="W46" s="417"/>
      <c r="X46" s="417"/>
      <c r="Y46" s="417"/>
      <c r="Z46" s="417"/>
      <c r="AA46" s="417"/>
      <c r="AB46" s="417"/>
      <c r="AC46" s="417"/>
    </row>
    <row r="47" spans="6:29" ht="16.5" customHeight="1">
      <c r="F47" s="590"/>
      <c r="G47" s="590"/>
      <c r="H47" s="590"/>
      <c r="I47" s="417"/>
      <c r="J47" s="417"/>
      <c r="K47" s="417"/>
      <c r="L47" s="417"/>
      <c r="M47" s="417"/>
      <c r="N47" s="417"/>
      <c r="O47" s="417"/>
      <c r="P47" s="417"/>
      <c r="Q47" s="417"/>
      <c r="R47" s="417"/>
      <c r="S47" s="417"/>
      <c r="T47" s="417"/>
      <c r="U47" s="417"/>
      <c r="V47" s="417"/>
      <c r="W47" s="417"/>
      <c r="X47" s="417"/>
      <c r="Y47" s="417"/>
      <c r="Z47" s="417"/>
      <c r="AA47" s="417"/>
      <c r="AB47" s="417"/>
      <c r="AC47" s="417"/>
    </row>
    <row r="48" spans="6:29" ht="16.5" customHeight="1">
      <c r="F48" s="590"/>
      <c r="G48" s="590"/>
      <c r="H48" s="590"/>
      <c r="I48" s="417"/>
      <c r="J48" s="417"/>
      <c r="K48" s="417"/>
      <c r="L48" s="417"/>
      <c r="M48" s="417"/>
      <c r="N48" s="417"/>
      <c r="O48" s="417"/>
      <c r="P48" s="417"/>
      <c r="Q48" s="417"/>
      <c r="R48" s="417"/>
      <c r="S48" s="417"/>
      <c r="T48" s="417"/>
      <c r="U48" s="417"/>
      <c r="V48" s="417"/>
      <c r="W48" s="417"/>
      <c r="X48" s="417"/>
      <c r="Y48" s="417"/>
      <c r="Z48" s="417"/>
      <c r="AA48" s="417"/>
      <c r="AB48" s="417"/>
      <c r="AC48" s="417"/>
    </row>
    <row r="49" spans="6:29" ht="16.5" customHeight="1">
      <c r="F49" s="590"/>
      <c r="G49" s="590"/>
      <c r="H49" s="590"/>
      <c r="I49" s="417"/>
      <c r="J49" s="417"/>
      <c r="K49" s="417"/>
      <c r="L49" s="417"/>
      <c r="M49" s="417"/>
      <c r="N49" s="417"/>
      <c r="O49" s="417"/>
      <c r="P49" s="417"/>
      <c r="Q49" s="417"/>
      <c r="R49" s="417"/>
      <c r="S49" s="417"/>
      <c r="T49" s="417"/>
      <c r="U49" s="417"/>
      <c r="V49" s="417"/>
      <c r="W49" s="417"/>
      <c r="X49" s="417"/>
      <c r="Y49" s="417"/>
      <c r="Z49" s="417"/>
      <c r="AA49" s="417"/>
      <c r="AB49" s="417"/>
      <c r="AC49" s="417"/>
    </row>
    <row r="50" spans="6:29" ht="16.5" customHeight="1">
      <c r="F50" s="590"/>
      <c r="G50" s="590"/>
      <c r="H50" s="590"/>
      <c r="I50" s="417"/>
      <c r="J50" s="417"/>
      <c r="K50" s="417"/>
      <c r="L50" s="417"/>
      <c r="M50" s="417"/>
      <c r="N50" s="417"/>
      <c r="O50" s="417"/>
      <c r="P50" s="417"/>
      <c r="Q50" s="417"/>
      <c r="R50" s="417"/>
      <c r="S50" s="417"/>
      <c r="T50" s="417"/>
      <c r="U50" s="417"/>
      <c r="V50" s="417"/>
      <c r="W50" s="417"/>
      <c r="X50" s="417"/>
      <c r="Y50" s="417"/>
      <c r="Z50" s="417"/>
      <c r="AA50" s="417"/>
      <c r="AB50" s="417"/>
      <c r="AC50" s="417"/>
    </row>
    <row r="51" spans="6:29" ht="16.5" customHeight="1">
      <c r="F51" s="417"/>
      <c r="G51" s="417"/>
      <c r="H51" s="417"/>
      <c r="I51" s="417"/>
      <c r="J51" s="417"/>
      <c r="K51" s="417"/>
      <c r="L51" s="417"/>
      <c r="M51" s="417"/>
      <c r="N51" s="417"/>
      <c r="O51" s="417"/>
      <c r="P51" s="417"/>
      <c r="Q51" s="417"/>
      <c r="R51" s="417"/>
      <c r="S51" s="417"/>
      <c r="T51" s="417"/>
      <c r="U51" s="417"/>
      <c r="V51" s="417"/>
      <c r="W51" s="417"/>
      <c r="X51" s="417"/>
      <c r="Y51" s="417"/>
      <c r="Z51" s="417"/>
      <c r="AA51" s="417"/>
      <c r="AB51" s="417"/>
      <c r="AC51" s="417"/>
    </row>
    <row r="52" spans="6:29" ht="16.5" customHeight="1">
      <c r="F52" s="417"/>
      <c r="G52" s="417"/>
      <c r="H52" s="417"/>
      <c r="I52" s="417"/>
      <c r="J52" s="417"/>
      <c r="K52" s="417"/>
      <c r="L52" s="417"/>
      <c r="M52" s="417"/>
      <c r="N52" s="417"/>
      <c r="O52" s="417"/>
      <c r="P52" s="417"/>
      <c r="Q52" s="417"/>
      <c r="R52" s="417"/>
      <c r="S52" s="417"/>
      <c r="T52" s="417"/>
      <c r="U52" s="417"/>
      <c r="V52" s="417"/>
      <c r="W52" s="417"/>
      <c r="X52" s="417"/>
      <c r="Y52" s="417"/>
      <c r="Z52" s="417"/>
      <c r="AA52" s="417"/>
      <c r="AB52" s="417"/>
      <c r="AC52" s="417"/>
    </row>
    <row r="53" spans="6:29" ht="16.5" customHeight="1"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7"/>
      <c r="Q53" s="417"/>
      <c r="R53" s="417"/>
      <c r="S53" s="417"/>
      <c r="T53" s="417"/>
      <c r="U53" s="417"/>
      <c r="V53" s="417"/>
      <c r="W53" s="417"/>
      <c r="X53" s="417"/>
      <c r="Y53" s="417"/>
      <c r="Z53" s="417"/>
      <c r="AA53" s="417"/>
      <c r="AB53" s="417"/>
      <c r="AC53" s="417"/>
    </row>
    <row r="54" spans="6:29" ht="16.5" customHeight="1">
      <c r="F54" s="417"/>
      <c r="G54" s="417"/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417"/>
      <c r="S54" s="417"/>
      <c r="T54" s="417"/>
      <c r="U54" s="417"/>
      <c r="V54" s="417"/>
      <c r="W54" s="417"/>
      <c r="X54" s="417"/>
      <c r="Y54" s="417"/>
      <c r="Z54" s="417"/>
      <c r="AA54" s="417"/>
      <c r="AB54" s="417"/>
      <c r="AC54" s="417"/>
    </row>
    <row r="55" spans="6:29" ht="16.5" customHeight="1">
      <c r="F55" s="417"/>
      <c r="G55" s="417"/>
      <c r="H55" s="417"/>
      <c r="I55" s="417"/>
      <c r="J55" s="417"/>
      <c r="K55" s="417"/>
      <c r="L55" s="417"/>
      <c r="M55" s="417"/>
      <c r="N55" s="417"/>
      <c r="O55" s="417"/>
      <c r="P55" s="417"/>
      <c r="Q55" s="417"/>
      <c r="R55" s="417"/>
      <c r="S55" s="417"/>
      <c r="T55" s="417"/>
      <c r="U55" s="417"/>
      <c r="V55" s="417"/>
      <c r="W55" s="417"/>
      <c r="X55" s="417"/>
      <c r="Y55" s="417"/>
      <c r="Z55" s="417"/>
      <c r="AA55" s="417"/>
      <c r="AB55" s="417"/>
      <c r="AC55" s="417"/>
    </row>
    <row r="56" spans="6:29" ht="16.5" customHeight="1">
      <c r="F56" s="417"/>
      <c r="G56" s="417"/>
      <c r="H56" s="417"/>
      <c r="I56" s="417"/>
      <c r="J56" s="417"/>
      <c r="K56" s="417"/>
      <c r="L56" s="417"/>
      <c r="M56" s="417"/>
      <c r="N56" s="417"/>
      <c r="O56" s="417"/>
      <c r="P56" s="417"/>
      <c r="Q56" s="417"/>
      <c r="R56" s="417"/>
      <c r="S56" s="417"/>
      <c r="T56" s="417"/>
      <c r="U56" s="417"/>
      <c r="V56" s="417"/>
      <c r="W56" s="417"/>
      <c r="X56" s="417"/>
      <c r="Y56" s="417"/>
      <c r="Z56" s="417"/>
      <c r="AA56" s="417"/>
      <c r="AB56" s="417"/>
      <c r="AC56" s="417"/>
    </row>
    <row r="57" spans="6:29" ht="16.5" customHeight="1">
      <c r="F57" s="417"/>
      <c r="G57" s="417"/>
      <c r="H57" s="417"/>
      <c r="I57" s="417"/>
      <c r="J57" s="417"/>
      <c r="K57" s="417"/>
      <c r="L57" s="417"/>
      <c r="M57" s="417"/>
      <c r="N57" s="417"/>
      <c r="O57" s="417"/>
      <c r="P57" s="417"/>
      <c r="Q57" s="417"/>
      <c r="R57" s="417"/>
      <c r="S57" s="417"/>
      <c r="T57" s="417"/>
      <c r="U57" s="417"/>
      <c r="V57" s="417"/>
      <c r="W57" s="417"/>
      <c r="X57" s="417"/>
      <c r="Y57" s="417"/>
      <c r="Z57" s="417"/>
      <c r="AA57" s="417"/>
      <c r="AB57" s="417"/>
      <c r="AC57" s="417"/>
    </row>
    <row r="58" spans="6:29" ht="16.5" customHeight="1">
      <c r="F58" s="417"/>
      <c r="G58" s="417"/>
      <c r="H58" s="417"/>
      <c r="I58" s="417"/>
      <c r="J58" s="417"/>
      <c r="K58" s="417"/>
      <c r="L58" s="417"/>
      <c r="M58" s="417"/>
      <c r="N58" s="417"/>
      <c r="O58" s="417"/>
      <c r="P58" s="417"/>
      <c r="Q58" s="417"/>
      <c r="R58" s="417"/>
      <c r="S58" s="417"/>
      <c r="T58" s="417"/>
      <c r="U58" s="417"/>
      <c r="V58" s="417"/>
      <c r="W58" s="417"/>
      <c r="X58" s="417"/>
      <c r="Y58" s="417"/>
      <c r="Z58" s="417"/>
      <c r="AA58" s="417"/>
      <c r="AB58" s="417"/>
      <c r="AC58" s="417"/>
    </row>
    <row r="59" spans="6:29" ht="16.5" customHeight="1"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7"/>
      <c r="W59" s="417"/>
      <c r="X59" s="417"/>
      <c r="Y59" s="417"/>
      <c r="Z59" s="417"/>
      <c r="AA59" s="417"/>
      <c r="AB59" s="417"/>
      <c r="AC59" s="417"/>
    </row>
    <row r="60" spans="6:29" ht="16.5" customHeight="1">
      <c r="F60" s="417"/>
      <c r="G60" s="417"/>
      <c r="H60" s="417"/>
      <c r="I60" s="417"/>
      <c r="J60" s="417"/>
      <c r="K60" s="417"/>
      <c r="L60" s="417"/>
      <c r="M60" s="417"/>
      <c r="N60" s="417"/>
      <c r="O60" s="417"/>
      <c r="P60" s="417"/>
      <c r="Q60" s="417"/>
      <c r="R60" s="417"/>
      <c r="S60" s="417"/>
      <c r="T60" s="417"/>
      <c r="U60" s="417"/>
      <c r="V60" s="417"/>
      <c r="W60" s="417"/>
      <c r="X60" s="417"/>
      <c r="Y60" s="417"/>
      <c r="Z60" s="417"/>
      <c r="AA60" s="417"/>
      <c r="AB60" s="417"/>
      <c r="AC60" s="417"/>
    </row>
    <row r="61" spans="6:29" ht="16.5" customHeight="1">
      <c r="F61" s="417"/>
      <c r="G61" s="417"/>
      <c r="H61" s="417"/>
      <c r="I61" s="417"/>
      <c r="J61" s="417"/>
      <c r="K61" s="417"/>
      <c r="L61" s="417"/>
      <c r="M61" s="417"/>
      <c r="N61" s="417"/>
      <c r="O61" s="417"/>
      <c r="P61" s="417"/>
      <c r="Q61" s="417"/>
      <c r="R61" s="417"/>
      <c r="S61" s="417"/>
      <c r="T61" s="417"/>
      <c r="U61" s="417"/>
      <c r="V61" s="417"/>
      <c r="W61" s="417"/>
      <c r="X61" s="417"/>
      <c r="Y61" s="417"/>
      <c r="Z61" s="417"/>
      <c r="AA61" s="417"/>
      <c r="AB61" s="417"/>
      <c r="AC61" s="417"/>
    </row>
    <row r="62" spans="6:29" ht="16.5" customHeight="1">
      <c r="F62" s="417"/>
      <c r="G62" s="417"/>
      <c r="H62" s="417"/>
      <c r="I62" s="417"/>
      <c r="J62" s="417"/>
      <c r="K62" s="417"/>
      <c r="L62" s="417"/>
      <c r="M62" s="417"/>
      <c r="N62" s="417"/>
      <c r="O62" s="417"/>
      <c r="P62" s="417"/>
      <c r="Q62" s="417"/>
      <c r="R62" s="417"/>
      <c r="S62" s="417"/>
      <c r="T62" s="417"/>
      <c r="U62" s="417"/>
      <c r="V62" s="417"/>
      <c r="W62" s="417"/>
      <c r="X62" s="417"/>
      <c r="Y62" s="417"/>
      <c r="Z62" s="417"/>
      <c r="AA62" s="417"/>
      <c r="AB62" s="417"/>
      <c r="AC62" s="417"/>
    </row>
    <row r="63" spans="6:29" ht="16.5" customHeight="1">
      <c r="F63" s="417"/>
      <c r="G63" s="417"/>
      <c r="H63" s="417"/>
      <c r="I63" s="417"/>
      <c r="J63" s="417"/>
      <c r="K63" s="417"/>
      <c r="L63" s="417"/>
      <c r="M63" s="417"/>
      <c r="N63" s="417"/>
      <c r="O63" s="417"/>
      <c r="P63" s="417"/>
      <c r="Q63" s="417"/>
      <c r="R63" s="417"/>
      <c r="S63" s="417"/>
      <c r="T63" s="417"/>
      <c r="U63" s="417"/>
      <c r="V63" s="417"/>
      <c r="W63" s="417"/>
      <c r="X63" s="417"/>
      <c r="Y63" s="417"/>
      <c r="Z63" s="417"/>
      <c r="AA63" s="417"/>
      <c r="AB63" s="417"/>
      <c r="AC63" s="417"/>
    </row>
    <row r="64" spans="6:29" ht="16.5" customHeight="1">
      <c r="F64" s="417"/>
      <c r="G64" s="417"/>
      <c r="H64" s="417"/>
      <c r="I64" s="417"/>
      <c r="J64" s="417"/>
      <c r="K64" s="417"/>
      <c r="L64" s="417"/>
      <c r="M64" s="417"/>
      <c r="N64" s="417"/>
      <c r="O64" s="417"/>
      <c r="P64" s="417"/>
      <c r="Q64" s="417"/>
      <c r="R64" s="417"/>
      <c r="S64" s="417"/>
      <c r="T64" s="417"/>
      <c r="U64" s="417"/>
      <c r="V64" s="417"/>
      <c r="W64" s="417"/>
      <c r="X64" s="417"/>
      <c r="Y64" s="417"/>
      <c r="Z64" s="417"/>
      <c r="AA64" s="417"/>
      <c r="AB64" s="417"/>
      <c r="AC64" s="417"/>
    </row>
    <row r="65" spans="6:29" ht="16.5" customHeight="1">
      <c r="F65" s="417"/>
      <c r="G65" s="417"/>
      <c r="H65" s="417"/>
      <c r="I65" s="417"/>
      <c r="J65" s="417"/>
      <c r="K65" s="417"/>
      <c r="L65" s="417"/>
      <c r="M65" s="417"/>
      <c r="N65" s="417"/>
      <c r="O65" s="417"/>
      <c r="P65" s="417"/>
      <c r="Q65" s="417"/>
      <c r="R65" s="417"/>
      <c r="S65" s="417"/>
      <c r="T65" s="417"/>
      <c r="U65" s="417"/>
      <c r="V65" s="417"/>
      <c r="W65" s="417"/>
      <c r="X65" s="417"/>
      <c r="Y65" s="417"/>
      <c r="Z65" s="417"/>
      <c r="AA65" s="417"/>
      <c r="AB65" s="417"/>
      <c r="AC65" s="417"/>
    </row>
    <row r="66" spans="6:29" ht="16.5" customHeight="1">
      <c r="F66" s="417"/>
      <c r="G66" s="417"/>
      <c r="H66" s="417"/>
      <c r="I66" s="417"/>
      <c r="J66" s="417"/>
      <c r="K66" s="417"/>
      <c r="L66" s="417"/>
      <c r="M66" s="417"/>
      <c r="N66" s="417"/>
      <c r="O66" s="417"/>
      <c r="P66" s="417"/>
      <c r="Q66" s="417"/>
      <c r="R66" s="417"/>
      <c r="S66" s="417"/>
      <c r="T66" s="417"/>
      <c r="U66" s="417"/>
      <c r="V66" s="417"/>
      <c r="W66" s="417"/>
      <c r="X66" s="417"/>
      <c r="Y66" s="417"/>
      <c r="Z66" s="417"/>
      <c r="AA66" s="417"/>
      <c r="AB66" s="417"/>
      <c r="AC66" s="417"/>
    </row>
    <row r="67" spans="6:29" ht="16.5" customHeight="1">
      <c r="F67" s="417"/>
      <c r="G67" s="417"/>
      <c r="H67" s="417"/>
      <c r="I67" s="417"/>
      <c r="J67" s="417"/>
      <c r="K67" s="417"/>
      <c r="L67" s="417"/>
      <c r="M67" s="417"/>
      <c r="N67" s="417"/>
      <c r="O67" s="417"/>
      <c r="P67" s="417"/>
      <c r="Q67" s="417"/>
      <c r="R67" s="417"/>
      <c r="S67" s="417"/>
      <c r="T67" s="417"/>
      <c r="U67" s="417"/>
      <c r="V67" s="417"/>
      <c r="W67" s="417"/>
      <c r="X67" s="417"/>
      <c r="Y67" s="417"/>
      <c r="Z67" s="417"/>
      <c r="AA67" s="417"/>
      <c r="AB67" s="417"/>
      <c r="AC67" s="417"/>
    </row>
    <row r="68" spans="6:29" ht="16.5" customHeight="1">
      <c r="F68" s="417"/>
      <c r="G68" s="417"/>
      <c r="H68" s="417"/>
      <c r="I68" s="417"/>
      <c r="J68" s="417"/>
      <c r="K68" s="417"/>
      <c r="L68" s="417"/>
      <c r="M68" s="417"/>
      <c r="N68" s="417"/>
      <c r="O68" s="417"/>
      <c r="P68" s="417"/>
      <c r="Q68" s="417"/>
      <c r="R68" s="417"/>
      <c r="S68" s="417"/>
      <c r="T68" s="417"/>
      <c r="U68" s="417"/>
      <c r="V68" s="417"/>
      <c r="W68" s="417"/>
      <c r="X68" s="417"/>
      <c r="Y68" s="417"/>
      <c r="Z68" s="417"/>
      <c r="AA68" s="417"/>
      <c r="AB68" s="417"/>
      <c r="AC68" s="417"/>
    </row>
    <row r="69" spans="6:29" ht="16.5" customHeight="1">
      <c r="F69" s="417"/>
      <c r="G69" s="417"/>
      <c r="H69" s="417"/>
      <c r="I69" s="417"/>
      <c r="J69" s="417"/>
      <c r="K69" s="417"/>
      <c r="L69" s="417"/>
      <c r="M69" s="417"/>
      <c r="N69" s="417"/>
      <c r="O69" s="417"/>
      <c r="P69" s="417"/>
      <c r="Q69" s="417"/>
      <c r="R69" s="417"/>
      <c r="S69" s="417"/>
      <c r="T69" s="417"/>
      <c r="U69" s="417"/>
      <c r="V69" s="417"/>
      <c r="W69" s="417"/>
      <c r="X69" s="417"/>
      <c r="Y69" s="417"/>
      <c r="Z69" s="417"/>
      <c r="AA69" s="417"/>
      <c r="AB69" s="417"/>
      <c r="AC69" s="417"/>
    </row>
    <row r="70" spans="6:29" ht="16.5" customHeight="1">
      <c r="F70" s="417"/>
      <c r="G70" s="417"/>
      <c r="H70" s="417"/>
      <c r="I70" s="417"/>
      <c r="J70" s="417"/>
      <c r="K70" s="417"/>
      <c r="L70" s="417"/>
      <c r="M70" s="417"/>
      <c r="N70" s="417"/>
      <c r="O70" s="417"/>
      <c r="P70" s="417"/>
      <c r="Q70" s="417"/>
      <c r="R70" s="417"/>
      <c r="S70" s="417"/>
      <c r="T70" s="417"/>
      <c r="U70" s="417"/>
      <c r="V70" s="417"/>
      <c r="W70" s="417"/>
      <c r="X70" s="417"/>
      <c r="Y70" s="417"/>
      <c r="Z70" s="417"/>
      <c r="AA70" s="417"/>
      <c r="AB70" s="417"/>
      <c r="AC70" s="417"/>
    </row>
    <row r="71" spans="6:29" ht="16.5" customHeight="1">
      <c r="F71" s="417"/>
      <c r="G71" s="417"/>
      <c r="H71" s="417"/>
      <c r="I71" s="417"/>
      <c r="J71" s="417"/>
      <c r="K71" s="417"/>
      <c r="L71" s="417"/>
      <c r="M71" s="417"/>
      <c r="N71" s="417"/>
      <c r="O71" s="417"/>
      <c r="P71" s="417"/>
      <c r="Q71" s="417"/>
      <c r="R71" s="417"/>
      <c r="S71" s="417"/>
      <c r="T71" s="417"/>
      <c r="U71" s="417"/>
      <c r="V71" s="417"/>
      <c r="W71" s="417"/>
      <c r="X71" s="417"/>
      <c r="Y71" s="417"/>
      <c r="Z71" s="417"/>
      <c r="AA71" s="417"/>
      <c r="AB71" s="417"/>
      <c r="AC71" s="417"/>
    </row>
    <row r="72" spans="6:29" ht="16.5" customHeight="1">
      <c r="F72" s="417"/>
      <c r="G72" s="417"/>
      <c r="H72" s="417"/>
      <c r="I72" s="417"/>
      <c r="J72" s="417"/>
      <c r="K72" s="417"/>
      <c r="L72" s="417"/>
      <c r="M72" s="417"/>
      <c r="N72" s="417"/>
      <c r="O72" s="417"/>
      <c r="P72" s="417"/>
      <c r="Q72" s="417"/>
      <c r="R72" s="417"/>
      <c r="S72" s="417"/>
      <c r="T72" s="417"/>
      <c r="U72" s="417"/>
      <c r="V72" s="417"/>
      <c r="W72" s="417"/>
      <c r="X72" s="417"/>
      <c r="Y72" s="417"/>
      <c r="Z72" s="417"/>
      <c r="AA72" s="417"/>
      <c r="AB72" s="417"/>
      <c r="AC72" s="417"/>
    </row>
    <row r="73" spans="6:29" ht="16.5" customHeight="1">
      <c r="F73" s="417"/>
      <c r="G73" s="417"/>
      <c r="H73" s="417"/>
      <c r="I73" s="417"/>
      <c r="J73" s="417"/>
      <c r="K73" s="417"/>
      <c r="L73" s="417"/>
      <c r="M73" s="417"/>
      <c r="N73" s="417"/>
      <c r="O73" s="417"/>
      <c r="P73" s="417"/>
      <c r="Q73" s="417"/>
      <c r="R73" s="417"/>
      <c r="S73" s="417"/>
      <c r="T73" s="417"/>
      <c r="U73" s="417"/>
      <c r="V73" s="417"/>
      <c r="W73" s="417"/>
      <c r="X73" s="417"/>
      <c r="Y73" s="417"/>
      <c r="Z73" s="417"/>
      <c r="AA73" s="417"/>
      <c r="AB73" s="417"/>
      <c r="AC73" s="417"/>
    </row>
    <row r="74" spans="6:29" ht="16.5" customHeight="1">
      <c r="F74" s="417"/>
      <c r="G74" s="417"/>
      <c r="H74" s="417"/>
      <c r="I74" s="417"/>
      <c r="J74" s="417"/>
      <c r="K74" s="417"/>
      <c r="L74" s="417"/>
      <c r="M74" s="417"/>
      <c r="N74" s="417"/>
      <c r="O74" s="417"/>
      <c r="P74" s="417"/>
      <c r="Q74" s="417"/>
      <c r="R74" s="417"/>
      <c r="S74" s="417"/>
      <c r="T74" s="417"/>
      <c r="U74" s="417"/>
      <c r="V74" s="417"/>
      <c r="W74" s="417"/>
      <c r="X74" s="417"/>
      <c r="Y74" s="417"/>
      <c r="Z74" s="417"/>
      <c r="AA74" s="417"/>
      <c r="AB74" s="417"/>
      <c r="AC74" s="417"/>
    </row>
    <row r="75" spans="6:29" ht="16.5" customHeight="1">
      <c r="F75" s="417"/>
      <c r="G75" s="417"/>
      <c r="H75" s="417"/>
      <c r="I75" s="417"/>
      <c r="J75" s="417"/>
      <c r="K75" s="417"/>
      <c r="L75" s="417"/>
      <c r="M75" s="417"/>
      <c r="N75" s="417"/>
      <c r="O75" s="417"/>
      <c r="P75" s="417"/>
      <c r="Q75" s="417"/>
      <c r="R75" s="417"/>
      <c r="S75" s="417"/>
      <c r="T75" s="417"/>
      <c r="U75" s="417"/>
      <c r="V75" s="417"/>
      <c r="W75" s="417"/>
      <c r="X75" s="417"/>
      <c r="Y75" s="417"/>
      <c r="Z75" s="417"/>
      <c r="AA75" s="417"/>
      <c r="AB75" s="417"/>
      <c r="AC75" s="417"/>
    </row>
    <row r="76" spans="6:29" ht="16.5" customHeight="1">
      <c r="F76" s="417"/>
      <c r="G76" s="417"/>
      <c r="H76" s="417"/>
      <c r="I76" s="417"/>
      <c r="J76" s="417"/>
      <c r="K76" s="417"/>
      <c r="L76" s="417"/>
      <c r="M76" s="417"/>
      <c r="N76" s="417"/>
      <c r="O76" s="417"/>
      <c r="P76" s="417"/>
      <c r="Q76" s="417"/>
      <c r="R76" s="417"/>
      <c r="S76" s="417"/>
      <c r="T76" s="417"/>
      <c r="U76" s="417"/>
      <c r="V76" s="417"/>
      <c r="W76" s="417"/>
      <c r="X76" s="417"/>
      <c r="Y76" s="417"/>
      <c r="Z76" s="417"/>
      <c r="AA76" s="417"/>
      <c r="AB76" s="417"/>
      <c r="AC76" s="417"/>
    </row>
    <row r="77" spans="6:29" ht="16.5" customHeight="1">
      <c r="F77" s="417"/>
      <c r="G77" s="417"/>
      <c r="H77" s="417"/>
      <c r="I77" s="417"/>
      <c r="J77" s="417"/>
      <c r="K77" s="417"/>
      <c r="L77" s="417"/>
      <c r="M77" s="417"/>
      <c r="N77" s="417"/>
      <c r="O77" s="417"/>
      <c r="P77" s="417"/>
      <c r="Q77" s="417"/>
      <c r="R77" s="417"/>
      <c r="S77" s="417"/>
      <c r="T77" s="417"/>
      <c r="U77" s="417"/>
      <c r="V77" s="417"/>
      <c r="W77" s="417"/>
      <c r="X77" s="417"/>
      <c r="Y77" s="417"/>
      <c r="Z77" s="417"/>
      <c r="AA77" s="417"/>
      <c r="AB77" s="417"/>
      <c r="AC77" s="417"/>
    </row>
    <row r="78" spans="6:29" ht="16.5" customHeight="1">
      <c r="F78" s="417"/>
      <c r="G78" s="417"/>
      <c r="H78" s="417"/>
      <c r="I78" s="417"/>
      <c r="J78" s="417"/>
      <c r="K78" s="417"/>
      <c r="L78" s="417"/>
      <c r="M78" s="417"/>
      <c r="N78" s="417"/>
      <c r="O78" s="417"/>
      <c r="P78" s="417"/>
      <c r="Q78" s="417"/>
      <c r="R78" s="417"/>
      <c r="S78" s="417"/>
      <c r="T78" s="417"/>
      <c r="U78" s="417"/>
      <c r="V78" s="417"/>
      <c r="W78" s="417"/>
      <c r="X78" s="417"/>
      <c r="Y78" s="417"/>
      <c r="Z78" s="417"/>
      <c r="AA78" s="417"/>
      <c r="AB78" s="417"/>
      <c r="AC78" s="417"/>
    </row>
    <row r="79" spans="6:29" ht="16.5" customHeight="1">
      <c r="F79" s="417"/>
      <c r="G79" s="417"/>
      <c r="H79" s="417"/>
      <c r="I79" s="417"/>
      <c r="J79" s="417"/>
      <c r="K79" s="417"/>
      <c r="L79" s="417"/>
      <c r="M79" s="417"/>
      <c r="N79" s="417"/>
      <c r="O79" s="417"/>
      <c r="P79" s="417"/>
      <c r="Q79" s="417"/>
      <c r="R79" s="417"/>
      <c r="S79" s="417"/>
      <c r="T79" s="417"/>
      <c r="U79" s="417"/>
      <c r="V79" s="417"/>
      <c r="W79" s="417"/>
      <c r="X79" s="417"/>
      <c r="Y79" s="417"/>
      <c r="Z79" s="417"/>
      <c r="AA79" s="417"/>
      <c r="AB79" s="417"/>
      <c r="AC79" s="417"/>
    </row>
    <row r="80" spans="6:29" ht="16.5" customHeight="1">
      <c r="F80" s="417"/>
      <c r="G80" s="417"/>
      <c r="H80" s="417"/>
      <c r="I80" s="417"/>
      <c r="J80" s="417"/>
      <c r="K80" s="417"/>
      <c r="L80" s="417"/>
      <c r="M80" s="417"/>
      <c r="N80" s="417"/>
      <c r="O80" s="417"/>
      <c r="P80" s="417"/>
      <c r="Q80" s="417"/>
      <c r="R80" s="417"/>
      <c r="S80" s="417"/>
      <c r="T80" s="417"/>
      <c r="U80" s="417"/>
      <c r="V80" s="417"/>
      <c r="W80" s="417"/>
      <c r="X80" s="417"/>
      <c r="Y80" s="417"/>
      <c r="Z80" s="417"/>
      <c r="AA80" s="417"/>
      <c r="AB80" s="417"/>
      <c r="AC80" s="417"/>
    </row>
    <row r="81" spans="6:29" ht="16.5" customHeight="1">
      <c r="F81" s="417"/>
      <c r="G81" s="417"/>
      <c r="H81" s="417"/>
      <c r="I81" s="417"/>
      <c r="J81" s="417"/>
      <c r="K81" s="417"/>
      <c r="L81" s="417"/>
      <c r="M81" s="417"/>
      <c r="N81" s="417"/>
      <c r="O81" s="417"/>
      <c r="P81" s="417"/>
      <c r="Q81" s="417"/>
      <c r="R81" s="417"/>
      <c r="S81" s="417"/>
      <c r="T81" s="417"/>
      <c r="U81" s="417"/>
      <c r="V81" s="417"/>
      <c r="W81" s="417"/>
      <c r="X81" s="417"/>
      <c r="Y81" s="417"/>
      <c r="Z81" s="417"/>
      <c r="AA81" s="417"/>
      <c r="AB81" s="417"/>
      <c r="AC81" s="417"/>
    </row>
    <row r="82" spans="6:29" ht="16.5" customHeight="1">
      <c r="F82" s="417"/>
      <c r="G82" s="417"/>
      <c r="H82" s="417"/>
      <c r="I82" s="417"/>
      <c r="J82" s="417"/>
      <c r="K82" s="417"/>
      <c r="L82" s="417"/>
      <c r="M82" s="417"/>
      <c r="N82" s="417"/>
      <c r="O82" s="417"/>
      <c r="P82" s="417"/>
      <c r="Q82" s="417"/>
      <c r="R82" s="417"/>
      <c r="S82" s="417"/>
      <c r="T82" s="417"/>
      <c r="U82" s="417"/>
      <c r="V82" s="417"/>
      <c r="W82" s="417"/>
      <c r="X82" s="417"/>
      <c r="Y82" s="417"/>
      <c r="Z82" s="417"/>
      <c r="AA82" s="417"/>
      <c r="AB82" s="417"/>
      <c r="AC82" s="417"/>
    </row>
    <row r="83" spans="6:29" ht="16.5" customHeight="1">
      <c r="F83" s="417"/>
      <c r="G83" s="417"/>
      <c r="H83" s="417"/>
      <c r="I83" s="417"/>
      <c r="J83" s="417"/>
      <c r="K83" s="417"/>
      <c r="L83" s="417"/>
      <c r="M83" s="417"/>
      <c r="N83" s="417"/>
      <c r="O83" s="417"/>
      <c r="P83" s="417"/>
      <c r="Q83" s="417"/>
      <c r="R83" s="417"/>
      <c r="S83" s="417"/>
      <c r="T83" s="417"/>
      <c r="U83" s="417"/>
      <c r="V83" s="417"/>
      <c r="W83" s="417"/>
      <c r="X83" s="417"/>
      <c r="Y83" s="417"/>
      <c r="Z83" s="417"/>
      <c r="AA83" s="417"/>
      <c r="AB83" s="417"/>
      <c r="AC83" s="417"/>
    </row>
    <row r="84" spans="6:29" ht="16.5" customHeight="1">
      <c r="F84" s="417"/>
      <c r="G84" s="417"/>
      <c r="H84" s="417"/>
      <c r="I84" s="417"/>
      <c r="J84" s="417"/>
      <c r="K84" s="417"/>
      <c r="L84" s="417"/>
      <c r="M84" s="417"/>
      <c r="N84" s="417"/>
      <c r="O84" s="417"/>
      <c r="P84" s="417"/>
      <c r="Q84" s="417"/>
      <c r="R84" s="417"/>
      <c r="S84" s="417"/>
      <c r="T84" s="417"/>
      <c r="U84" s="417"/>
      <c r="V84" s="417"/>
      <c r="W84" s="417"/>
      <c r="X84" s="417"/>
      <c r="Y84" s="417"/>
      <c r="Z84" s="417"/>
      <c r="AA84" s="417"/>
      <c r="AB84" s="417"/>
      <c r="AC84" s="417"/>
    </row>
    <row r="85" spans="6:29" ht="16.5" customHeight="1">
      <c r="F85" s="417"/>
      <c r="G85" s="417"/>
      <c r="H85" s="417"/>
      <c r="I85" s="417"/>
      <c r="J85" s="417"/>
      <c r="K85" s="417"/>
      <c r="L85" s="417"/>
      <c r="M85" s="417"/>
      <c r="N85" s="417"/>
      <c r="O85" s="417"/>
      <c r="P85" s="417"/>
      <c r="Q85" s="417"/>
      <c r="R85" s="417"/>
      <c r="S85" s="417"/>
      <c r="T85" s="417"/>
      <c r="U85" s="417"/>
      <c r="V85" s="417"/>
      <c r="W85" s="417"/>
      <c r="X85" s="417"/>
      <c r="Y85" s="417"/>
      <c r="Z85" s="417"/>
      <c r="AA85" s="417"/>
      <c r="AB85" s="417"/>
      <c r="AC85" s="417"/>
    </row>
    <row r="86" spans="6:29" ht="16.5" customHeight="1">
      <c r="F86" s="417"/>
      <c r="G86" s="417"/>
      <c r="H86" s="417"/>
      <c r="I86" s="417"/>
      <c r="J86" s="417"/>
      <c r="K86" s="417"/>
      <c r="L86" s="417"/>
      <c r="M86" s="417"/>
      <c r="N86" s="417"/>
      <c r="O86" s="417"/>
      <c r="P86" s="417"/>
      <c r="Q86" s="417"/>
      <c r="R86" s="417"/>
      <c r="S86" s="417"/>
      <c r="T86" s="417"/>
      <c r="U86" s="417"/>
      <c r="V86" s="417"/>
      <c r="W86" s="417"/>
      <c r="X86" s="417"/>
      <c r="Y86" s="417"/>
      <c r="Z86" s="417"/>
      <c r="AA86" s="417"/>
      <c r="AB86" s="417"/>
      <c r="AC86" s="417"/>
    </row>
    <row r="87" spans="6:29" ht="16.5" customHeight="1">
      <c r="F87" s="417"/>
      <c r="G87" s="417"/>
      <c r="H87" s="417"/>
      <c r="I87" s="417"/>
      <c r="J87" s="417"/>
      <c r="K87" s="417"/>
      <c r="L87" s="417"/>
      <c r="M87" s="417"/>
      <c r="N87" s="417"/>
      <c r="O87" s="417"/>
      <c r="P87" s="417"/>
      <c r="Q87" s="417"/>
      <c r="R87" s="417"/>
      <c r="S87" s="417"/>
      <c r="T87" s="417"/>
      <c r="U87" s="417"/>
      <c r="V87" s="417"/>
      <c r="W87" s="417"/>
      <c r="X87" s="417"/>
      <c r="Y87" s="417"/>
      <c r="Z87" s="417"/>
      <c r="AA87" s="417"/>
      <c r="AB87" s="417"/>
      <c r="AC87" s="417"/>
    </row>
    <row r="88" spans="6:29" ht="16.5" customHeight="1">
      <c r="F88" s="417"/>
      <c r="G88" s="417"/>
      <c r="H88" s="417"/>
      <c r="I88" s="417"/>
      <c r="J88" s="417"/>
      <c r="K88" s="417"/>
      <c r="L88" s="417"/>
      <c r="M88" s="417"/>
      <c r="N88" s="417"/>
      <c r="O88" s="417"/>
      <c r="P88" s="417"/>
      <c r="Q88" s="417"/>
      <c r="R88" s="417"/>
      <c r="S88" s="417"/>
      <c r="T88" s="417"/>
      <c r="U88" s="417"/>
      <c r="V88" s="417"/>
      <c r="W88" s="417"/>
      <c r="X88" s="417"/>
      <c r="Y88" s="417"/>
      <c r="Z88" s="417"/>
      <c r="AA88" s="417"/>
      <c r="AB88" s="417"/>
      <c r="AC88" s="417"/>
    </row>
    <row r="89" spans="6:29" ht="16.5" customHeight="1">
      <c r="F89" s="417"/>
      <c r="G89" s="417"/>
      <c r="H89" s="417"/>
      <c r="I89" s="417"/>
      <c r="J89" s="417"/>
      <c r="K89" s="417"/>
      <c r="L89" s="417"/>
      <c r="M89" s="417"/>
      <c r="N89" s="417"/>
      <c r="O89" s="417"/>
      <c r="P89" s="417"/>
      <c r="Q89" s="417"/>
      <c r="R89" s="417"/>
      <c r="S89" s="417"/>
      <c r="T89" s="417"/>
      <c r="U89" s="417"/>
      <c r="V89" s="417"/>
      <c r="W89" s="417"/>
      <c r="X89" s="417"/>
      <c r="Y89" s="417"/>
      <c r="Z89" s="417"/>
      <c r="AA89" s="417"/>
      <c r="AB89" s="417"/>
      <c r="AC89" s="417"/>
    </row>
    <row r="90" spans="6:29" ht="16.5" customHeight="1">
      <c r="F90" s="417"/>
      <c r="G90" s="417"/>
      <c r="H90" s="417"/>
      <c r="I90" s="417"/>
      <c r="J90" s="417"/>
      <c r="K90" s="417"/>
      <c r="L90" s="417"/>
      <c r="M90" s="417"/>
      <c r="N90" s="417"/>
      <c r="O90" s="417"/>
      <c r="P90" s="417"/>
      <c r="Q90" s="417"/>
      <c r="R90" s="417"/>
      <c r="S90" s="417"/>
      <c r="T90" s="417"/>
      <c r="U90" s="417"/>
      <c r="V90" s="417"/>
      <c r="W90" s="417"/>
      <c r="X90" s="417"/>
      <c r="Y90" s="417"/>
      <c r="Z90" s="417"/>
      <c r="AA90" s="417"/>
      <c r="AB90" s="417"/>
      <c r="AC90" s="417"/>
    </row>
    <row r="91" spans="6:29" ht="16.5" customHeight="1">
      <c r="F91" s="417"/>
      <c r="G91" s="417"/>
      <c r="H91" s="417"/>
      <c r="I91" s="417"/>
      <c r="J91" s="417"/>
      <c r="K91" s="417"/>
      <c r="L91" s="417"/>
      <c r="M91" s="417"/>
      <c r="N91" s="417"/>
      <c r="O91" s="417"/>
      <c r="P91" s="417"/>
      <c r="Q91" s="417"/>
      <c r="R91" s="417"/>
      <c r="S91" s="417"/>
      <c r="T91" s="417"/>
      <c r="U91" s="417"/>
      <c r="V91" s="417"/>
      <c r="W91" s="417"/>
      <c r="X91" s="417"/>
      <c r="Y91" s="417"/>
      <c r="Z91" s="417"/>
      <c r="AA91" s="417"/>
      <c r="AB91" s="417"/>
      <c r="AC91" s="417"/>
    </row>
    <row r="92" spans="6:29" ht="16.5" customHeight="1">
      <c r="F92" s="417"/>
      <c r="G92" s="417"/>
      <c r="H92" s="417"/>
      <c r="I92" s="417"/>
      <c r="J92" s="417"/>
      <c r="K92" s="417"/>
      <c r="L92" s="417"/>
      <c r="M92" s="417"/>
      <c r="N92" s="417"/>
      <c r="O92" s="417"/>
      <c r="P92" s="417"/>
      <c r="Q92" s="417"/>
      <c r="R92" s="417"/>
      <c r="S92" s="417"/>
      <c r="T92" s="417"/>
      <c r="U92" s="417"/>
      <c r="V92" s="417"/>
      <c r="W92" s="417"/>
      <c r="X92" s="417"/>
      <c r="Y92" s="417"/>
      <c r="Z92" s="417"/>
      <c r="AA92" s="417"/>
      <c r="AB92" s="417"/>
      <c r="AC92" s="417"/>
    </row>
    <row r="93" spans="6:29" ht="16.5" customHeight="1">
      <c r="F93" s="417"/>
      <c r="G93" s="417"/>
      <c r="H93" s="417"/>
      <c r="I93" s="417"/>
      <c r="J93" s="417"/>
      <c r="K93" s="417"/>
      <c r="L93" s="417"/>
      <c r="M93" s="417"/>
      <c r="N93" s="417"/>
      <c r="O93" s="417"/>
      <c r="P93" s="417"/>
      <c r="Q93" s="417"/>
      <c r="R93" s="417"/>
      <c r="S93" s="417"/>
      <c r="T93" s="417"/>
      <c r="U93" s="417"/>
      <c r="V93" s="417"/>
      <c r="W93" s="417"/>
      <c r="X93" s="417"/>
      <c r="Y93" s="417"/>
      <c r="Z93" s="417"/>
      <c r="AA93" s="417"/>
      <c r="AB93" s="417"/>
      <c r="AC93" s="417"/>
    </row>
    <row r="94" spans="6:29" ht="16.5" customHeight="1">
      <c r="F94" s="417"/>
      <c r="G94" s="417"/>
      <c r="H94" s="417"/>
      <c r="I94" s="417"/>
      <c r="J94" s="417"/>
      <c r="K94" s="417"/>
      <c r="L94" s="417"/>
      <c r="M94" s="417"/>
      <c r="N94" s="417"/>
      <c r="O94" s="417"/>
      <c r="P94" s="417"/>
      <c r="Q94" s="417"/>
      <c r="R94" s="417"/>
      <c r="S94" s="417"/>
      <c r="T94" s="417"/>
      <c r="U94" s="417"/>
      <c r="V94" s="417"/>
      <c r="W94" s="417"/>
      <c r="X94" s="417"/>
      <c r="Y94" s="417"/>
      <c r="Z94" s="417"/>
      <c r="AA94" s="417"/>
      <c r="AB94" s="417"/>
      <c r="AC94" s="417"/>
    </row>
    <row r="95" spans="6:29" ht="16.5" customHeight="1">
      <c r="F95" s="417"/>
      <c r="G95" s="417"/>
      <c r="H95" s="417"/>
      <c r="I95" s="417"/>
      <c r="J95" s="417"/>
      <c r="K95" s="417"/>
      <c r="L95" s="417"/>
      <c r="M95" s="417"/>
      <c r="N95" s="417"/>
      <c r="O95" s="417"/>
      <c r="P95" s="417"/>
      <c r="Q95" s="417"/>
      <c r="R95" s="417"/>
      <c r="S95" s="417"/>
      <c r="T95" s="417"/>
      <c r="U95" s="417"/>
      <c r="V95" s="417"/>
      <c r="W95" s="417"/>
      <c r="X95" s="417"/>
      <c r="Y95" s="417"/>
      <c r="Z95" s="417"/>
      <c r="AA95" s="417"/>
      <c r="AB95" s="417"/>
      <c r="AC95" s="417"/>
    </row>
    <row r="96" spans="6:29" ht="16.5" customHeight="1">
      <c r="F96" s="417"/>
      <c r="G96" s="417"/>
      <c r="H96" s="417"/>
      <c r="I96" s="417"/>
      <c r="J96" s="417"/>
      <c r="K96" s="417"/>
      <c r="L96" s="417"/>
      <c r="M96" s="417"/>
      <c r="N96" s="417"/>
      <c r="O96" s="417"/>
      <c r="P96" s="417"/>
      <c r="Q96" s="417"/>
      <c r="R96" s="417"/>
      <c r="S96" s="417"/>
      <c r="T96" s="417"/>
      <c r="U96" s="417"/>
      <c r="V96" s="417"/>
      <c r="W96" s="417"/>
      <c r="X96" s="417"/>
      <c r="Y96" s="417"/>
      <c r="Z96" s="417"/>
      <c r="AA96" s="417"/>
      <c r="AB96" s="417"/>
      <c r="AC96" s="417"/>
    </row>
    <row r="97" spans="6:29" ht="16.5" customHeight="1">
      <c r="F97" s="417"/>
      <c r="G97" s="417"/>
      <c r="H97" s="417"/>
      <c r="I97" s="417"/>
      <c r="J97" s="417"/>
      <c r="K97" s="417"/>
      <c r="L97" s="417"/>
      <c r="M97" s="417"/>
      <c r="N97" s="417"/>
      <c r="O97" s="417"/>
      <c r="P97" s="417"/>
      <c r="Q97" s="417"/>
      <c r="R97" s="417"/>
      <c r="S97" s="417"/>
      <c r="T97" s="417"/>
      <c r="U97" s="417"/>
      <c r="V97" s="417"/>
      <c r="W97" s="417"/>
      <c r="X97" s="417"/>
      <c r="Y97" s="417"/>
      <c r="Z97" s="417"/>
      <c r="AA97" s="417"/>
      <c r="AB97" s="417"/>
      <c r="AC97" s="417"/>
    </row>
    <row r="98" spans="6:29" ht="16.5" customHeight="1">
      <c r="F98" s="417"/>
      <c r="G98" s="417"/>
      <c r="H98" s="417"/>
      <c r="I98" s="417"/>
      <c r="J98" s="417"/>
      <c r="K98" s="417"/>
      <c r="L98" s="417"/>
      <c r="M98" s="417"/>
      <c r="N98" s="417"/>
      <c r="O98" s="417"/>
      <c r="P98" s="417"/>
      <c r="Q98" s="417"/>
      <c r="R98" s="417"/>
      <c r="S98" s="417"/>
      <c r="T98" s="417"/>
      <c r="U98" s="417"/>
      <c r="V98" s="417"/>
      <c r="W98" s="417"/>
      <c r="X98" s="417"/>
      <c r="Y98" s="417"/>
      <c r="Z98" s="417"/>
      <c r="AA98" s="417"/>
      <c r="AB98" s="417"/>
      <c r="AC98" s="417"/>
    </row>
    <row r="99" spans="6:29" ht="16.5" customHeight="1">
      <c r="F99" s="417"/>
      <c r="G99" s="417"/>
      <c r="H99" s="417"/>
      <c r="I99" s="417"/>
      <c r="J99" s="417"/>
      <c r="K99" s="417"/>
      <c r="L99" s="417"/>
      <c r="M99" s="417"/>
      <c r="N99" s="417"/>
      <c r="O99" s="417"/>
      <c r="P99" s="417"/>
      <c r="Q99" s="417"/>
      <c r="R99" s="417"/>
      <c r="S99" s="417"/>
      <c r="T99" s="417"/>
      <c r="U99" s="417"/>
      <c r="V99" s="417"/>
      <c r="W99" s="417"/>
      <c r="X99" s="417"/>
      <c r="Y99" s="417"/>
      <c r="Z99" s="417"/>
      <c r="AA99" s="417"/>
      <c r="AB99" s="417"/>
      <c r="AC99" s="417"/>
    </row>
    <row r="100" spans="6:29" ht="16.5" customHeight="1">
      <c r="F100" s="417"/>
      <c r="G100" s="417"/>
      <c r="H100" s="417"/>
      <c r="I100" s="417"/>
      <c r="J100" s="417"/>
      <c r="K100" s="417"/>
      <c r="L100" s="417"/>
      <c r="M100" s="417"/>
      <c r="N100" s="417"/>
      <c r="O100" s="417"/>
      <c r="P100" s="417"/>
      <c r="Q100" s="417"/>
      <c r="R100" s="417"/>
      <c r="S100" s="417"/>
      <c r="T100" s="417"/>
      <c r="U100" s="417"/>
      <c r="V100" s="417"/>
      <c r="W100" s="417"/>
      <c r="X100" s="417"/>
      <c r="Y100" s="417"/>
      <c r="Z100" s="417"/>
      <c r="AA100" s="417"/>
      <c r="AB100" s="417"/>
      <c r="AC100" s="417"/>
    </row>
    <row r="101" spans="6:29" ht="16.5" customHeight="1">
      <c r="F101" s="417"/>
      <c r="G101" s="417"/>
      <c r="H101" s="417"/>
      <c r="I101" s="417"/>
      <c r="J101" s="417"/>
      <c r="K101" s="417"/>
      <c r="L101" s="417"/>
      <c r="M101" s="417"/>
      <c r="N101" s="417"/>
      <c r="O101" s="417"/>
      <c r="P101" s="417"/>
      <c r="Q101" s="417"/>
      <c r="R101" s="417"/>
      <c r="S101" s="417"/>
      <c r="T101" s="417"/>
      <c r="U101" s="417"/>
      <c r="V101" s="417"/>
      <c r="W101" s="417"/>
      <c r="X101" s="417"/>
      <c r="Y101" s="417"/>
      <c r="Z101" s="417"/>
      <c r="AA101" s="417"/>
      <c r="AB101" s="417"/>
      <c r="AC101" s="417"/>
    </row>
    <row r="102" spans="6:29" ht="16.5" customHeight="1">
      <c r="F102" s="417"/>
      <c r="G102" s="417"/>
      <c r="H102" s="417"/>
      <c r="I102" s="417"/>
      <c r="J102" s="417"/>
      <c r="K102" s="417"/>
      <c r="L102" s="417"/>
      <c r="M102" s="417"/>
      <c r="N102" s="417"/>
      <c r="O102" s="417"/>
      <c r="P102" s="417"/>
      <c r="Q102" s="417"/>
      <c r="R102" s="417"/>
      <c r="S102" s="417"/>
      <c r="T102" s="417"/>
      <c r="U102" s="417"/>
      <c r="V102" s="417"/>
      <c r="W102" s="417"/>
      <c r="X102" s="417"/>
      <c r="Y102" s="417"/>
      <c r="Z102" s="417"/>
      <c r="AA102" s="417"/>
      <c r="AB102" s="417"/>
      <c r="AC102" s="417"/>
    </row>
    <row r="103" spans="6:29" ht="16.5" customHeight="1">
      <c r="F103" s="417"/>
      <c r="G103" s="417"/>
      <c r="H103" s="417"/>
      <c r="I103" s="417"/>
      <c r="J103" s="417"/>
      <c r="K103" s="417"/>
      <c r="L103" s="417"/>
      <c r="M103" s="417"/>
      <c r="N103" s="417"/>
      <c r="O103" s="417"/>
      <c r="P103" s="417"/>
      <c r="Q103" s="417"/>
      <c r="R103" s="417"/>
      <c r="S103" s="417"/>
      <c r="T103" s="417"/>
      <c r="U103" s="417"/>
      <c r="V103" s="417"/>
      <c r="W103" s="417"/>
      <c r="X103" s="417"/>
      <c r="Y103" s="417"/>
      <c r="Z103" s="417"/>
      <c r="AA103" s="417"/>
      <c r="AB103" s="417"/>
      <c r="AC103" s="417"/>
    </row>
    <row r="104" spans="6:29" ht="16.5" customHeight="1">
      <c r="F104" s="417"/>
      <c r="G104" s="417"/>
      <c r="H104" s="417"/>
      <c r="I104" s="417"/>
      <c r="J104" s="417"/>
      <c r="K104" s="417"/>
      <c r="L104" s="417"/>
      <c r="M104" s="417"/>
      <c r="N104" s="417"/>
      <c r="O104" s="417"/>
      <c r="P104" s="417"/>
      <c r="Q104" s="417"/>
      <c r="R104" s="417"/>
      <c r="S104" s="417"/>
      <c r="T104" s="417"/>
      <c r="U104" s="417"/>
      <c r="V104" s="417"/>
      <c r="W104" s="417"/>
      <c r="X104" s="417"/>
      <c r="Y104" s="417"/>
      <c r="Z104" s="417"/>
      <c r="AA104" s="417"/>
      <c r="AB104" s="417"/>
      <c r="AC104" s="417"/>
    </row>
    <row r="105" spans="6:29" ht="16.5" customHeight="1">
      <c r="F105" s="417"/>
      <c r="G105" s="417"/>
      <c r="H105" s="417"/>
      <c r="I105" s="417"/>
      <c r="J105" s="417"/>
      <c r="K105" s="417"/>
      <c r="L105" s="417"/>
      <c r="M105" s="417"/>
      <c r="N105" s="417"/>
      <c r="O105" s="417"/>
      <c r="P105" s="417"/>
      <c r="Q105" s="417"/>
      <c r="R105" s="417"/>
      <c r="S105" s="417"/>
      <c r="T105" s="417"/>
      <c r="U105" s="417"/>
      <c r="V105" s="417"/>
      <c r="W105" s="417"/>
      <c r="X105" s="417"/>
      <c r="Y105" s="417"/>
      <c r="Z105" s="417"/>
      <c r="AA105" s="417"/>
      <c r="AB105" s="417"/>
      <c r="AC105" s="417"/>
    </row>
    <row r="106" spans="6:29" ht="16.5" customHeight="1">
      <c r="F106" s="417"/>
      <c r="G106" s="417"/>
      <c r="H106" s="417"/>
      <c r="I106" s="417"/>
      <c r="J106" s="417"/>
      <c r="K106" s="417"/>
      <c r="L106" s="417"/>
      <c r="M106" s="417"/>
      <c r="N106" s="417"/>
      <c r="O106" s="417"/>
      <c r="P106" s="417"/>
      <c r="Q106" s="417"/>
      <c r="R106" s="417"/>
      <c r="S106" s="417"/>
      <c r="T106" s="417"/>
      <c r="U106" s="417"/>
      <c r="V106" s="417"/>
      <c r="W106" s="417"/>
      <c r="X106" s="417"/>
      <c r="Y106" s="417"/>
      <c r="Z106" s="417"/>
      <c r="AA106" s="417"/>
      <c r="AB106" s="417"/>
      <c r="AC106" s="417"/>
    </row>
    <row r="107" spans="6:29" ht="16.5" customHeight="1">
      <c r="F107" s="417"/>
      <c r="G107" s="417"/>
      <c r="H107" s="417"/>
      <c r="I107" s="417"/>
      <c r="J107" s="417"/>
      <c r="K107" s="417"/>
      <c r="L107" s="417"/>
      <c r="M107" s="417"/>
      <c r="N107" s="417"/>
      <c r="O107" s="417"/>
      <c r="P107" s="417"/>
      <c r="Q107" s="417"/>
      <c r="R107" s="417"/>
      <c r="S107" s="417"/>
      <c r="T107" s="417"/>
      <c r="U107" s="417"/>
      <c r="V107" s="417"/>
      <c r="W107" s="417"/>
      <c r="X107" s="417"/>
      <c r="Y107" s="417"/>
      <c r="Z107" s="417"/>
      <c r="AA107" s="417"/>
      <c r="AB107" s="417"/>
      <c r="AC107" s="417"/>
    </row>
    <row r="108" spans="6:29" ht="16.5" customHeight="1">
      <c r="F108" s="417"/>
      <c r="G108" s="417"/>
      <c r="H108" s="417"/>
      <c r="I108" s="417"/>
      <c r="J108" s="417"/>
      <c r="K108" s="417"/>
      <c r="L108" s="417"/>
      <c r="M108" s="417"/>
      <c r="N108" s="417"/>
      <c r="O108" s="417"/>
      <c r="P108" s="417"/>
      <c r="Q108" s="417"/>
      <c r="R108" s="417"/>
      <c r="S108" s="417"/>
      <c r="T108" s="417"/>
      <c r="U108" s="417"/>
      <c r="V108" s="417"/>
      <c r="W108" s="417"/>
      <c r="X108" s="417"/>
      <c r="Y108" s="417"/>
      <c r="Z108" s="417"/>
      <c r="AA108" s="417"/>
      <c r="AB108" s="417"/>
      <c r="AC108" s="417"/>
    </row>
    <row r="109" spans="6:29" ht="16.5" customHeight="1">
      <c r="F109" s="417"/>
      <c r="G109" s="417"/>
      <c r="H109" s="417"/>
      <c r="I109" s="417"/>
      <c r="J109" s="417"/>
      <c r="K109" s="417"/>
      <c r="L109" s="417"/>
      <c r="M109" s="417"/>
      <c r="N109" s="417"/>
      <c r="O109" s="417"/>
      <c r="P109" s="417"/>
      <c r="Q109" s="417"/>
      <c r="R109" s="417"/>
      <c r="S109" s="417"/>
      <c r="T109" s="417"/>
      <c r="U109" s="417"/>
      <c r="V109" s="417"/>
      <c r="W109" s="417"/>
      <c r="X109" s="417"/>
      <c r="Y109" s="417"/>
      <c r="Z109" s="417"/>
      <c r="AA109" s="417"/>
      <c r="AB109" s="417"/>
      <c r="AC109" s="417"/>
    </row>
    <row r="110" spans="6:29" ht="16.5" customHeight="1">
      <c r="F110" s="417"/>
      <c r="G110" s="417"/>
      <c r="H110" s="417"/>
      <c r="I110" s="417"/>
      <c r="J110" s="417"/>
      <c r="K110" s="417"/>
      <c r="L110" s="417"/>
      <c r="M110" s="417"/>
      <c r="N110" s="417"/>
      <c r="O110" s="417"/>
      <c r="P110" s="417"/>
      <c r="Q110" s="417"/>
      <c r="R110" s="417"/>
      <c r="S110" s="417"/>
      <c r="T110" s="417"/>
      <c r="U110" s="417"/>
      <c r="V110" s="417"/>
      <c r="W110" s="417"/>
      <c r="X110" s="417"/>
      <c r="Y110" s="417"/>
      <c r="Z110" s="417"/>
      <c r="AA110" s="417"/>
      <c r="AB110" s="417"/>
      <c r="AC110" s="417"/>
    </row>
    <row r="111" spans="6:29" ht="16.5" customHeight="1">
      <c r="F111" s="417"/>
      <c r="G111" s="417"/>
      <c r="H111" s="417"/>
      <c r="I111" s="417"/>
      <c r="J111" s="417"/>
      <c r="K111" s="417"/>
      <c r="L111" s="417"/>
      <c r="M111" s="417"/>
      <c r="N111" s="417"/>
      <c r="O111" s="417"/>
      <c r="P111" s="417"/>
      <c r="Q111" s="417"/>
      <c r="R111" s="417"/>
      <c r="S111" s="417"/>
      <c r="T111" s="417"/>
      <c r="U111" s="417"/>
      <c r="V111" s="417"/>
      <c r="W111" s="417"/>
      <c r="X111" s="417"/>
      <c r="Y111" s="417"/>
      <c r="Z111" s="417"/>
      <c r="AA111" s="417"/>
      <c r="AB111" s="417"/>
      <c r="AC111" s="417"/>
    </row>
    <row r="112" spans="6:29" ht="16.5" customHeight="1">
      <c r="F112" s="417"/>
      <c r="G112" s="417"/>
      <c r="H112" s="417"/>
      <c r="I112" s="417"/>
      <c r="J112" s="417"/>
      <c r="K112" s="417"/>
      <c r="L112" s="417"/>
      <c r="M112" s="417"/>
      <c r="N112" s="417"/>
      <c r="O112" s="417"/>
      <c r="P112" s="417"/>
      <c r="Q112" s="417"/>
      <c r="R112" s="417"/>
      <c r="S112" s="417"/>
      <c r="T112" s="417"/>
      <c r="U112" s="417"/>
      <c r="V112" s="417"/>
      <c r="W112" s="417"/>
      <c r="X112" s="417"/>
      <c r="Y112" s="417"/>
      <c r="Z112" s="417"/>
      <c r="AA112" s="417"/>
      <c r="AB112" s="417"/>
      <c r="AC112" s="417"/>
    </row>
    <row r="113" spans="6:29" ht="16.5" customHeight="1">
      <c r="F113" s="417"/>
      <c r="G113" s="417"/>
      <c r="H113" s="417"/>
      <c r="I113" s="417"/>
      <c r="J113" s="417"/>
      <c r="K113" s="417"/>
      <c r="L113" s="417"/>
      <c r="M113" s="417"/>
      <c r="N113" s="417"/>
      <c r="O113" s="417"/>
      <c r="P113" s="417"/>
      <c r="Q113" s="417"/>
      <c r="R113" s="417"/>
      <c r="S113" s="417"/>
      <c r="T113" s="417"/>
      <c r="U113" s="417"/>
      <c r="V113" s="417"/>
      <c r="W113" s="417"/>
      <c r="X113" s="417"/>
      <c r="Y113" s="417"/>
      <c r="Z113" s="417"/>
      <c r="AA113" s="417"/>
      <c r="AB113" s="417"/>
      <c r="AC113" s="417"/>
    </row>
    <row r="114" spans="6:29" ht="16.5" customHeight="1">
      <c r="F114" s="417"/>
      <c r="G114" s="417"/>
      <c r="H114" s="417"/>
      <c r="I114" s="417"/>
      <c r="J114" s="417"/>
      <c r="K114" s="417"/>
      <c r="L114" s="417"/>
      <c r="M114" s="417"/>
      <c r="N114" s="417"/>
      <c r="O114" s="417"/>
      <c r="P114" s="417"/>
      <c r="Q114" s="417"/>
      <c r="R114" s="417"/>
      <c r="S114" s="417"/>
      <c r="T114" s="417"/>
      <c r="U114" s="417"/>
      <c r="V114" s="417"/>
      <c r="W114" s="417"/>
      <c r="X114" s="417"/>
      <c r="Y114" s="417"/>
      <c r="Z114" s="417"/>
      <c r="AA114" s="417"/>
      <c r="AB114" s="417"/>
      <c r="AC114" s="417"/>
    </row>
    <row r="115" spans="6:29" ht="16.5" customHeight="1">
      <c r="F115" s="417"/>
      <c r="G115" s="417"/>
      <c r="H115" s="417"/>
      <c r="I115" s="417"/>
      <c r="J115" s="417"/>
      <c r="K115" s="417"/>
      <c r="L115" s="417"/>
      <c r="M115" s="417"/>
      <c r="N115" s="417"/>
      <c r="O115" s="417"/>
      <c r="P115" s="417"/>
      <c r="Q115" s="417"/>
      <c r="R115" s="417"/>
      <c r="S115" s="417"/>
      <c r="T115" s="417"/>
      <c r="U115" s="417"/>
      <c r="V115" s="417"/>
      <c r="W115" s="417"/>
      <c r="X115" s="417"/>
      <c r="Y115" s="417"/>
      <c r="Z115" s="417"/>
      <c r="AA115" s="417"/>
      <c r="AB115" s="417"/>
      <c r="AC115" s="417"/>
    </row>
    <row r="116" spans="6:29" ht="16.5" customHeight="1">
      <c r="F116" s="417"/>
      <c r="G116" s="417"/>
      <c r="H116" s="417"/>
      <c r="I116" s="417"/>
      <c r="J116" s="417"/>
      <c r="K116" s="417"/>
      <c r="L116" s="417"/>
      <c r="M116" s="417"/>
      <c r="N116" s="417"/>
      <c r="O116" s="417"/>
      <c r="P116" s="417"/>
      <c r="Q116" s="417"/>
      <c r="R116" s="417"/>
      <c r="S116" s="417"/>
      <c r="T116" s="417"/>
      <c r="U116" s="417"/>
      <c r="V116" s="417"/>
      <c r="W116" s="417"/>
      <c r="X116" s="417"/>
      <c r="Y116" s="417"/>
      <c r="Z116" s="417"/>
      <c r="AA116" s="417"/>
      <c r="AB116" s="417"/>
      <c r="AC116" s="417"/>
    </row>
    <row r="117" spans="6:29" ht="16.5" customHeight="1">
      <c r="F117" s="417"/>
      <c r="G117" s="417"/>
      <c r="H117" s="417"/>
      <c r="I117" s="417"/>
      <c r="J117" s="417"/>
      <c r="K117" s="417"/>
      <c r="L117" s="417"/>
      <c r="M117" s="417"/>
      <c r="N117" s="417"/>
      <c r="O117" s="417"/>
      <c r="P117" s="417"/>
      <c r="Q117" s="417"/>
      <c r="R117" s="417"/>
      <c r="S117" s="417"/>
      <c r="T117" s="417"/>
      <c r="U117" s="417"/>
      <c r="V117" s="417"/>
      <c r="W117" s="417"/>
      <c r="X117" s="417"/>
      <c r="Y117" s="417"/>
      <c r="Z117" s="417"/>
      <c r="AA117" s="417"/>
      <c r="AB117" s="417"/>
      <c r="AC117" s="417"/>
    </row>
    <row r="118" spans="6:29" ht="16.5" customHeight="1">
      <c r="F118" s="417"/>
      <c r="G118" s="417"/>
      <c r="H118" s="417"/>
      <c r="I118" s="417"/>
      <c r="J118" s="417"/>
      <c r="K118" s="417"/>
      <c r="L118" s="417"/>
      <c r="M118" s="417"/>
      <c r="N118" s="417"/>
      <c r="O118" s="417"/>
      <c r="P118" s="417"/>
      <c r="Q118" s="417"/>
      <c r="R118" s="417"/>
      <c r="S118" s="417"/>
      <c r="T118" s="417"/>
      <c r="U118" s="417"/>
      <c r="V118" s="417"/>
      <c r="W118" s="417"/>
      <c r="X118" s="417"/>
      <c r="Y118" s="417"/>
      <c r="Z118" s="417"/>
      <c r="AA118" s="417"/>
      <c r="AB118" s="417"/>
      <c r="AC118" s="417"/>
    </row>
    <row r="119" spans="6:29" ht="16.5" customHeight="1">
      <c r="F119" s="417"/>
      <c r="G119" s="417"/>
      <c r="H119" s="417"/>
      <c r="I119" s="417"/>
      <c r="J119" s="417"/>
      <c r="K119" s="417"/>
      <c r="L119" s="417"/>
      <c r="M119" s="417"/>
      <c r="N119" s="417"/>
      <c r="O119" s="417"/>
      <c r="P119" s="417"/>
      <c r="Q119" s="417"/>
      <c r="R119" s="417"/>
      <c r="S119" s="417"/>
      <c r="T119" s="417"/>
      <c r="U119" s="417"/>
      <c r="V119" s="417"/>
      <c r="W119" s="417"/>
      <c r="X119" s="417"/>
      <c r="Y119" s="417"/>
      <c r="Z119" s="417"/>
      <c r="AA119" s="417"/>
      <c r="AB119" s="417"/>
      <c r="AC119" s="417"/>
    </row>
    <row r="120" spans="6:29" ht="16.5" customHeight="1">
      <c r="F120" s="417"/>
      <c r="G120" s="417"/>
      <c r="H120" s="417"/>
      <c r="I120" s="417"/>
      <c r="J120" s="417"/>
      <c r="K120" s="417"/>
      <c r="L120" s="417"/>
      <c r="M120" s="417"/>
      <c r="N120" s="417"/>
      <c r="O120" s="417"/>
      <c r="P120" s="417"/>
      <c r="Q120" s="417"/>
      <c r="R120" s="417"/>
      <c r="S120" s="417"/>
      <c r="T120" s="417"/>
      <c r="U120" s="417"/>
      <c r="V120" s="417"/>
      <c r="W120" s="417"/>
      <c r="X120" s="417"/>
      <c r="Y120" s="417"/>
      <c r="Z120" s="417"/>
      <c r="AA120" s="417"/>
      <c r="AB120" s="417"/>
      <c r="AC120" s="417"/>
    </row>
    <row r="121" spans="6:29" ht="16.5" customHeight="1">
      <c r="F121" s="417"/>
      <c r="G121" s="417"/>
      <c r="H121" s="417"/>
      <c r="I121" s="417"/>
      <c r="J121" s="417"/>
      <c r="K121" s="417"/>
      <c r="L121" s="417"/>
      <c r="M121" s="417"/>
      <c r="N121" s="417"/>
      <c r="O121" s="417"/>
      <c r="P121" s="417"/>
      <c r="Q121" s="417"/>
      <c r="R121" s="417"/>
      <c r="S121" s="417"/>
      <c r="T121" s="417"/>
      <c r="U121" s="417"/>
      <c r="V121" s="417"/>
      <c r="W121" s="417"/>
      <c r="X121" s="417"/>
      <c r="Y121" s="417"/>
      <c r="Z121" s="417"/>
      <c r="AA121" s="417"/>
      <c r="AB121" s="417"/>
      <c r="AC121" s="417"/>
    </row>
    <row r="122" spans="6:29" ht="16.5" customHeight="1">
      <c r="F122" s="417"/>
      <c r="G122" s="417"/>
      <c r="H122" s="417"/>
      <c r="I122" s="417"/>
      <c r="J122" s="417"/>
      <c r="K122" s="417"/>
      <c r="L122" s="417"/>
      <c r="M122" s="417"/>
      <c r="N122" s="417"/>
      <c r="O122" s="417"/>
      <c r="P122" s="417"/>
      <c r="Q122" s="417"/>
      <c r="R122" s="417"/>
      <c r="S122" s="417"/>
      <c r="T122" s="417"/>
      <c r="U122" s="417"/>
      <c r="V122" s="417"/>
      <c r="W122" s="417"/>
      <c r="X122" s="417"/>
      <c r="Y122" s="417"/>
      <c r="Z122" s="417"/>
      <c r="AA122" s="417"/>
      <c r="AB122" s="417"/>
      <c r="AC122" s="417"/>
    </row>
    <row r="123" spans="6:29" ht="16.5" customHeight="1">
      <c r="F123" s="417"/>
      <c r="G123" s="417"/>
      <c r="H123" s="417"/>
      <c r="I123" s="417"/>
      <c r="J123" s="417"/>
      <c r="K123" s="417"/>
      <c r="L123" s="417"/>
      <c r="M123" s="417"/>
      <c r="N123" s="417"/>
      <c r="O123" s="417"/>
      <c r="P123" s="417"/>
      <c r="Q123" s="417"/>
      <c r="R123" s="417"/>
      <c r="S123" s="417"/>
      <c r="T123" s="417"/>
      <c r="U123" s="417"/>
      <c r="V123" s="417"/>
      <c r="W123" s="417"/>
      <c r="X123" s="417"/>
      <c r="Y123" s="417"/>
      <c r="Z123" s="417"/>
      <c r="AA123" s="417"/>
      <c r="AB123" s="417"/>
      <c r="AC123" s="417"/>
    </row>
    <row r="124" spans="6:29" ht="16.5" customHeight="1">
      <c r="F124" s="417"/>
      <c r="G124" s="417"/>
      <c r="H124" s="417"/>
      <c r="I124" s="417"/>
      <c r="J124" s="417"/>
      <c r="K124" s="417"/>
      <c r="L124" s="417"/>
      <c r="M124" s="417"/>
      <c r="N124" s="417"/>
      <c r="O124" s="417"/>
      <c r="P124" s="417"/>
      <c r="Q124" s="417"/>
      <c r="R124" s="417"/>
      <c r="S124" s="417"/>
      <c r="T124" s="417"/>
      <c r="U124" s="417"/>
      <c r="V124" s="417"/>
      <c r="W124" s="417"/>
      <c r="X124" s="417"/>
      <c r="Y124" s="417"/>
      <c r="Z124" s="417"/>
      <c r="AA124" s="417"/>
      <c r="AB124" s="417"/>
      <c r="AC124" s="417"/>
    </row>
    <row r="125" spans="6:29" ht="16.5" customHeight="1">
      <c r="F125" s="417"/>
      <c r="G125" s="417"/>
      <c r="H125" s="417"/>
      <c r="I125" s="417"/>
      <c r="J125" s="417"/>
      <c r="K125" s="417"/>
      <c r="L125" s="417"/>
      <c r="M125" s="417"/>
      <c r="N125" s="417"/>
      <c r="O125" s="417"/>
      <c r="P125" s="417"/>
      <c r="Q125" s="417"/>
      <c r="R125" s="417"/>
      <c r="S125" s="417"/>
      <c r="T125" s="417"/>
      <c r="U125" s="417"/>
      <c r="V125" s="417"/>
      <c r="W125" s="417"/>
      <c r="X125" s="417"/>
      <c r="Y125" s="417"/>
      <c r="Z125" s="417"/>
      <c r="AA125" s="417"/>
      <c r="AB125" s="417"/>
      <c r="AC125" s="417"/>
    </row>
    <row r="126" spans="6:29" ht="16.5" customHeight="1">
      <c r="F126" s="417"/>
      <c r="G126" s="417"/>
      <c r="H126" s="417"/>
      <c r="I126" s="417"/>
      <c r="J126" s="417"/>
      <c r="K126" s="417"/>
      <c r="L126" s="417"/>
      <c r="M126" s="417"/>
      <c r="N126" s="417"/>
      <c r="O126" s="417"/>
      <c r="P126" s="417"/>
      <c r="Q126" s="417"/>
      <c r="R126" s="417"/>
      <c r="S126" s="417"/>
      <c r="T126" s="417"/>
      <c r="U126" s="417"/>
      <c r="V126" s="417"/>
      <c r="W126" s="417"/>
      <c r="X126" s="417"/>
      <c r="Y126" s="417"/>
      <c r="Z126" s="417"/>
      <c r="AA126" s="417"/>
      <c r="AB126" s="417"/>
      <c r="AC126" s="417"/>
    </row>
    <row r="127" spans="6:29" ht="16.5" customHeight="1">
      <c r="F127" s="417"/>
      <c r="G127" s="417"/>
      <c r="H127" s="417"/>
      <c r="I127" s="417"/>
      <c r="J127" s="417"/>
      <c r="K127" s="417"/>
      <c r="L127" s="417"/>
      <c r="M127" s="417"/>
      <c r="N127" s="417"/>
      <c r="O127" s="417"/>
      <c r="P127" s="417"/>
      <c r="Q127" s="417"/>
      <c r="R127" s="417"/>
      <c r="S127" s="417"/>
      <c r="T127" s="417"/>
      <c r="U127" s="417"/>
      <c r="V127" s="417"/>
      <c r="W127" s="417"/>
      <c r="X127" s="417"/>
      <c r="Y127" s="417"/>
      <c r="Z127" s="417"/>
      <c r="AA127" s="417"/>
      <c r="AB127" s="417"/>
      <c r="AC127" s="417"/>
    </row>
    <row r="128" spans="6:29" ht="16.5" customHeight="1">
      <c r="F128" s="417"/>
      <c r="G128" s="417"/>
      <c r="H128" s="417"/>
      <c r="I128" s="417"/>
      <c r="J128" s="417"/>
      <c r="K128" s="417"/>
      <c r="L128" s="417"/>
      <c r="M128" s="417"/>
      <c r="N128" s="417"/>
      <c r="O128" s="417"/>
      <c r="P128" s="417"/>
      <c r="Q128" s="417"/>
      <c r="R128" s="417"/>
      <c r="S128" s="417"/>
      <c r="T128" s="417"/>
      <c r="U128" s="417"/>
      <c r="V128" s="417"/>
      <c r="W128" s="417"/>
      <c r="X128" s="417"/>
      <c r="Y128" s="417"/>
      <c r="Z128" s="417"/>
      <c r="AA128" s="417"/>
      <c r="AB128" s="417"/>
      <c r="AC128" s="417"/>
    </row>
    <row r="129" spans="6:29" ht="16.5" customHeight="1">
      <c r="F129" s="417"/>
      <c r="G129" s="417"/>
      <c r="H129" s="417"/>
      <c r="I129" s="417"/>
      <c r="J129" s="417"/>
      <c r="K129" s="417"/>
      <c r="L129" s="417"/>
      <c r="M129" s="417"/>
      <c r="N129" s="417"/>
      <c r="O129" s="417"/>
      <c r="P129" s="417"/>
      <c r="Q129" s="417"/>
      <c r="R129" s="417"/>
      <c r="S129" s="417"/>
      <c r="T129" s="417"/>
      <c r="U129" s="417"/>
      <c r="V129" s="417"/>
      <c r="W129" s="417"/>
      <c r="X129" s="417"/>
      <c r="Y129" s="417"/>
      <c r="Z129" s="417"/>
      <c r="AA129" s="417"/>
      <c r="AB129" s="417"/>
      <c r="AC129" s="417"/>
    </row>
    <row r="130" spans="6:29" ht="16.5" customHeight="1">
      <c r="F130" s="417"/>
      <c r="G130" s="417"/>
      <c r="H130" s="417"/>
      <c r="I130" s="417"/>
      <c r="J130" s="417"/>
      <c r="K130" s="417"/>
      <c r="L130" s="417"/>
      <c r="M130" s="417"/>
      <c r="N130" s="417"/>
      <c r="O130" s="417"/>
      <c r="P130" s="417"/>
      <c r="Q130" s="417"/>
      <c r="R130" s="417"/>
      <c r="S130" s="417"/>
      <c r="T130" s="417"/>
      <c r="U130" s="417"/>
      <c r="V130" s="417"/>
      <c r="W130" s="417"/>
      <c r="X130" s="417"/>
      <c r="Y130" s="417"/>
      <c r="Z130" s="417"/>
      <c r="AA130" s="417"/>
      <c r="AB130" s="417"/>
      <c r="AC130" s="417"/>
    </row>
    <row r="131" spans="6:29" ht="16.5" customHeight="1">
      <c r="F131" s="417"/>
      <c r="G131" s="417"/>
      <c r="H131" s="417"/>
      <c r="I131" s="417"/>
      <c r="J131" s="417"/>
      <c r="K131" s="417"/>
      <c r="L131" s="417"/>
      <c r="M131" s="417"/>
      <c r="N131" s="417"/>
      <c r="O131" s="417"/>
      <c r="P131" s="417"/>
      <c r="Q131" s="417"/>
      <c r="R131" s="417"/>
      <c r="S131" s="417"/>
      <c r="T131" s="417"/>
      <c r="U131" s="417"/>
      <c r="V131" s="417"/>
      <c r="W131" s="417"/>
      <c r="X131" s="417"/>
      <c r="Y131" s="417"/>
      <c r="Z131" s="417"/>
      <c r="AA131" s="417"/>
      <c r="AB131" s="417"/>
      <c r="AC131" s="417"/>
    </row>
    <row r="132" spans="6:29" ht="16.5" customHeight="1">
      <c r="F132" s="417"/>
      <c r="G132" s="417"/>
      <c r="H132" s="417"/>
      <c r="I132" s="417"/>
      <c r="J132" s="417"/>
      <c r="K132" s="417"/>
      <c r="L132" s="417"/>
      <c r="M132" s="417"/>
      <c r="N132" s="417"/>
      <c r="O132" s="417"/>
      <c r="P132" s="417"/>
      <c r="Q132" s="417"/>
      <c r="R132" s="417"/>
      <c r="S132" s="417"/>
      <c r="T132" s="417"/>
      <c r="U132" s="417"/>
      <c r="V132" s="417"/>
      <c r="W132" s="417"/>
      <c r="X132" s="417"/>
      <c r="Y132" s="417"/>
      <c r="Z132" s="417"/>
      <c r="AA132" s="417"/>
      <c r="AB132" s="417"/>
      <c r="AC132" s="417"/>
    </row>
    <row r="133" spans="6:29" ht="16.5" customHeight="1">
      <c r="F133" s="417"/>
      <c r="G133" s="417"/>
      <c r="H133" s="417"/>
      <c r="I133" s="417"/>
      <c r="J133" s="417"/>
      <c r="K133" s="417"/>
      <c r="L133" s="417"/>
      <c r="M133" s="417"/>
      <c r="N133" s="417"/>
      <c r="O133" s="417"/>
      <c r="P133" s="417"/>
      <c r="Q133" s="417"/>
      <c r="R133" s="417"/>
      <c r="S133" s="417"/>
      <c r="T133" s="417"/>
      <c r="U133" s="417"/>
      <c r="V133" s="417"/>
      <c r="W133" s="417"/>
      <c r="X133" s="417"/>
      <c r="Y133" s="417"/>
      <c r="Z133" s="417"/>
      <c r="AA133" s="417"/>
      <c r="AB133" s="417"/>
      <c r="AC133" s="417"/>
    </row>
    <row r="134" spans="6:29" ht="16.5" customHeight="1">
      <c r="F134" s="417"/>
      <c r="G134" s="417"/>
      <c r="H134" s="417"/>
      <c r="I134" s="417"/>
      <c r="J134" s="417"/>
      <c r="K134" s="417"/>
      <c r="L134" s="417"/>
      <c r="M134" s="417"/>
      <c r="N134" s="417"/>
      <c r="O134" s="417"/>
      <c r="P134" s="417"/>
      <c r="Q134" s="417"/>
      <c r="R134" s="417"/>
      <c r="S134" s="417"/>
      <c r="T134" s="417"/>
      <c r="U134" s="417"/>
      <c r="V134" s="417"/>
      <c r="W134" s="417"/>
      <c r="X134" s="417"/>
      <c r="Y134" s="417"/>
      <c r="Z134" s="417"/>
      <c r="AA134" s="417"/>
      <c r="AB134" s="417"/>
      <c r="AC134" s="417"/>
    </row>
    <row r="135" spans="6:29" ht="16.5" customHeight="1">
      <c r="F135" s="417"/>
      <c r="G135" s="417"/>
      <c r="H135" s="417"/>
      <c r="I135" s="417"/>
      <c r="J135" s="417"/>
      <c r="K135" s="417"/>
      <c r="L135" s="417"/>
      <c r="M135" s="417"/>
      <c r="N135" s="417"/>
      <c r="O135" s="417"/>
      <c r="P135" s="417"/>
      <c r="Q135" s="417"/>
      <c r="R135" s="417"/>
      <c r="S135" s="417"/>
      <c r="T135" s="417"/>
      <c r="U135" s="417"/>
      <c r="V135" s="417"/>
      <c r="W135" s="417"/>
      <c r="X135" s="417"/>
      <c r="Y135" s="417"/>
      <c r="Z135" s="417"/>
      <c r="AA135" s="417"/>
      <c r="AB135" s="417"/>
      <c r="AC135" s="417"/>
    </row>
    <row r="136" spans="6:29" ht="16.5" customHeight="1">
      <c r="F136" s="417"/>
      <c r="G136" s="417"/>
      <c r="H136" s="417"/>
      <c r="I136" s="417"/>
      <c r="J136" s="417"/>
      <c r="K136" s="417"/>
      <c r="L136" s="417"/>
      <c r="M136" s="417"/>
      <c r="N136" s="417"/>
      <c r="O136" s="417"/>
      <c r="P136" s="417"/>
      <c r="Q136" s="417"/>
      <c r="R136" s="417"/>
      <c r="S136" s="417"/>
      <c r="T136" s="417"/>
      <c r="U136" s="417"/>
      <c r="V136" s="417"/>
      <c r="W136" s="417"/>
      <c r="X136" s="417"/>
      <c r="Y136" s="417"/>
      <c r="Z136" s="417"/>
      <c r="AA136" s="417"/>
      <c r="AB136" s="417"/>
      <c r="AC136" s="417"/>
    </row>
    <row r="137" spans="6:29" ht="16.5" customHeight="1">
      <c r="F137" s="417"/>
      <c r="G137" s="417"/>
      <c r="H137" s="417"/>
      <c r="I137" s="417"/>
      <c r="J137" s="417"/>
      <c r="K137" s="417"/>
      <c r="L137" s="417"/>
      <c r="M137" s="417"/>
      <c r="N137" s="417"/>
      <c r="O137" s="417"/>
      <c r="P137" s="417"/>
      <c r="Q137" s="417"/>
      <c r="R137" s="417"/>
      <c r="S137" s="417"/>
      <c r="T137" s="417"/>
      <c r="U137" s="417"/>
      <c r="V137" s="417"/>
      <c r="W137" s="417"/>
      <c r="X137" s="417"/>
      <c r="Y137" s="417"/>
      <c r="Z137" s="417"/>
      <c r="AA137" s="417"/>
      <c r="AB137" s="417"/>
      <c r="AC137" s="417"/>
    </row>
    <row r="138" spans="6:29" ht="16.5" customHeight="1">
      <c r="F138" s="417"/>
      <c r="G138" s="417"/>
      <c r="H138" s="417"/>
      <c r="I138" s="417"/>
      <c r="J138" s="417"/>
      <c r="K138" s="417"/>
      <c r="L138" s="417"/>
      <c r="M138" s="417"/>
      <c r="N138" s="417"/>
      <c r="O138" s="417"/>
      <c r="P138" s="417"/>
      <c r="Q138" s="417"/>
      <c r="R138" s="417"/>
      <c r="S138" s="417"/>
      <c r="T138" s="417"/>
      <c r="U138" s="417"/>
      <c r="V138" s="417"/>
      <c r="W138" s="417"/>
      <c r="X138" s="417"/>
      <c r="Y138" s="417"/>
      <c r="Z138" s="417"/>
      <c r="AA138" s="417"/>
      <c r="AB138" s="417"/>
      <c r="AC138" s="417"/>
    </row>
    <row r="139" spans="6:29" ht="16.5" customHeight="1">
      <c r="F139" s="417"/>
      <c r="G139" s="417"/>
      <c r="H139" s="417"/>
      <c r="I139" s="417"/>
      <c r="J139" s="417"/>
      <c r="K139" s="417"/>
      <c r="L139" s="417"/>
      <c r="M139" s="417"/>
      <c r="N139" s="417"/>
      <c r="O139" s="417"/>
      <c r="P139" s="417"/>
      <c r="Q139" s="417"/>
      <c r="R139" s="417"/>
      <c r="S139" s="417"/>
      <c r="T139" s="417"/>
      <c r="U139" s="417"/>
      <c r="V139" s="417"/>
      <c r="W139" s="417"/>
      <c r="X139" s="417"/>
      <c r="Y139" s="417"/>
      <c r="Z139" s="417"/>
      <c r="AA139" s="417"/>
      <c r="AB139" s="417"/>
      <c r="AC139" s="417"/>
    </row>
    <row r="140" spans="6:29" ht="16.5" customHeight="1">
      <c r="F140" s="417"/>
      <c r="G140" s="417"/>
      <c r="H140" s="417"/>
      <c r="I140" s="417"/>
      <c r="J140" s="417"/>
      <c r="K140" s="417"/>
      <c r="L140" s="417"/>
      <c r="M140" s="417"/>
      <c r="N140" s="417"/>
      <c r="O140" s="417"/>
      <c r="P140" s="417"/>
      <c r="Q140" s="417"/>
      <c r="R140" s="417"/>
      <c r="S140" s="417"/>
      <c r="T140" s="417"/>
      <c r="U140" s="417"/>
      <c r="V140" s="417"/>
      <c r="W140" s="417"/>
      <c r="X140" s="417"/>
      <c r="Y140" s="417"/>
      <c r="Z140" s="417"/>
      <c r="AA140" s="417"/>
      <c r="AB140" s="417"/>
      <c r="AC140" s="417"/>
    </row>
    <row r="141" spans="6:29" ht="16.5" customHeight="1">
      <c r="F141" s="417"/>
      <c r="G141" s="417"/>
      <c r="H141" s="417"/>
      <c r="I141" s="417"/>
      <c r="J141" s="417"/>
      <c r="K141" s="417"/>
      <c r="L141" s="417"/>
      <c r="M141" s="417"/>
      <c r="N141" s="417"/>
      <c r="O141" s="417"/>
      <c r="P141" s="417"/>
      <c r="Q141" s="417"/>
      <c r="R141" s="417"/>
      <c r="S141" s="417"/>
      <c r="T141" s="417"/>
      <c r="U141" s="417"/>
      <c r="V141" s="417"/>
      <c r="W141" s="417"/>
      <c r="X141" s="417"/>
      <c r="Y141" s="417"/>
      <c r="Z141" s="417"/>
      <c r="AA141" s="417"/>
      <c r="AB141" s="417"/>
      <c r="AC141" s="417"/>
    </row>
    <row r="142" spans="6:29" ht="16.5" customHeight="1">
      <c r="F142" s="417"/>
      <c r="G142" s="417"/>
      <c r="H142" s="417"/>
      <c r="I142" s="417"/>
      <c r="J142" s="417"/>
      <c r="K142" s="417"/>
      <c r="L142" s="417"/>
      <c r="M142" s="417"/>
      <c r="N142" s="417"/>
      <c r="O142" s="417"/>
      <c r="P142" s="417"/>
      <c r="Q142" s="417"/>
      <c r="R142" s="417"/>
      <c r="S142" s="417"/>
      <c r="T142" s="417"/>
      <c r="U142" s="417"/>
      <c r="V142" s="417"/>
      <c r="W142" s="417"/>
      <c r="X142" s="417"/>
      <c r="Y142" s="417"/>
      <c r="Z142" s="417"/>
      <c r="AA142" s="417"/>
      <c r="AB142" s="417"/>
      <c r="AC142" s="417"/>
    </row>
    <row r="143" spans="6:29" ht="16.5" customHeight="1">
      <c r="F143" s="417"/>
      <c r="G143" s="417"/>
      <c r="H143" s="417"/>
      <c r="I143" s="417"/>
      <c r="J143" s="417"/>
      <c r="K143" s="417"/>
      <c r="L143" s="417"/>
      <c r="M143" s="417"/>
      <c r="N143" s="417"/>
      <c r="O143" s="417"/>
      <c r="P143" s="417"/>
      <c r="Q143" s="417"/>
      <c r="R143" s="417"/>
      <c r="S143" s="417"/>
      <c r="T143" s="417"/>
      <c r="U143" s="417"/>
      <c r="V143" s="417"/>
      <c r="W143" s="417"/>
      <c r="X143" s="417"/>
      <c r="Y143" s="417"/>
      <c r="Z143" s="417"/>
      <c r="AA143" s="417"/>
      <c r="AB143" s="417"/>
      <c r="AC143" s="417"/>
    </row>
    <row r="144" spans="6:29" ht="16.5" customHeight="1">
      <c r="F144" s="417"/>
      <c r="G144" s="417"/>
      <c r="H144" s="417"/>
      <c r="I144" s="417"/>
      <c r="J144" s="417"/>
      <c r="K144" s="417"/>
      <c r="L144" s="417"/>
      <c r="M144" s="417"/>
      <c r="N144" s="417"/>
      <c r="O144" s="417"/>
      <c r="P144" s="417"/>
      <c r="Q144" s="417"/>
      <c r="R144" s="417"/>
      <c r="S144" s="417"/>
      <c r="T144" s="417"/>
      <c r="U144" s="417"/>
      <c r="V144" s="417"/>
      <c r="W144" s="417"/>
      <c r="X144" s="417"/>
      <c r="Y144" s="417"/>
      <c r="Z144" s="417"/>
      <c r="AA144" s="417"/>
      <c r="AB144" s="417"/>
      <c r="AC144" s="417"/>
    </row>
    <row r="145" spans="6:29" ht="16.5" customHeight="1">
      <c r="F145" s="417"/>
      <c r="G145" s="417"/>
      <c r="H145" s="417"/>
      <c r="I145" s="417"/>
      <c r="J145" s="417"/>
      <c r="K145" s="417"/>
      <c r="L145" s="417"/>
      <c r="M145" s="417"/>
      <c r="N145" s="417"/>
      <c r="O145" s="417"/>
      <c r="P145" s="417"/>
      <c r="Q145" s="417"/>
      <c r="R145" s="417"/>
      <c r="S145" s="417"/>
      <c r="T145" s="417"/>
      <c r="U145" s="417"/>
      <c r="V145" s="417"/>
      <c r="W145" s="417"/>
      <c r="X145" s="417"/>
      <c r="Y145" s="417"/>
      <c r="Z145" s="417"/>
      <c r="AA145" s="417"/>
      <c r="AB145" s="417"/>
      <c r="AC145" s="417"/>
    </row>
    <row r="146" spans="6:29" ht="16.5" customHeight="1">
      <c r="F146" s="417"/>
      <c r="G146" s="417"/>
      <c r="H146" s="417"/>
      <c r="I146" s="417"/>
      <c r="J146" s="417"/>
      <c r="K146" s="417"/>
      <c r="L146" s="417"/>
      <c r="M146" s="417"/>
      <c r="N146" s="417"/>
      <c r="O146" s="417"/>
      <c r="P146" s="417"/>
      <c r="Q146" s="417"/>
      <c r="R146" s="417"/>
      <c r="S146" s="417"/>
      <c r="T146" s="417"/>
      <c r="U146" s="417"/>
      <c r="V146" s="417"/>
      <c r="W146" s="417"/>
      <c r="X146" s="417"/>
      <c r="Y146" s="417"/>
      <c r="Z146" s="417"/>
      <c r="AA146" s="417"/>
      <c r="AB146" s="417"/>
      <c r="AC146" s="417"/>
    </row>
    <row r="147" spans="6:29" ht="16.5" customHeight="1">
      <c r="F147" s="417"/>
      <c r="G147" s="417"/>
      <c r="H147" s="417"/>
      <c r="I147" s="417"/>
      <c r="J147" s="417"/>
      <c r="K147" s="417"/>
      <c r="L147" s="417"/>
      <c r="M147" s="417"/>
      <c r="N147" s="417"/>
      <c r="O147" s="417"/>
      <c r="P147" s="417"/>
      <c r="Q147" s="417"/>
      <c r="R147" s="417"/>
      <c r="S147" s="417"/>
      <c r="T147" s="417"/>
      <c r="U147" s="417"/>
      <c r="V147" s="417"/>
      <c r="W147" s="417"/>
      <c r="X147" s="417"/>
      <c r="Y147" s="417"/>
      <c r="Z147" s="417"/>
      <c r="AA147" s="417"/>
      <c r="AB147" s="417"/>
      <c r="AC147" s="417"/>
    </row>
    <row r="148" spans="6:29" ht="16.5" customHeight="1">
      <c r="F148" s="417"/>
      <c r="G148" s="417"/>
      <c r="H148" s="417"/>
      <c r="I148" s="417"/>
      <c r="J148" s="417"/>
      <c r="K148" s="417"/>
      <c r="L148" s="417"/>
      <c r="M148" s="417"/>
      <c r="N148" s="417"/>
      <c r="O148" s="417"/>
      <c r="P148" s="417"/>
      <c r="Q148" s="417"/>
      <c r="R148" s="417"/>
      <c r="S148" s="417"/>
      <c r="T148" s="417"/>
      <c r="U148" s="417"/>
      <c r="V148" s="417"/>
      <c r="W148" s="417"/>
      <c r="X148" s="417"/>
      <c r="Y148" s="417"/>
      <c r="Z148" s="417"/>
      <c r="AA148" s="417"/>
      <c r="AB148" s="417"/>
      <c r="AC148" s="417"/>
    </row>
    <row r="149" spans="6:29" ht="16.5" customHeight="1">
      <c r="F149" s="417"/>
      <c r="G149" s="417"/>
      <c r="H149" s="417"/>
      <c r="I149" s="417"/>
      <c r="J149" s="417"/>
      <c r="K149" s="417"/>
      <c r="L149" s="417"/>
      <c r="M149" s="417"/>
      <c r="N149" s="417"/>
      <c r="O149" s="417"/>
      <c r="P149" s="417"/>
      <c r="Q149" s="417"/>
      <c r="R149" s="417"/>
      <c r="S149" s="417"/>
      <c r="T149" s="417"/>
      <c r="U149" s="417"/>
      <c r="V149" s="417"/>
      <c r="W149" s="417"/>
      <c r="X149" s="417"/>
      <c r="Y149" s="417"/>
      <c r="Z149" s="417"/>
      <c r="AA149" s="417"/>
      <c r="AB149" s="417"/>
      <c r="AC149" s="417"/>
    </row>
    <row r="150" spans="6:29" ht="16.5" customHeight="1">
      <c r="F150" s="417"/>
      <c r="G150" s="417"/>
      <c r="H150" s="417"/>
      <c r="I150" s="417"/>
      <c r="J150" s="417"/>
      <c r="K150" s="417"/>
      <c r="L150" s="417"/>
      <c r="M150" s="417"/>
      <c r="N150" s="417"/>
      <c r="O150" s="417"/>
      <c r="P150" s="417"/>
      <c r="Q150" s="417"/>
      <c r="R150" s="417"/>
      <c r="S150" s="417"/>
      <c r="T150" s="417"/>
      <c r="U150" s="417"/>
      <c r="V150" s="417"/>
      <c r="W150" s="417"/>
      <c r="X150" s="417"/>
      <c r="Y150" s="417"/>
      <c r="Z150" s="417"/>
      <c r="AA150" s="417"/>
      <c r="AB150" s="417"/>
      <c r="AC150" s="417"/>
    </row>
    <row r="151" spans="6:29" ht="16.5" customHeight="1">
      <c r="F151" s="417"/>
      <c r="G151" s="417"/>
      <c r="H151" s="417"/>
      <c r="I151" s="417"/>
      <c r="J151" s="417"/>
      <c r="K151" s="417"/>
      <c r="L151" s="417"/>
      <c r="M151" s="417"/>
      <c r="N151" s="417"/>
      <c r="O151" s="417"/>
      <c r="P151" s="417"/>
      <c r="Q151" s="417"/>
      <c r="R151" s="417"/>
      <c r="S151" s="417"/>
      <c r="T151" s="417"/>
      <c r="U151" s="417"/>
      <c r="V151" s="417"/>
      <c r="W151" s="417"/>
      <c r="X151" s="417"/>
      <c r="Y151" s="417"/>
      <c r="Z151" s="417"/>
      <c r="AA151" s="417"/>
      <c r="AB151" s="417"/>
      <c r="AC151" s="417"/>
    </row>
    <row r="152" spans="6:29" ht="16.5" customHeight="1">
      <c r="F152" s="417"/>
      <c r="G152" s="417"/>
      <c r="H152" s="417"/>
      <c r="AB152" s="417"/>
      <c r="AC152" s="417"/>
    </row>
    <row r="153" spans="6:8" ht="16.5" customHeight="1">
      <c r="F153" s="417"/>
      <c r="G153" s="417"/>
      <c r="H153" s="417"/>
    </row>
    <row r="154" spans="6:8" ht="16.5" customHeight="1">
      <c r="F154" s="417"/>
      <c r="G154" s="417"/>
      <c r="H154" s="417"/>
    </row>
    <row r="155" spans="6:8" ht="16.5" customHeight="1">
      <c r="F155" s="417"/>
      <c r="G155" s="417"/>
      <c r="H155" s="417"/>
    </row>
    <row r="156" spans="6:8" ht="16.5" customHeight="1">
      <c r="F156" s="417"/>
      <c r="G156" s="417"/>
      <c r="H156" s="417"/>
    </row>
    <row r="157" spans="6:8" ht="16.5" customHeight="1">
      <c r="F157" s="417"/>
      <c r="G157" s="417"/>
      <c r="H157" s="417"/>
    </row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6" r:id="rId3"/>
  <headerFooter alignWithMargins="0">
    <oddFooter>&amp;L&amp;"Times New Roman,Normal"&amp;8&amp;F-&amp;A</oddFooter>
  </headerFooter>
  <drawing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C156"/>
  <sheetViews>
    <sheetView zoomScale="70" zoomScaleNormal="70" zoomScalePageLayoutView="0" workbookViewId="0" topLeftCell="A1">
      <selection activeCell="N51" sqref="N51"/>
    </sheetView>
  </sheetViews>
  <sheetFormatPr defaultColWidth="11.421875" defaultRowHeight="12.75"/>
  <cols>
    <col min="1" max="1" width="1.421875" style="9" customWidth="1"/>
    <col min="2" max="2" width="4.140625" style="9" customWidth="1"/>
    <col min="3" max="3" width="5.421875" style="9" customWidth="1"/>
    <col min="4" max="5" width="13.57421875" style="9" customWidth="1"/>
    <col min="6" max="6" width="30.7109375" style="9" customWidth="1"/>
    <col min="7" max="7" width="27.28125" style="9" customWidth="1"/>
    <col min="8" max="8" width="7.7109375" style="9" bestFit="1" customWidth="1"/>
    <col min="9" max="9" width="7.421875" style="9" hidden="1" customWidth="1"/>
    <col min="10" max="11" width="15.7109375" style="9" customWidth="1"/>
    <col min="12" max="15" width="9.7109375" style="9" customWidth="1"/>
    <col min="16" max="16" width="5.7109375" style="9" bestFit="1" customWidth="1"/>
    <col min="17" max="17" width="4.00390625" style="9" hidden="1" customWidth="1"/>
    <col min="18" max="18" width="12.8515625" style="9" hidden="1" customWidth="1"/>
    <col min="19" max="19" width="10.28125" style="9" hidden="1" customWidth="1"/>
    <col min="20" max="20" width="12.140625" style="9" hidden="1" customWidth="1"/>
    <col min="21" max="22" width="6.00390625" style="9" hidden="1" customWidth="1"/>
    <col min="23" max="23" width="11.7109375" style="9" hidden="1" customWidth="1"/>
    <col min="24" max="24" width="12.140625" style="9" hidden="1" customWidth="1"/>
    <col min="25" max="25" width="9.7109375" style="9" customWidth="1"/>
    <col min="26" max="26" width="15.7109375" style="9" customWidth="1"/>
    <col min="27" max="27" width="4.140625" style="9" customWidth="1"/>
    <col min="28" max="16384" width="11.421875" style="9" customWidth="1"/>
  </cols>
  <sheetData>
    <row r="1" s="3" customFormat="1" ht="26.25">
      <c r="AA1" s="5"/>
    </row>
    <row r="2" spans="1:27" s="3" customFormat="1" ht="26.25">
      <c r="A2" s="88"/>
      <c r="B2" s="529" t="str">
        <f>'TOT-0912'!B2</f>
        <v>ANEXO IV al Memorándum  D.T.E.E.  N° 295 / 2014</v>
      </c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</row>
    <row r="3" s="8" customFormat="1" ht="12.75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27" s="8" customFormat="1" ht="13.5" thickTop="1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460"/>
    </row>
    <row r="8" spans="2:27" s="18" customFormat="1" ht="20.25">
      <c r="B8" s="95"/>
      <c r="C8" s="23"/>
      <c r="D8" s="23"/>
      <c r="F8" s="96" t="s">
        <v>73</v>
      </c>
      <c r="G8" s="530"/>
      <c r="H8" s="22"/>
      <c r="I8" s="21"/>
      <c r="J8" s="21"/>
      <c r="K8" s="21"/>
      <c r="L8" s="21"/>
      <c r="M8" s="21"/>
      <c r="N8" s="21"/>
      <c r="O8" s="2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531"/>
    </row>
    <row r="9" spans="2:27" s="8" customFormat="1" ht="12.75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60"/>
    </row>
    <row r="10" spans="2:27" s="18" customFormat="1" ht="20.25">
      <c r="B10" s="95"/>
      <c r="C10" s="23"/>
      <c r="D10" s="23"/>
      <c r="F10" s="97" t="s">
        <v>74</v>
      </c>
      <c r="H10" s="532"/>
      <c r="I10" s="533"/>
      <c r="J10" s="533"/>
      <c r="K10" s="533"/>
      <c r="L10" s="533"/>
      <c r="M10" s="533"/>
      <c r="N10" s="533"/>
      <c r="O10" s="533"/>
      <c r="P10" s="533"/>
      <c r="Q10" s="533"/>
      <c r="R10" s="23"/>
      <c r="S10" s="23"/>
      <c r="T10" s="23"/>
      <c r="U10" s="23"/>
      <c r="V10" s="23"/>
      <c r="W10" s="23"/>
      <c r="X10" s="23"/>
      <c r="Y10" s="23"/>
      <c r="Z10" s="23"/>
      <c r="AA10" s="462"/>
    </row>
    <row r="11" spans="2:27" s="8" customFormat="1" ht="16.5" customHeight="1">
      <c r="B11" s="55"/>
      <c r="C11" s="11"/>
      <c r="D11" s="11"/>
      <c r="E11" s="11"/>
      <c r="F11" s="534"/>
      <c r="H11" s="24"/>
      <c r="I11" s="100"/>
      <c r="J11" s="100"/>
      <c r="K11" s="100"/>
      <c r="L11" s="100"/>
      <c r="M11" s="100"/>
      <c r="N11" s="100"/>
      <c r="O11" s="100"/>
      <c r="P11" s="100"/>
      <c r="Q11" s="100"/>
      <c r="R11" s="11"/>
      <c r="S11" s="11"/>
      <c r="T11" s="11"/>
      <c r="U11" s="11"/>
      <c r="V11" s="11"/>
      <c r="W11" s="11"/>
      <c r="X11" s="11"/>
      <c r="Y11" s="11"/>
      <c r="Z11" s="11"/>
      <c r="AA11" s="60"/>
    </row>
    <row r="12" spans="2:27" s="18" customFormat="1" ht="20.25">
      <c r="B12" s="95"/>
      <c r="C12" s="23"/>
      <c r="D12" s="23"/>
      <c r="F12" s="97" t="s">
        <v>370</v>
      </c>
      <c r="H12" s="532"/>
      <c r="I12" s="533"/>
      <c r="J12" s="533"/>
      <c r="K12" s="533"/>
      <c r="L12" s="533"/>
      <c r="M12" s="533"/>
      <c r="N12" s="533"/>
      <c r="O12" s="533"/>
      <c r="P12" s="533"/>
      <c r="Q12" s="533"/>
      <c r="R12" s="23"/>
      <c r="S12" s="23"/>
      <c r="T12" s="23"/>
      <c r="U12" s="23"/>
      <c r="V12" s="23"/>
      <c r="W12" s="23"/>
      <c r="X12" s="23"/>
      <c r="Y12" s="23"/>
      <c r="Z12" s="23"/>
      <c r="AA12" s="462"/>
    </row>
    <row r="13" spans="2:27" s="8" customFormat="1" ht="16.5" customHeight="1">
      <c r="B13" s="55"/>
      <c r="C13" s="11"/>
      <c r="D13" s="11"/>
      <c r="E13" s="11"/>
      <c r="F13" s="534"/>
      <c r="H13" s="24"/>
      <c r="I13" s="100"/>
      <c r="J13" s="100"/>
      <c r="K13" s="100"/>
      <c r="L13" s="100"/>
      <c r="M13" s="100"/>
      <c r="N13" s="100"/>
      <c r="O13" s="100"/>
      <c r="P13" s="100"/>
      <c r="Q13" s="100"/>
      <c r="R13" s="11"/>
      <c r="S13" s="11"/>
      <c r="T13" s="11"/>
      <c r="U13" s="11"/>
      <c r="V13" s="11"/>
      <c r="W13" s="11"/>
      <c r="X13" s="11"/>
      <c r="Y13" s="11"/>
      <c r="Z13" s="11"/>
      <c r="AA13" s="60"/>
    </row>
    <row r="14" spans="2:27" s="34" customFormat="1" ht="16.5" customHeight="1">
      <c r="B14" s="35" t="str">
        <f>'TOT-0912'!B14</f>
        <v>Desde el 01 al 30 de septiembre de 2012</v>
      </c>
      <c r="C14" s="39"/>
      <c r="D14" s="39"/>
      <c r="E14" s="535"/>
      <c r="F14" s="536"/>
      <c r="G14" s="536"/>
      <c r="H14" s="536"/>
      <c r="I14" s="536"/>
      <c r="J14" s="536"/>
      <c r="K14" s="536"/>
      <c r="L14" s="536"/>
      <c r="M14" s="536"/>
      <c r="N14" s="536"/>
      <c r="O14" s="536"/>
      <c r="P14" s="536"/>
      <c r="Q14" s="536"/>
      <c r="R14" s="535"/>
      <c r="S14" s="535"/>
      <c r="T14" s="535"/>
      <c r="U14" s="535"/>
      <c r="V14" s="535"/>
      <c r="W14" s="535"/>
      <c r="X14" s="535"/>
      <c r="Y14" s="535"/>
      <c r="Z14" s="535"/>
      <c r="AA14" s="537"/>
    </row>
    <row r="15" spans="2:27" s="8" customFormat="1" ht="16.5" customHeight="1" thickBot="1">
      <c r="B15" s="5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R15" s="11"/>
      <c r="S15" s="11"/>
      <c r="T15" s="11"/>
      <c r="U15" s="11"/>
      <c r="V15" s="11"/>
      <c r="W15" s="11"/>
      <c r="X15" s="11"/>
      <c r="Y15" s="11"/>
      <c r="Z15" s="11"/>
      <c r="AA15" s="60"/>
    </row>
    <row r="16" spans="2:27" s="8" customFormat="1" ht="16.5" customHeight="1" thickBot="1" thickTop="1">
      <c r="B16" s="55"/>
      <c r="C16" s="11"/>
      <c r="D16" s="11"/>
      <c r="E16" s="11"/>
      <c r="F16" s="538" t="s">
        <v>56</v>
      </c>
      <c r="G16" s="276"/>
      <c r="H16" s="315">
        <v>0.103</v>
      </c>
      <c r="I16" s="474"/>
      <c r="J16" s="9"/>
      <c r="K16" s="11"/>
      <c r="L16" s="11"/>
      <c r="M16" s="11"/>
      <c r="N16" s="11"/>
      <c r="O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60"/>
    </row>
    <row r="17" spans="2:27" s="8" customFormat="1" ht="16.5" customHeight="1" thickBot="1" thickTop="1">
      <c r="B17" s="55"/>
      <c r="C17" s="11"/>
      <c r="D17" s="11"/>
      <c r="E17" s="11"/>
      <c r="F17" s="539" t="s">
        <v>57</v>
      </c>
      <c r="G17" s="540"/>
      <c r="H17" s="541">
        <v>20</v>
      </c>
      <c r="I17" s="474"/>
      <c r="J17" s="9"/>
      <c r="K17" s="107"/>
      <c r="L17" s="108"/>
      <c r="M17" s="11"/>
      <c r="N17" s="11"/>
      <c r="O17" s="11"/>
      <c r="Q17" s="11"/>
      <c r="R17" s="11"/>
      <c r="S17" s="11"/>
      <c r="T17" s="109"/>
      <c r="U17" s="109"/>
      <c r="V17" s="109"/>
      <c r="W17" s="109"/>
      <c r="X17" s="109"/>
      <c r="Y17" s="109"/>
      <c r="Z17" s="109"/>
      <c r="AA17" s="60"/>
    </row>
    <row r="18" spans="2:27" s="8" customFormat="1" ht="16.5" customHeight="1" thickBot="1" thickTop="1">
      <c r="B18" s="55"/>
      <c r="C18" s="110">
        <v>3</v>
      </c>
      <c r="D18" s="110">
        <v>4</v>
      </c>
      <c r="E18" s="110">
        <v>5</v>
      </c>
      <c r="F18" s="110">
        <v>6</v>
      </c>
      <c r="G18" s="110">
        <v>7</v>
      </c>
      <c r="H18" s="110">
        <v>8</v>
      </c>
      <c r="I18" s="110">
        <v>9</v>
      </c>
      <c r="J18" s="110">
        <v>10</v>
      </c>
      <c r="K18" s="110">
        <v>11</v>
      </c>
      <c r="L18" s="110">
        <v>12</v>
      </c>
      <c r="M18" s="110">
        <v>13</v>
      </c>
      <c r="N18" s="110">
        <v>14</v>
      </c>
      <c r="O18" s="110">
        <v>15</v>
      </c>
      <c r="P18" s="110">
        <v>16</v>
      </c>
      <c r="Q18" s="110">
        <v>17</v>
      </c>
      <c r="R18" s="110">
        <v>18</v>
      </c>
      <c r="S18" s="110">
        <v>19</v>
      </c>
      <c r="T18" s="110">
        <v>20</v>
      </c>
      <c r="U18" s="110">
        <v>21</v>
      </c>
      <c r="V18" s="110">
        <v>22</v>
      </c>
      <c r="W18" s="110">
        <v>23</v>
      </c>
      <c r="X18" s="110">
        <v>24</v>
      </c>
      <c r="Y18" s="110">
        <v>25</v>
      </c>
      <c r="Z18" s="110">
        <v>26</v>
      </c>
      <c r="AA18" s="60"/>
    </row>
    <row r="19" spans="2:27" s="8" customFormat="1" ht="33.75" customHeight="1" thickBot="1" thickTop="1">
      <c r="B19" s="55"/>
      <c r="C19" s="321" t="s">
        <v>28</v>
      </c>
      <c r="D19" s="111" t="s">
        <v>29</v>
      </c>
      <c r="E19" s="111" t="s">
        <v>30</v>
      </c>
      <c r="F19" s="114" t="s">
        <v>58</v>
      </c>
      <c r="G19" s="112" t="s">
        <v>59</v>
      </c>
      <c r="H19" s="542" t="s">
        <v>76</v>
      </c>
      <c r="I19" s="326" t="s">
        <v>35</v>
      </c>
      <c r="J19" s="112" t="s">
        <v>36</v>
      </c>
      <c r="K19" s="112" t="s">
        <v>37</v>
      </c>
      <c r="L19" s="114" t="s">
        <v>38</v>
      </c>
      <c r="M19" s="114" t="s">
        <v>39</v>
      </c>
      <c r="N19" s="119" t="s">
        <v>254</v>
      </c>
      <c r="O19" s="119" t="s">
        <v>40</v>
      </c>
      <c r="P19" s="112" t="s">
        <v>42</v>
      </c>
      <c r="Q19" s="326" t="s">
        <v>34</v>
      </c>
      <c r="R19" s="543" t="s">
        <v>71</v>
      </c>
      <c r="S19" s="544" t="s">
        <v>77</v>
      </c>
      <c r="T19" s="545"/>
      <c r="U19" s="331" t="s">
        <v>78</v>
      </c>
      <c r="V19" s="332"/>
      <c r="W19" s="546" t="s">
        <v>47</v>
      </c>
      <c r="X19" s="330" t="s">
        <v>44</v>
      </c>
      <c r="Y19" s="130" t="s">
        <v>49</v>
      </c>
      <c r="Z19" s="547" t="s">
        <v>50</v>
      </c>
      <c r="AA19" s="60"/>
    </row>
    <row r="20" spans="2:27" s="8" customFormat="1" ht="16.5" customHeight="1" thickTop="1">
      <c r="B20" s="55"/>
      <c r="C20" s="335"/>
      <c r="D20" s="335"/>
      <c r="E20" s="335"/>
      <c r="F20" s="548"/>
      <c r="G20" s="548"/>
      <c r="H20" s="548"/>
      <c r="I20" s="423"/>
      <c r="J20" s="549"/>
      <c r="K20" s="549"/>
      <c r="L20" s="550"/>
      <c r="M20" s="550"/>
      <c r="N20" s="548"/>
      <c r="O20" s="627"/>
      <c r="P20" s="550"/>
      <c r="Q20" s="551"/>
      <c r="R20" s="552"/>
      <c r="S20" s="628"/>
      <c r="T20" s="629"/>
      <c r="U20" s="344"/>
      <c r="V20" s="345"/>
      <c r="W20" s="555"/>
      <c r="X20" s="555"/>
      <c r="Y20" s="556"/>
      <c r="Z20" s="557"/>
      <c r="AA20" s="60"/>
    </row>
    <row r="21" spans="2:27" s="8" customFormat="1" ht="16.5" customHeight="1">
      <c r="B21" s="55"/>
      <c r="C21" s="150"/>
      <c r="D21" s="150"/>
      <c r="E21" s="150"/>
      <c r="F21" s="593"/>
      <c r="G21" s="593"/>
      <c r="H21" s="593"/>
      <c r="I21" s="350"/>
      <c r="J21" s="593"/>
      <c r="K21" s="593"/>
      <c r="L21" s="593"/>
      <c r="M21" s="593"/>
      <c r="N21" s="593"/>
      <c r="O21" s="630"/>
      <c r="P21" s="593"/>
      <c r="Q21" s="350"/>
      <c r="R21" s="631"/>
      <c r="S21" s="632"/>
      <c r="T21" s="632"/>
      <c r="U21" s="633"/>
      <c r="V21" s="633"/>
      <c r="W21" s="634"/>
      <c r="X21" s="634"/>
      <c r="Y21" s="593"/>
      <c r="Z21" s="635"/>
      <c r="AA21" s="60"/>
    </row>
    <row r="22" spans="2:27" s="8" customFormat="1" ht="16.5" customHeight="1">
      <c r="B22" s="55"/>
      <c r="C22" s="150">
        <v>124</v>
      </c>
      <c r="D22" s="150">
        <v>251580</v>
      </c>
      <c r="E22" s="169">
        <v>4860</v>
      </c>
      <c r="F22" s="620" t="s">
        <v>391</v>
      </c>
      <c r="G22" s="621" t="s">
        <v>394</v>
      </c>
      <c r="H22" s="199">
        <v>170</v>
      </c>
      <c r="I22" s="366">
        <f aca="true" t="shared" si="0" ref="I22:I40">H22*$H$16</f>
        <v>17.509999999999998</v>
      </c>
      <c r="J22" s="508">
        <v>41162.30138888889</v>
      </c>
      <c r="K22" s="204">
        <v>41163.65902777778</v>
      </c>
      <c r="L22" s="510">
        <f aca="true" t="shared" si="1" ref="L22:L40">IF(F22="","",(K22-J22)*24)</f>
        <v>32.58333333337214</v>
      </c>
      <c r="M22" s="511">
        <f aca="true" t="shared" si="2" ref="M22:M40">IF(F22="","",ROUND((K22-J22)*24*60,0))</f>
        <v>1955</v>
      </c>
      <c r="N22" s="178" t="s">
        <v>259</v>
      </c>
      <c r="O22" s="274" t="str">
        <f aca="true" t="shared" si="3" ref="O22:O40">IF(F22="","","--")</f>
        <v>--</v>
      </c>
      <c r="P22" s="180" t="str">
        <f>IF(F22="","",IF(OR(N22="P",N22="RP"),"--","NO"))</f>
        <v>--</v>
      </c>
      <c r="Q22" s="575">
        <f aca="true" t="shared" si="4" ref="Q22:Q40">IF(OR(N22="P",N22="RP"),$H$17/10,$H$17)</f>
        <v>2</v>
      </c>
      <c r="R22" s="576">
        <f aca="true" t="shared" si="5" ref="R22:R40">IF(N22="P",I22*Q22*ROUND(M22/60,2),"--")</f>
        <v>1140.9515999999999</v>
      </c>
      <c r="S22" s="569" t="str">
        <f aca="true" t="shared" si="6" ref="S22:S40">IF(AND(N22="F",P22="NO"),I22*Q22,"--")</f>
        <v>--</v>
      </c>
      <c r="T22" s="570" t="str">
        <f aca="true" t="shared" si="7" ref="T22:T40">IF(N22="F",I22*Q22*ROUND(M22/60,2),"--")</f>
        <v>--</v>
      </c>
      <c r="U22" s="377" t="str">
        <f aca="true" t="shared" si="8" ref="U22:U40">IF(AND(N22="R",P22="NO"),I22*Q22*O22/100,"--")</f>
        <v>--</v>
      </c>
      <c r="V22" s="378" t="str">
        <f aca="true" t="shared" si="9" ref="V22:V40">IF(N22="R",I22*Q22*O22/100*ROUND(M22/60,2),"--")</f>
        <v>--</v>
      </c>
      <c r="W22" s="571" t="str">
        <f aca="true" t="shared" si="10" ref="W22:W40">IF(N22="RF",I22*Q22*ROUND(M22/60,2),"--")</f>
        <v>--</v>
      </c>
      <c r="X22" s="428" t="str">
        <f aca="true" t="shared" si="11" ref="X22:X40">IF(N22="RP",I22*Q22*O22/100*ROUND(M22/60,2),"--")</f>
        <v>--</v>
      </c>
      <c r="Y22" s="180" t="str">
        <f aca="true" t="shared" si="12" ref="Y22:Y40">IF(F22="","","SI")</f>
        <v>SI</v>
      </c>
      <c r="Z22" s="514">
        <f aca="true" t="shared" si="13" ref="Z22:Z34">IF(F22="","",SUM(R22:X22)*IF(Y22="SI",1,2)*IF(AND(O22&lt;&gt;"--",N22="RF"),O22/100,1))</f>
        <v>1140.9515999999999</v>
      </c>
      <c r="AA22" s="60"/>
    </row>
    <row r="23" spans="2:27" s="8" customFormat="1" ht="16.5" customHeight="1">
      <c r="B23" s="55"/>
      <c r="C23" s="150">
        <v>125</v>
      </c>
      <c r="D23" s="150">
        <v>251609</v>
      </c>
      <c r="E23" s="150">
        <v>4861</v>
      </c>
      <c r="F23" s="620" t="s">
        <v>392</v>
      </c>
      <c r="G23" s="621" t="s">
        <v>393</v>
      </c>
      <c r="H23" s="199">
        <v>170</v>
      </c>
      <c r="I23" s="366">
        <f t="shared" si="0"/>
        <v>17.509999999999998</v>
      </c>
      <c r="J23" s="508">
        <v>41164.94027777778</v>
      </c>
      <c r="K23" s="204">
        <v>41165.700694444444</v>
      </c>
      <c r="L23" s="510">
        <f aca="true" t="shared" si="14" ref="L23:L28">IF(F23="","",(K23-J23)*24)</f>
        <v>18.249999999941792</v>
      </c>
      <c r="M23" s="511">
        <f aca="true" t="shared" si="15" ref="M23:M28">IF(F23="","",ROUND((K23-J23)*24*60,0))</f>
        <v>1095</v>
      </c>
      <c r="N23" s="178" t="s">
        <v>259</v>
      </c>
      <c r="O23" s="274" t="str">
        <f t="shared" si="3"/>
        <v>--</v>
      </c>
      <c r="P23" s="180" t="str">
        <f>IF(F23="","",IF(OR(N23="P",N23="RP"),"--","NO"))</f>
        <v>--</v>
      </c>
      <c r="Q23" s="575">
        <f t="shared" si="4"/>
        <v>2</v>
      </c>
      <c r="R23" s="576">
        <f t="shared" si="5"/>
        <v>639.1149999999999</v>
      </c>
      <c r="S23" s="569" t="str">
        <f t="shared" si="6"/>
        <v>--</v>
      </c>
      <c r="T23" s="570" t="str">
        <f t="shared" si="7"/>
        <v>--</v>
      </c>
      <c r="U23" s="377" t="str">
        <f t="shared" si="8"/>
        <v>--</v>
      </c>
      <c r="V23" s="378" t="str">
        <f t="shared" si="9"/>
        <v>--</v>
      </c>
      <c r="W23" s="571" t="str">
        <f t="shared" si="10"/>
        <v>--</v>
      </c>
      <c r="X23" s="428" t="str">
        <f t="shared" si="11"/>
        <v>--</v>
      </c>
      <c r="Y23" s="180" t="str">
        <f t="shared" si="12"/>
        <v>SI</v>
      </c>
      <c r="Z23" s="514">
        <f t="shared" si="13"/>
        <v>639.1149999999999</v>
      </c>
      <c r="AA23" s="60"/>
    </row>
    <row r="24" spans="2:27" s="8" customFormat="1" ht="16.5" customHeight="1">
      <c r="B24" s="55"/>
      <c r="C24" s="150">
        <v>126</v>
      </c>
      <c r="D24" s="150">
        <v>251834</v>
      </c>
      <c r="E24" s="259">
        <v>4858</v>
      </c>
      <c r="F24" s="620" t="s">
        <v>395</v>
      </c>
      <c r="G24" s="621" t="s">
        <v>396</v>
      </c>
      <c r="H24" s="199">
        <v>170</v>
      </c>
      <c r="I24" s="366">
        <f t="shared" si="0"/>
        <v>17.509999999999998</v>
      </c>
      <c r="J24" s="508">
        <v>41169.34652777778</v>
      </c>
      <c r="K24" s="204">
        <v>41170.51736111111</v>
      </c>
      <c r="L24" s="510">
        <f t="shared" si="14"/>
        <v>28.09999999991851</v>
      </c>
      <c r="M24" s="511">
        <f t="shared" si="15"/>
        <v>1686</v>
      </c>
      <c r="N24" s="178" t="s">
        <v>259</v>
      </c>
      <c r="O24" s="274" t="str">
        <f t="shared" si="3"/>
        <v>--</v>
      </c>
      <c r="P24" s="180" t="str">
        <f>IF(F24="","",IF(OR(N24="P",N24="RP"),"--","NO"))</f>
        <v>--</v>
      </c>
      <c r="Q24" s="575">
        <f t="shared" si="4"/>
        <v>2</v>
      </c>
      <c r="R24" s="576">
        <f t="shared" si="5"/>
        <v>984.0619999999999</v>
      </c>
      <c r="S24" s="569" t="str">
        <f t="shared" si="6"/>
        <v>--</v>
      </c>
      <c r="T24" s="570" t="str">
        <f t="shared" si="7"/>
        <v>--</v>
      </c>
      <c r="U24" s="377" t="str">
        <f t="shared" si="8"/>
        <v>--</v>
      </c>
      <c r="V24" s="378" t="str">
        <f t="shared" si="9"/>
        <v>--</v>
      </c>
      <c r="W24" s="571" t="str">
        <f t="shared" si="10"/>
        <v>--</v>
      </c>
      <c r="X24" s="428" t="str">
        <f t="shared" si="11"/>
        <v>--</v>
      </c>
      <c r="Y24" s="180" t="str">
        <f t="shared" si="12"/>
        <v>SI</v>
      </c>
      <c r="Z24" s="514">
        <f t="shared" si="13"/>
        <v>984.0619999999999</v>
      </c>
      <c r="AA24" s="60"/>
    </row>
    <row r="25" spans="2:27" s="8" customFormat="1" ht="16.5" customHeight="1">
      <c r="B25" s="55"/>
      <c r="C25" s="150">
        <v>127</v>
      </c>
      <c r="D25" s="150">
        <v>251845</v>
      </c>
      <c r="E25" s="169">
        <v>4859</v>
      </c>
      <c r="F25" s="620" t="s">
        <v>391</v>
      </c>
      <c r="G25" s="621" t="s">
        <v>397</v>
      </c>
      <c r="H25" s="199">
        <v>120</v>
      </c>
      <c r="I25" s="366">
        <f t="shared" si="0"/>
        <v>12.36</v>
      </c>
      <c r="J25" s="508">
        <v>41171.33194444444</v>
      </c>
      <c r="K25" s="204">
        <v>41172.666666666664</v>
      </c>
      <c r="L25" s="510">
        <f t="shared" si="14"/>
        <v>32.03333333332557</v>
      </c>
      <c r="M25" s="511">
        <f t="shared" si="15"/>
        <v>1922</v>
      </c>
      <c r="N25" s="178" t="s">
        <v>259</v>
      </c>
      <c r="O25" s="274" t="str">
        <f t="shared" si="3"/>
        <v>--</v>
      </c>
      <c r="P25" s="180" t="str">
        <f>IF(F25="","",IF(OR(N25="P",N25="RP"),"--","NO"))</f>
        <v>--</v>
      </c>
      <c r="Q25" s="575">
        <f t="shared" si="4"/>
        <v>2</v>
      </c>
      <c r="R25" s="576">
        <f t="shared" si="5"/>
        <v>791.7816</v>
      </c>
      <c r="S25" s="569" t="str">
        <f t="shared" si="6"/>
        <v>--</v>
      </c>
      <c r="T25" s="570" t="str">
        <f t="shared" si="7"/>
        <v>--</v>
      </c>
      <c r="U25" s="377" t="str">
        <f t="shared" si="8"/>
        <v>--</v>
      </c>
      <c r="V25" s="378" t="str">
        <f t="shared" si="9"/>
        <v>--</v>
      </c>
      <c r="W25" s="571" t="str">
        <f t="shared" si="10"/>
        <v>--</v>
      </c>
      <c r="X25" s="428" t="str">
        <f t="shared" si="11"/>
        <v>--</v>
      </c>
      <c r="Y25" s="180" t="str">
        <f t="shared" si="12"/>
        <v>SI</v>
      </c>
      <c r="Z25" s="514">
        <f t="shared" si="13"/>
        <v>791.7816</v>
      </c>
      <c r="AA25" s="60"/>
    </row>
    <row r="26" spans="2:27" s="8" customFormat="1" ht="16.5" customHeight="1">
      <c r="B26" s="55"/>
      <c r="C26" s="150"/>
      <c r="D26" s="150"/>
      <c r="E26" s="169"/>
      <c r="F26" s="620"/>
      <c r="G26" s="621"/>
      <c r="H26" s="199"/>
      <c r="I26" s="366">
        <f t="shared" si="0"/>
        <v>0</v>
      </c>
      <c r="J26" s="508"/>
      <c r="K26" s="204"/>
      <c r="L26" s="510">
        <f t="shared" si="14"/>
      </c>
      <c r="M26" s="511">
        <f t="shared" si="15"/>
      </c>
      <c r="N26" s="178"/>
      <c r="O26" s="274">
        <f t="shared" si="3"/>
      </c>
      <c r="P26" s="180">
        <f>IF(F26="","",IF(OR(N26="P",N26="RP"),"--","NO"))</f>
      </c>
      <c r="Q26" s="575">
        <f t="shared" si="4"/>
        <v>20</v>
      </c>
      <c r="R26" s="576" t="str">
        <f t="shared" si="5"/>
        <v>--</v>
      </c>
      <c r="S26" s="569" t="str">
        <f t="shared" si="6"/>
        <v>--</v>
      </c>
      <c r="T26" s="570" t="str">
        <f t="shared" si="7"/>
        <v>--</v>
      </c>
      <c r="U26" s="377" t="str">
        <f t="shared" si="8"/>
        <v>--</v>
      </c>
      <c r="V26" s="378" t="str">
        <f t="shared" si="9"/>
        <v>--</v>
      </c>
      <c r="W26" s="571" t="str">
        <f t="shared" si="10"/>
        <v>--</v>
      </c>
      <c r="X26" s="428" t="str">
        <f t="shared" si="11"/>
        <v>--</v>
      </c>
      <c r="Y26" s="180">
        <f t="shared" si="12"/>
      </c>
      <c r="Z26" s="514">
        <f t="shared" si="13"/>
      </c>
      <c r="AA26" s="60"/>
    </row>
    <row r="27" spans="2:27" s="8" customFormat="1" ht="16.5" customHeight="1">
      <c r="B27" s="55"/>
      <c r="C27" s="150"/>
      <c r="D27" s="150"/>
      <c r="E27" s="169"/>
      <c r="F27" s="620"/>
      <c r="G27" s="621"/>
      <c r="H27" s="199"/>
      <c r="I27" s="366">
        <f t="shared" si="0"/>
        <v>0</v>
      </c>
      <c r="J27" s="508"/>
      <c r="K27" s="204"/>
      <c r="L27" s="510">
        <f t="shared" si="14"/>
      </c>
      <c r="M27" s="511">
        <f t="shared" si="15"/>
      </c>
      <c r="N27" s="178"/>
      <c r="O27" s="274">
        <f t="shared" si="3"/>
      </c>
      <c r="P27" s="180"/>
      <c r="Q27" s="575">
        <f t="shared" si="4"/>
        <v>20</v>
      </c>
      <c r="R27" s="576" t="str">
        <f t="shared" si="5"/>
        <v>--</v>
      </c>
      <c r="S27" s="569" t="str">
        <f t="shared" si="6"/>
        <v>--</v>
      </c>
      <c r="T27" s="570" t="str">
        <f t="shared" si="7"/>
        <v>--</v>
      </c>
      <c r="U27" s="377" t="str">
        <f t="shared" si="8"/>
        <v>--</v>
      </c>
      <c r="V27" s="378" t="str">
        <f t="shared" si="9"/>
        <v>--</v>
      </c>
      <c r="W27" s="571" t="str">
        <f t="shared" si="10"/>
        <v>--</v>
      </c>
      <c r="X27" s="428" t="str">
        <f t="shared" si="11"/>
        <v>--</v>
      </c>
      <c r="Y27" s="180">
        <f t="shared" si="12"/>
      </c>
      <c r="Z27" s="514">
        <f t="shared" si="13"/>
      </c>
      <c r="AA27" s="60"/>
    </row>
    <row r="28" spans="2:27" s="8" customFormat="1" ht="16.5" customHeight="1">
      <c r="B28" s="55"/>
      <c r="C28" s="150"/>
      <c r="D28" s="150"/>
      <c r="E28" s="169"/>
      <c r="F28" s="620"/>
      <c r="G28" s="621"/>
      <c r="H28" s="199"/>
      <c r="I28" s="366">
        <f t="shared" si="0"/>
        <v>0</v>
      </c>
      <c r="J28" s="508"/>
      <c r="K28" s="204"/>
      <c r="L28" s="510">
        <f t="shared" si="14"/>
      </c>
      <c r="M28" s="511">
        <f t="shared" si="15"/>
      </c>
      <c r="N28" s="178"/>
      <c r="O28" s="274">
        <f t="shared" si="3"/>
      </c>
      <c r="P28" s="180"/>
      <c r="Q28" s="575">
        <f t="shared" si="4"/>
        <v>20</v>
      </c>
      <c r="R28" s="576" t="str">
        <f t="shared" si="5"/>
        <v>--</v>
      </c>
      <c r="S28" s="569" t="str">
        <f t="shared" si="6"/>
        <v>--</v>
      </c>
      <c r="T28" s="570" t="str">
        <f t="shared" si="7"/>
        <v>--</v>
      </c>
      <c r="U28" s="377" t="str">
        <f t="shared" si="8"/>
        <v>--</v>
      </c>
      <c r="V28" s="378" t="str">
        <f t="shared" si="9"/>
        <v>--</v>
      </c>
      <c r="W28" s="571" t="str">
        <f t="shared" si="10"/>
        <v>--</v>
      </c>
      <c r="X28" s="428" t="str">
        <f t="shared" si="11"/>
        <v>--</v>
      </c>
      <c r="Y28" s="180">
        <f t="shared" si="12"/>
      </c>
      <c r="Z28" s="514">
        <f t="shared" si="13"/>
      </c>
      <c r="AA28" s="60"/>
    </row>
    <row r="29" spans="2:27" s="8" customFormat="1" ht="16.5" customHeight="1">
      <c r="B29" s="55"/>
      <c r="C29" s="150"/>
      <c r="D29" s="150"/>
      <c r="E29" s="169"/>
      <c r="F29" s="620"/>
      <c r="G29" s="621"/>
      <c r="H29" s="199"/>
      <c r="I29" s="366">
        <f t="shared" si="0"/>
        <v>0</v>
      </c>
      <c r="J29" s="508"/>
      <c r="K29" s="204"/>
      <c r="L29" s="510">
        <f t="shared" si="1"/>
      </c>
      <c r="M29" s="511">
        <f t="shared" si="2"/>
      </c>
      <c r="N29" s="178"/>
      <c r="O29" s="274">
        <f t="shared" si="3"/>
      </c>
      <c r="P29" s="180"/>
      <c r="Q29" s="575">
        <f t="shared" si="4"/>
        <v>20</v>
      </c>
      <c r="R29" s="576" t="str">
        <f t="shared" si="5"/>
        <v>--</v>
      </c>
      <c r="S29" s="569" t="str">
        <f t="shared" si="6"/>
        <v>--</v>
      </c>
      <c r="T29" s="570" t="str">
        <f t="shared" si="7"/>
        <v>--</v>
      </c>
      <c r="U29" s="377" t="str">
        <f t="shared" si="8"/>
        <v>--</v>
      </c>
      <c r="V29" s="378" t="str">
        <f t="shared" si="9"/>
        <v>--</v>
      </c>
      <c r="W29" s="571" t="str">
        <f t="shared" si="10"/>
        <v>--</v>
      </c>
      <c r="X29" s="428" t="str">
        <f t="shared" si="11"/>
        <v>--</v>
      </c>
      <c r="Y29" s="180">
        <f t="shared" si="12"/>
      </c>
      <c r="Z29" s="514">
        <f t="shared" si="13"/>
      </c>
      <c r="AA29" s="60"/>
    </row>
    <row r="30" spans="2:27" s="8" customFormat="1" ht="16.5" customHeight="1">
      <c r="B30" s="55"/>
      <c r="C30" s="150"/>
      <c r="D30" s="150"/>
      <c r="E30" s="150"/>
      <c r="F30" s="620"/>
      <c r="G30" s="621"/>
      <c r="H30" s="199"/>
      <c r="I30" s="366">
        <f t="shared" si="0"/>
        <v>0</v>
      </c>
      <c r="J30" s="508"/>
      <c r="K30" s="204"/>
      <c r="L30" s="510">
        <f t="shared" si="1"/>
      </c>
      <c r="M30" s="511">
        <f t="shared" si="2"/>
      </c>
      <c r="N30" s="178"/>
      <c r="O30" s="274">
        <f t="shared" si="3"/>
      </c>
      <c r="P30" s="180"/>
      <c r="Q30" s="575">
        <f t="shared" si="4"/>
        <v>20</v>
      </c>
      <c r="R30" s="576" t="str">
        <f t="shared" si="5"/>
        <v>--</v>
      </c>
      <c r="S30" s="569" t="str">
        <f t="shared" si="6"/>
        <v>--</v>
      </c>
      <c r="T30" s="570" t="str">
        <f t="shared" si="7"/>
        <v>--</v>
      </c>
      <c r="U30" s="377" t="str">
        <f t="shared" si="8"/>
        <v>--</v>
      </c>
      <c r="V30" s="378" t="str">
        <f t="shared" si="9"/>
        <v>--</v>
      </c>
      <c r="W30" s="571" t="str">
        <f t="shared" si="10"/>
        <v>--</v>
      </c>
      <c r="X30" s="428" t="str">
        <f t="shared" si="11"/>
        <v>--</v>
      </c>
      <c r="Y30" s="180">
        <f t="shared" si="12"/>
      </c>
      <c r="Z30" s="514">
        <f t="shared" si="13"/>
      </c>
      <c r="AA30" s="60"/>
    </row>
    <row r="31" spans="2:27" s="8" customFormat="1" ht="16.5" customHeight="1">
      <c r="B31" s="55"/>
      <c r="C31" s="150"/>
      <c r="D31" s="150"/>
      <c r="E31" s="169"/>
      <c r="F31" s="620"/>
      <c r="G31" s="621"/>
      <c r="H31" s="199"/>
      <c r="I31" s="366">
        <f t="shared" si="0"/>
        <v>0</v>
      </c>
      <c r="J31" s="508"/>
      <c r="K31" s="204"/>
      <c r="L31" s="510">
        <f t="shared" si="1"/>
      </c>
      <c r="M31" s="511">
        <f t="shared" si="2"/>
      </c>
      <c r="N31" s="178"/>
      <c r="O31" s="274">
        <f t="shared" si="3"/>
      </c>
      <c r="P31" s="180"/>
      <c r="Q31" s="575">
        <f t="shared" si="4"/>
        <v>20</v>
      </c>
      <c r="R31" s="576" t="str">
        <f t="shared" si="5"/>
        <v>--</v>
      </c>
      <c r="S31" s="569" t="str">
        <f t="shared" si="6"/>
        <v>--</v>
      </c>
      <c r="T31" s="570" t="str">
        <f t="shared" si="7"/>
        <v>--</v>
      </c>
      <c r="U31" s="377" t="str">
        <f t="shared" si="8"/>
        <v>--</v>
      </c>
      <c r="V31" s="378" t="str">
        <f t="shared" si="9"/>
        <v>--</v>
      </c>
      <c r="W31" s="571" t="str">
        <f t="shared" si="10"/>
        <v>--</v>
      </c>
      <c r="X31" s="428" t="str">
        <f t="shared" si="11"/>
        <v>--</v>
      </c>
      <c r="Y31" s="180">
        <f t="shared" si="12"/>
      </c>
      <c r="Z31" s="514">
        <f t="shared" si="13"/>
      </c>
      <c r="AA31" s="60"/>
    </row>
    <row r="32" spans="2:27" s="8" customFormat="1" ht="16.5" customHeight="1">
      <c r="B32" s="55"/>
      <c r="C32" s="150"/>
      <c r="D32" s="150"/>
      <c r="E32" s="169"/>
      <c r="F32" s="620"/>
      <c r="G32" s="621"/>
      <c r="H32" s="199"/>
      <c r="I32" s="366">
        <f t="shared" si="0"/>
        <v>0</v>
      </c>
      <c r="J32" s="508"/>
      <c r="K32" s="204"/>
      <c r="L32" s="510">
        <f t="shared" si="1"/>
      </c>
      <c r="M32" s="511">
        <f t="shared" si="2"/>
      </c>
      <c r="N32" s="178"/>
      <c r="O32" s="274">
        <f t="shared" si="3"/>
      </c>
      <c r="P32" s="180"/>
      <c r="Q32" s="575">
        <f t="shared" si="4"/>
        <v>20</v>
      </c>
      <c r="R32" s="576" t="str">
        <f t="shared" si="5"/>
        <v>--</v>
      </c>
      <c r="S32" s="569" t="str">
        <f t="shared" si="6"/>
        <v>--</v>
      </c>
      <c r="T32" s="570" t="str">
        <f t="shared" si="7"/>
        <v>--</v>
      </c>
      <c r="U32" s="377" t="str">
        <f t="shared" si="8"/>
        <v>--</v>
      </c>
      <c r="V32" s="378" t="str">
        <f t="shared" si="9"/>
        <v>--</v>
      </c>
      <c r="W32" s="571" t="str">
        <f t="shared" si="10"/>
        <v>--</v>
      </c>
      <c r="X32" s="428" t="str">
        <f t="shared" si="11"/>
        <v>--</v>
      </c>
      <c r="Y32" s="180">
        <f t="shared" si="12"/>
      </c>
      <c r="Z32" s="514">
        <f t="shared" si="13"/>
      </c>
      <c r="AA32" s="577"/>
    </row>
    <row r="33" spans="2:27" s="8" customFormat="1" ht="16.5" customHeight="1">
      <c r="B33" s="55"/>
      <c r="C33" s="150"/>
      <c r="D33" s="150"/>
      <c r="E33" s="169"/>
      <c r="F33" s="620"/>
      <c r="G33" s="621"/>
      <c r="H33" s="199"/>
      <c r="I33" s="366">
        <f t="shared" si="0"/>
        <v>0</v>
      </c>
      <c r="J33" s="508"/>
      <c r="K33" s="204"/>
      <c r="L33" s="510">
        <f t="shared" si="1"/>
      </c>
      <c r="M33" s="511">
        <f t="shared" si="2"/>
      </c>
      <c r="N33" s="178"/>
      <c r="O33" s="274">
        <f t="shared" si="3"/>
      </c>
      <c r="P33" s="180"/>
      <c r="Q33" s="575">
        <f t="shared" si="4"/>
        <v>20</v>
      </c>
      <c r="R33" s="576" t="str">
        <f t="shared" si="5"/>
        <v>--</v>
      </c>
      <c r="S33" s="569" t="str">
        <f t="shared" si="6"/>
        <v>--</v>
      </c>
      <c r="T33" s="570" t="str">
        <f t="shared" si="7"/>
        <v>--</v>
      </c>
      <c r="U33" s="377" t="str">
        <f t="shared" si="8"/>
        <v>--</v>
      </c>
      <c r="V33" s="378" t="str">
        <f t="shared" si="9"/>
        <v>--</v>
      </c>
      <c r="W33" s="571" t="str">
        <f t="shared" si="10"/>
        <v>--</v>
      </c>
      <c r="X33" s="428" t="str">
        <f t="shared" si="11"/>
        <v>--</v>
      </c>
      <c r="Y33" s="180">
        <f t="shared" si="12"/>
      </c>
      <c r="Z33" s="514">
        <f t="shared" si="13"/>
      </c>
      <c r="AA33" s="577"/>
    </row>
    <row r="34" spans="2:27" s="8" customFormat="1" ht="16.5" customHeight="1">
      <c r="B34" s="55"/>
      <c r="C34" s="150"/>
      <c r="D34" s="150"/>
      <c r="E34" s="150"/>
      <c r="F34" s="620"/>
      <c r="G34" s="622"/>
      <c r="H34" s="623"/>
      <c r="I34" s="366">
        <f t="shared" si="0"/>
        <v>0</v>
      </c>
      <c r="J34" s="592"/>
      <c r="K34" s="624"/>
      <c r="L34" s="510">
        <f t="shared" si="1"/>
      </c>
      <c r="M34" s="511">
        <f t="shared" si="2"/>
      </c>
      <c r="N34" s="591"/>
      <c r="O34" s="274">
        <f t="shared" si="3"/>
      </c>
      <c r="P34" s="180"/>
      <c r="Q34" s="575">
        <f t="shared" si="4"/>
        <v>20</v>
      </c>
      <c r="R34" s="576" t="str">
        <f t="shared" si="5"/>
        <v>--</v>
      </c>
      <c r="S34" s="569" t="str">
        <f t="shared" si="6"/>
        <v>--</v>
      </c>
      <c r="T34" s="570" t="str">
        <f t="shared" si="7"/>
        <v>--</v>
      </c>
      <c r="U34" s="377" t="str">
        <f t="shared" si="8"/>
        <v>--</v>
      </c>
      <c r="V34" s="378" t="str">
        <f t="shared" si="9"/>
        <v>--</v>
      </c>
      <c r="W34" s="571" t="str">
        <f t="shared" si="10"/>
        <v>--</v>
      </c>
      <c r="X34" s="428" t="str">
        <f t="shared" si="11"/>
        <v>--</v>
      </c>
      <c r="Y34" s="180">
        <f t="shared" si="12"/>
      </c>
      <c r="Z34" s="514">
        <f t="shared" si="13"/>
      </c>
      <c r="AA34" s="577"/>
    </row>
    <row r="35" spans="2:27" s="8" customFormat="1" ht="16.5" customHeight="1">
      <c r="B35" s="55"/>
      <c r="C35" s="150"/>
      <c r="D35" s="150"/>
      <c r="E35" s="259"/>
      <c r="F35" s="620"/>
      <c r="G35" s="622"/>
      <c r="H35" s="623"/>
      <c r="I35" s="366">
        <f t="shared" si="0"/>
        <v>0</v>
      </c>
      <c r="J35" s="592"/>
      <c r="K35" s="624"/>
      <c r="L35" s="510">
        <f t="shared" si="1"/>
      </c>
      <c r="M35" s="511">
        <f t="shared" si="2"/>
      </c>
      <c r="N35" s="591"/>
      <c r="O35" s="274">
        <f>IF(F35="","","--")</f>
      </c>
      <c r="P35" s="180"/>
      <c r="Q35" s="575">
        <f>IF(OR(N35="P",N35="RP"),$H$17/10,$H$17)</f>
        <v>20</v>
      </c>
      <c r="R35" s="576" t="str">
        <f>IF(N35="P",I35*Q35*ROUND(M35/60,2),"--")</f>
        <v>--</v>
      </c>
      <c r="S35" s="569" t="str">
        <f>IF(AND(N35="F",P35="NO"),I35*Q35,"--")</f>
        <v>--</v>
      </c>
      <c r="T35" s="570" t="str">
        <f>IF(N35="F",I35*Q35*ROUND(M35/60,2),"--")</f>
        <v>--</v>
      </c>
      <c r="U35" s="377" t="str">
        <f>IF(AND(N35="R",P35="NO"),I35*Q35*O35/100,"--")</f>
        <v>--</v>
      </c>
      <c r="V35" s="378" t="str">
        <f>IF(N35="R",I35*Q35*O35/100*ROUND(M35/60,2),"--")</f>
        <v>--</v>
      </c>
      <c r="W35" s="571" t="str">
        <f>IF(N35="RF",I35*Q35*ROUND(M35/60,2),"--")</f>
        <v>--</v>
      </c>
      <c r="X35" s="428" t="str">
        <f>IF(N35="RP",I35*Q35*O35/100*ROUND(M35/60,2),"--")</f>
        <v>--</v>
      </c>
      <c r="Y35" s="180">
        <f>IF(F35="","","SI")</f>
      </c>
      <c r="Z35" s="514">
        <f aca="true" t="shared" si="16" ref="Z35:Z40">IF(F35="","",SUM(R35:X35)*IF(Y35="SI",1,2)*IF(AND(O35&lt;&gt;"--",N35="RF"),O35/100,1))</f>
      </c>
      <c r="AA35" s="577"/>
    </row>
    <row r="36" spans="2:27" s="8" customFormat="1" ht="16.5" customHeight="1">
      <c r="B36" s="55"/>
      <c r="C36" s="150"/>
      <c r="D36" s="150"/>
      <c r="E36" s="169"/>
      <c r="F36" s="620"/>
      <c r="G36" s="621"/>
      <c r="H36" s="199"/>
      <c r="I36" s="366">
        <f t="shared" si="0"/>
        <v>0</v>
      </c>
      <c r="J36" s="508"/>
      <c r="K36" s="204"/>
      <c r="L36" s="510">
        <f t="shared" si="1"/>
      </c>
      <c r="M36" s="511">
        <f t="shared" si="2"/>
      </c>
      <c r="N36" s="178"/>
      <c r="O36" s="274">
        <f t="shared" si="3"/>
      </c>
      <c r="P36" s="180"/>
      <c r="Q36" s="575">
        <f t="shared" si="4"/>
        <v>20</v>
      </c>
      <c r="R36" s="576" t="str">
        <f t="shared" si="5"/>
        <v>--</v>
      </c>
      <c r="S36" s="569" t="str">
        <f t="shared" si="6"/>
        <v>--</v>
      </c>
      <c r="T36" s="570" t="str">
        <f t="shared" si="7"/>
        <v>--</v>
      </c>
      <c r="U36" s="377" t="str">
        <f t="shared" si="8"/>
        <v>--</v>
      </c>
      <c r="V36" s="378" t="str">
        <f t="shared" si="9"/>
        <v>--</v>
      </c>
      <c r="W36" s="571" t="str">
        <f t="shared" si="10"/>
        <v>--</v>
      </c>
      <c r="X36" s="428" t="str">
        <f t="shared" si="11"/>
        <v>--</v>
      </c>
      <c r="Y36" s="180">
        <f t="shared" si="12"/>
      </c>
      <c r="Z36" s="514">
        <f t="shared" si="16"/>
      </c>
      <c r="AA36" s="577"/>
    </row>
    <row r="37" spans="2:27" s="8" customFormat="1" ht="16.5" customHeight="1">
      <c r="B37" s="55"/>
      <c r="C37" s="150"/>
      <c r="D37" s="150"/>
      <c r="E37" s="169"/>
      <c r="F37" s="620"/>
      <c r="G37" s="621"/>
      <c r="H37" s="199"/>
      <c r="I37" s="366">
        <f t="shared" si="0"/>
        <v>0</v>
      </c>
      <c r="J37" s="508"/>
      <c r="K37" s="204"/>
      <c r="L37" s="510">
        <f t="shared" si="1"/>
      </c>
      <c r="M37" s="511">
        <f t="shared" si="2"/>
      </c>
      <c r="N37" s="178"/>
      <c r="O37" s="274">
        <f t="shared" si="3"/>
      </c>
      <c r="P37" s="180"/>
      <c r="Q37" s="575">
        <f t="shared" si="4"/>
        <v>20</v>
      </c>
      <c r="R37" s="576" t="str">
        <f t="shared" si="5"/>
        <v>--</v>
      </c>
      <c r="S37" s="569" t="str">
        <f t="shared" si="6"/>
        <v>--</v>
      </c>
      <c r="T37" s="570" t="str">
        <f t="shared" si="7"/>
        <v>--</v>
      </c>
      <c r="U37" s="377" t="str">
        <f t="shared" si="8"/>
        <v>--</v>
      </c>
      <c r="V37" s="378" t="str">
        <f t="shared" si="9"/>
        <v>--</v>
      </c>
      <c r="W37" s="571" t="str">
        <f t="shared" si="10"/>
        <v>--</v>
      </c>
      <c r="X37" s="428" t="str">
        <f t="shared" si="11"/>
        <v>--</v>
      </c>
      <c r="Y37" s="180">
        <f t="shared" si="12"/>
      </c>
      <c r="Z37" s="514">
        <f t="shared" si="16"/>
      </c>
      <c r="AA37" s="577"/>
    </row>
    <row r="38" spans="2:27" s="8" customFormat="1" ht="16.5" customHeight="1">
      <c r="B38" s="55"/>
      <c r="C38" s="150"/>
      <c r="D38" s="150"/>
      <c r="E38" s="150"/>
      <c r="F38" s="620"/>
      <c r="G38" s="621"/>
      <c r="H38" s="199"/>
      <c r="I38" s="366">
        <f t="shared" si="0"/>
        <v>0</v>
      </c>
      <c r="J38" s="508"/>
      <c r="K38" s="204"/>
      <c r="L38" s="510">
        <f t="shared" si="1"/>
      </c>
      <c r="M38" s="511">
        <f t="shared" si="2"/>
      </c>
      <c r="N38" s="178"/>
      <c r="O38" s="274">
        <f t="shared" si="3"/>
      </c>
      <c r="P38" s="180"/>
      <c r="Q38" s="575">
        <f t="shared" si="4"/>
        <v>20</v>
      </c>
      <c r="R38" s="576" t="str">
        <f t="shared" si="5"/>
        <v>--</v>
      </c>
      <c r="S38" s="569" t="str">
        <f t="shared" si="6"/>
        <v>--</v>
      </c>
      <c r="T38" s="570" t="str">
        <f t="shared" si="7"/>
        <v>--</v>
      </c>
      <c r="U38" s="377" t="str">
        <f t="shared" si="8"/>
        <v>--</v>
      </c>
      <c r="V38" s="378" t="str">
        <f t="shared" si="9"/>
        <v>--</v>
      </c>
      <c r="W38" s="571" t="str">
        <f t="shared" si="10"/>
        <v>--</v>
      </c>
      <c r="X38" s="428" t="str">
        <f t="shared" si="11"/>
        <v>--</v>
      </c>
      <c r="Y38" s="180">
        <f t="shared" si="12"/>
      </c>
      <c r="Z38" s="514">
        <f t="shared" si="16"/>
      </c>
      <c r="AA38" s="577"/>
    </row>
    <row r="39" spans="2:27" s="8" customFormat="1" ht="16.5" customHeight="1">
      <c r="B39" s="55"/>
      <c r="C39" s="150"/>
      <c r="D39" s="150"/>
      <c r="E39" s="169"/>
      <c r="F39" s="620"/>
      <c r="G39" s="621"/>
      <c r="H39" s="199"/>
      <c r="I39" s="366">
        <f t="shared" si="0"/>
        <v>0</v>
      </c>
      <c r="J39" s="508"/>
      <c r="K39" s="204"/>
      <c r="L39" s="510">
        <f t="shared" si="1"/>
      </c>
      <c r="M39" s="511">
        <f t="shared" si="2"/>
      </c>
      <c r="N39" s="178"/>
      <c r="O39" s="274">
        <f t="shared" si="3"/>
      </c>
      <c r="P39" s="180"/>
      <c r="Q39" s="575">
        <f t="shared" si="4"/>
        <v>20</v>
      </c>
      <c r="R39" s="576" t="str">
        <f t="shared" si="5"/>
        <v>--</v>
      </c>
      <c r="S39" s="569" t="str">
        <f t="shared" si="6"/>
        <v>--</v>
      </c>
      <c r="T39" s="570" t="str">
        <f t="shared" si="7"/>
        <v>--</v>
      </c>
      <c r="U39" s="377" t="str">
        <f t="shared" si="8"/>
        <v>--</v>
      </c>
      <c r="V39" s="378" t="str">
        <f t="shared" si="9"/>
        <v>--</v>
      </c>
      <c r="W39" s="571" t="str">
        <f t="shared" si="10"/>
        <v>--</v>
      </c>
      <c r="X39" s="428" t="str">
        <f t="shared" si="11"/>
        <v>--</v>
      </c>
      <c r="Y39" s="180">
        <f t="shared" si="12"/>
      </c>
      <c r="Z39" s="514">
        <f t="shared" si="16"/>
      </c>
      <c r="AA39" s="60"/>
    </row>
    <row r="40" spans="2:27" s="8" customFormat="1" ht="16.5" customHeight="1">
      <c r="B40" s="55"/>
      <c r="C40" s="150"/>
      <c r="D40" s="150"/>
      <c r="E40" s="150"/>
      <c r="F40" s="620"/>
      <c r="G40" s="621"/>
      <c r="H40" s="199"/>
      <c r="I40" s="366">
        <f t="shared" si="0"/>
        <v>0</v>
      </c>
      <c r="J40" s="508"/>
      <c r="K40" s="204"/>
      <c r="L40" s="510">
        <f t="shared" si="1"/>
      </c>
      <c r="M40" s="511">
        <f t="shared" si="2"/>
      </c>
      <c r="N40" s="178"/>
      <c r="O40" s="274">
        <f t="shared" si="3"/>
      </c>
      <c r="P40" s="180"/>
      <c r="Q40" s="575">
        <f t="shared" si="4"/>
        <v>20</v>
      </c>
      <c r="R40" s="576" t="str">
        <f t="shared" si="5"/>
        <v>--</v>
      </c>
      <c r="S40" s="569" t="str">
        <f t="shared" si="6"/>
        <v>--</v>
      </c>
      <c r="T40" s="570" t="str">
        <f t="shared" si="7"/>
        <v>--</v>
      </c>
      <c r="U40" s="377" t="str">
        <f t="shared" si="8"/>
        <v>--</v>
      </c>
      <c r="V40" s="378" t="str">
        <f t="shared" si="9"/>
        <v>--</v>
      </c>
      <c r="W40" s="571" t="str">
        <f t="shared" si="10"/>
        <v>--</v>
      </c>
      <c r="X40" s="428" t="str">
        <f t="shared" si="11"/>
        <v>--</v>
      </c>
      <c r="Y40" s="180">
        <f t="shared" si="12"/>
      </c>
      <c r="Z40" s="514">
        <f t="shared" si="16"/>
      </c>
      <c r="AA40" s="60"/>
    </row>
    <row r="41" spans="2:27" s="8" customFormat="1" ht="16.5" customHeight="1" thickBot="1">
      <c r="B41" s="55"/>
      <c r="C41" s="578"/>
      <c r="D41" s="578"/>
      <c r="E41" s="578"/>
      <c r="F41" s="578"/>
      <c r="G41" s="578"/>
      <c r="H41" s="578"/>
      <c r="I41" s="386"/>
      <c r="J41" s="515"/>
      <c r="K41" s="515"/>
      <c r="L41" s="516"/>
      <c r="M41" s="516"/>
      <c r="N41" s="515"/>
      <c r="O41" s="216"/>
      <c r="P41" s="215"/>
      <c r="Q41" s="579"/>
      <c r="R41" s="580"/>
      <c r="S41" s="581"/>
      <c r="T41" s="582"/>
      <c r="U41" s="398"/>
      <c r="V41" s="399"/>
      <c r="W41" s="583"/>
      <c r="X41" s="583"/>
      <c r="Y41" s="215"/>
      <c r="Z41" s="584"/>
      <c r="AA41" s="60"/>
    </row>
    <row r="42" spans="2:27" s="8" customFormat="1" ht="16.5" customHeight="1" thickBot="1" thickTop="1">
      <c r="B42" s="55"/>
      <c r="C42" s="625" t="s">
        <v>327</v>
      </c>
      <c r="D42" s="626" t="s">
        <v>350</v>
      </c>
      <c r="E42" s="229"/>
      <c r="F42" s="231"/>
      <c r="I42" s="11"/>
      <c r="J42" s="11"/>
      <c r="K42" s="11"/>
      <c r="L42" s="11"/>
      <c r="M42" s="11"/>
      <c r="N42" s="11"/>
      <c r="O42" s="11"/>
      <c r="P42" s="11"/>
      <c r="Q42" s="11"/>
      <c r="R42" s="585">
        <f aca="true" t="shared" si="17" ref="R42:X42">SUM(R20:R41)</f>
        <v>3555.9101999999993</v>
      </c>
      <c r="S42" s="586">
        <f t="shared" si="17"/>
        <v>0</v>
      </c>
      <c r="T42" s="587">
        <f t="shared" si="17"/>
        <v>0</v>
      </c>
      <c r="U42" s="408">
        <f t="shared" si="17"/>
        <v>0</v>
      </c>
      <c r="V42" s="409">
        <f t="shared" si="17"/>
        <v>0</v>
      </c>
      <c r="W42" s="588">
        <f t="shared" si="17"/>
        <v>0</v>
      </c>
      <c r="X42" s="588">
        <f t="shared" si="17"/>
        <v>0</v>
      </c>
      <c r="Z42" s="528">
        <f>ROUND(SUM(Z20:Z41),2)</f>
        <v>3555.91</v>
      </c>
      <c r="AA42" s="589"/>
    </row>
    <row r="43" spans="2:27" s="8" customFormat="1" ht="16.5" customHeight="1" thickBot="1" thickTop="1">
      <c r="B43" s="245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7"/>
    </row>
    <row r="44" spans="6:29" ht="16.5" customHeight="1" thickTop="1">
      <c r="F44" s="590"/>
      <c r="G44" s="590"/>
      <c r="H44" s="590"/>
      <c r="I44" s="417"/>
      <c r="J44" s="417"/>
      <c r="K44" s="417"/>
      <c r="L44" s="417"/>
      <c r="M44" s="417"/>
      <c r="N44" s="417"/>
      <c r="O44" s="417"/>
      <c r="P44" s="417"/>
      <c r="Q44" s="417"/>
      <c r="R44" s="417"/>
      <c r="S44" s="417"/>
      <c r="T44" s="417"/>
      <c r="U44" s="417"/>
      <c r="V44" s="417"/>
      <c r="W44" s="417"/>
      <c r="X44" s="417"/>
      <c r="Y44" s="417"/>
      <c r="Z44" s="417"/>
      <c r="AA44" s="417"/>
      <c r="AB44" s="417"/>
      <c r="AC44" s="417"/>
    </row>
    <row r="45" spans="6:29" ht="16.5" customHeight="1">
      <c r="F45" s="590"/>
      <c r="G45" s="590"/>
      <c r="H45" s="590"/>
      <c r="I45" s="417"/>
      <c r="J45" s="417"/>
      <c r="K45" s="417"/>
      <c r="L45" s="417"/>
      <c r="M45" s="417"/>
      <c r="N45" s="417"/>
      <c r="O45" s="417"/>
      <c r="P45" s="417"/>
      <c r="Q45" s="417"/>
      <c r="R45" s="417"/>
      <c r="S45" s="417"/>
      <c r="T45" s="417"/>
      <c r="U45" s="417"/>
      <c r="V45" s="417"/>
      <c r="W45" s="417"/>
      <c r="X45" s="417"/>
      <c r="Y45" s="417"/>
      <c r="Z45" s="417"/>
      <c r="AA45" s="417"/>
      <c r="AB45" s="417"/>
      <c r="AC45" s="417"/>
    </row>
    <row r="46" spans="6:29" ht="16.5" customHeight="1">
      <c r="F46" s="590"/>
      <c r="G46" s="590"/>
      <c r="H46" s="590"/>
      <c r="I46" s="417"/>
      <c r="J46" s="417"/>
      <c r="K46" s="417"/>
      <c r="L46" s="417"/>
      <c r="M46" s="417"/>
      <c r="N46" s="417"/>
      <c r="O46" s="417"/>
      <c r="P46" s="417"/>
      <c r="Q46" s="417"/>
      <c r="R46" s="417"/>
      <c r="S46" s="417"/>
      <c r="T46" s="417"/>
      <c r="U46" s="417"/>
      <c r="V46" s="417"/>
      <c r="W46" s="417"/>
      <c r="X46" s="417"/>
      <c r="Y46" s="417"/>
      <c r="Z46" s="417"/>
      <c r="AA46" s="417"/>
      <c r="AB46" s="417"/>
      <c r="AC46" s="417"/>
    </row>
    <row r="47" spans="6:29" ht="16.5" customHeight="1">
      <c r="F47" s="590"/>
      <c r="G47" s="590"/>
      <c r="H47" s="590"/>
      <c r="I47" s="417"/>
      <c r="J47" s="417"/>
      <c r="K47" s="417"/>
      <c r="L47" s="417"/>
      <c r="M47" s="417"/>
      <c r="N47" s="417"/>
      <c r="O47" s="417"/>
      <c r="P47" s="417"/>
      <c r="Q47" s="417"/>
      <c r="R47" s="417"/>
      <c r="S47" s="417"/>
      <c r="T47" s="417"/>
      <c r="U47" s="417"/>
      <c r="V47" s="417"/>
      <c r="W47" s="417"/>
      <c r="X47" s="417"/>
      <c r="Y47" s="417"/>
      <c r="Z47" s="417"/>
      <c r="AA47" s="417"/>
      <c r="AB47" s="417"/>
      <c r="AC47" s="417"/>
    </row>
    <row r="48" spans="6:29" ht="16.5" customHeight="1">
      <c r="F48" s="590"/>
      <c r="G48" s="590"/>
      <c r="H48" s="590"/>
      <c r="I48" s="417"/>
      <c r="J48" s="417"/>
      <c r="K48" s="417"/>
      <c r="L48" s="417"/>
      <c r="M48" s="417"/>
      <c r="N48" s="417"/>
      <c r="O48" s="417"/>
      <c r="P48" s="417"/>
      <c r="Q48" s="417"/>
      <c r="R48" s="417"/>
      <c r="S48" s="417"/>
      <c r="T48" s="417"/>
      <c r="U48" s="417"/>
      <c r="V48" s="417"/>
      <c r="W48" s="417"/>
      <c r="X48" s="417"/>
      <c r="Y48" s="417"/>
      <c r="Z48" s="417"/>
      <c r="AA48" s="417"/>
      <c r="AB48" s="417"/>
      <c r="AC48" s="417"/>
    </row>
    <row r="49" spans="6:29" ht="16.5" customHeight="1">
      <c r="F49" s="590"/>
      <c r="G49" s="590"/>
      <c r="H49" s="590"/>
      <c r="I49" s="417"/>
      <c r="J49" s="417"/>
      <c r="K49" s="417"/>
      <c r="L49" s="417"/>
      <c r="M49" s="417"/>
      <c r="N49" s="417"/>
      <c r="O49" s="417"/>
      <c r="P49" s="417"/>
      <c r="Q49" s="417"/>
      <c r="R49" s="417"/>
      <c r="S49" s="417"/>
      <c r="T49" s="417"/>
      <c r="U49" s="417"/>
      <c r="V49" s="417"/>
      <c r="W49" s="417"/>
      <c r="X49" s="417"/>
      <c r="Y49" s="417"/>
      <c r="Z49" s="417"/>
      <c r="AA49" s="417"/>
      <c r="AB49" s="417"/>
      <c r="AC49" s="417"/>
    </row>
    <row r="50" spans="6:29" ht="16.5" customHeight="1">
      <c r="F50" s="417"/>
      <c r="G50" s="417"/>
      <c r="H50" s="417"/>
      <c r="I50" s="417"/>
      <c r="J50" s="417"/>
      <c r="K50" s="417"/>
      <c r="L50" s="417"/>
      <c r="M50" s="417"/>
      <c r="N50" s="417"/>
      <c r="O50" s="417"/>
      <c r="P50" s="417"/>
      <c r="Q50" s="417"/>
      <c r="R50" s="417"/>
      <c r="S50" s="417"/>
      <c r="T50" s="417"/>
      <c r="U50" s="417"/>
      <c r="V50" s="417"/>
      <c r="W50" s="417"/>
      <c r="X50" s="417"/>
      <c r="Y50" s="417"/>
      <c r="Z50" s="417"/>
      <c r="AA50" s="417"/>
      <c r="AB50" s="417"/>
      <c r="AC50" s="417"/>
    </row>
    <row r="51" spans="6:29" ht="16.5" customHeight="1">
      <c r="F51" s="417"/>
      <c r="G51" s="417"/>
      <c r="H51" s="417"/>
      <c r="I51" s="417"/>
      <c r="J51" s="417"/>
      <c r="K51" s="417"/>
      <c r="L51" s="417"/>
      <c r="M51" s="417"/>
      <c r="N51" s="417"/>
      <c r="O51" s="417"/>
      <c r="P51" s="417"/>
      <c r="Q51" s="417"/>
      <c r="R51" s="417"/>
      <c r="S51" s="417"/>
      <c r="T51" s="417"/>
      <c r="U51" s="417"/>
      <c r="V51" s="417"/>
      <c r="W51" s="417"/>
      <c r="X51" s="417"/>
      <c r="Y51" s="417"/>
      <c r="Z51" s="417"/>
      <c r="AA51" s="417"/>
      <c r="AB51" s="417"/>
      <c r="AC51" s="417"/>
    </row>
    <row r="52" spans="6:29" ht="16.5" customHeight="1">
      <c r="F52" s="417"/>
      <c r="G52" s="417"/>
      <c r="H52" s="417"/>
      <c r="I52" s="417"/>
      <c r="J52" s="417"/>
      <c r="K52" s="417"/>
      <c r="L52" s="417"/>
      <c r="M52" s="417"/>
      <c r="N52" s="417"/>
      <c r="O52" s="417"/>
      <c r="P52" s="417"/>
      <c r="Q52" s="417"/>
      <c r="R52" s="417"/>
      <c r="S52" s="417"/>
      <c r="T52" s="417"/>
      <c r="U52" s="417"/>
      <c r="V52" s="417"/>
      <c r="W52" s="417"/>
      <c r="X52" s="417"/>
      <c r="Y52" s="417"/>
      <c r="Z52" s="417"/>
      <c r="AA52" s="417"/>
      <c r="AB52" s="417"/>
      <c r="AC52" s="417"/>
    </row>
    <row r="53" spans="6:29" ht="16.5" customHeight="1"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7"/>
      <c r="Q53" s="417"/>
      <c r="R53" s="417"/>
      <c r="S53" s="417"/>
      <c r="T53" s="417"/>
      <c r="U53" s="417"/>
      <c r="V53" s="417"/>
      <c r="W53" s="417"/>
      <c r="X53" s="417"/>
      <c r="Y53" s="417"/>
      <c r="Z53" s="417"/>
      <c r="AA53" s="417"/>
      <c r="AB53" s="417"/>
      <c r="AC53" s="417"/>
    </row>
    <row r="54" spans="6:29" ht="16.5" customHeight="1">
      <c r="F54" s="417"/>
      <c r="G54" s="417"/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417"/>
      <c r="S54" s="417"/>
      <c r="T54" s="417"/>
      <c r="U54" s="417"/>
      <c r="V54" s="417"/>
      <c r="W54" s="417"/>
      <c r="X54" s="417"/>
      <c r="Y54" s="417"/>
      <c r="Z54" s="417"/>
      <c r="AA54" s="417"/>
      <c r="AB54" s="417"/>
      <c r="AC54" s="417"/>
    </row>
    <row r="55" spans="6:29" ht="16.5" customHeight="1">
      <c r="F55" s="417"/>
      <c r="G55" s="417"/>
      <c r="H55" s="417"/>
      <c r="I55" s="417"/>
      <c r="J55" s="417"/>
      <c r="K55" s="417"/>
      <c r="L55" s="417"/>
      <c r="M55" s="417"/>
      <c r="N55" s="417"/>
      <c r="O55" s="417"/>
      <c r="P55" s="417"/>
      <c r="Q55" s="417"/>
      <c r="R55" s="417"/>
      <c r="S55" s="417"/>
      <c r="T55" s="417"/>
      <c r="U55" s="417"/>
      <c r="V55" s="417"/>
      <c r="W55" s="417"/>
      <c r="X55" s="417"/>
      <c r="Y55" s="417"/>
      <c r="Z55" s="417"/>
      <c r="AA55" s="417"/>
      <c r="AB55" s="417"/>
      <c r="AC55" s="417"/>
    </row>
    <row r="56" spans="6:29" ht="16.5" customHeight="1">
      <c r="F56" s="417"/>
      <c r="G56" s="417"/>
      <c r="H56" s="417"/>
      <c r="I56" s="417"/>
      <c r="J56" s="417"/>
      <c r="K56" s="417"/>
      <c r="L56" s="417"/>
      <c r="M56" s="417"/>
      <c r="N56" s="417"/>
      <c r="O56" s="417"/>
      <c r="P56" s="417"/>
      <c r="Q56" s="417"/>
      <c r="R56" s="417"/>
      <c r="S56" s="417"/>
      <c r="T56" s="417"/>
      <c r="U56" s="417"/>
      <c r="V56" s="417"/>
      <c r="W56" s="417"/>
      <c r="X56" s="417"/>
      <c r="Y56" s="417"/>
      <c r="Z56" s="417"/>
      <c r="AA56" s="417"/>
      <c r="AB56" s="417"/>
      <c r="AC56" s="417"/>
    </row>
    <row r="57" spans="6:29" ht="16.5" customHeight="1">
      <c r="F57" s="417"/>
      <c r="G57" s="417"/>
      <c r="H57" s="417"/>
      <c r="I57" s="417"/>
      <c r="J57" s="417"/>
      <c r="K57" s="417"/>
      <c r="L57" s="417"/>
      <c r="M57" s="417"/>
      <c r="N57" s="417"/>
      <c r="O57" s="417"/>
      <c r="P57" s="417"/>
      <c r="Q57" s="417"/>
      <c r="R57" s="417"/>
      <c r="S57" s="417"/>
      <c r="T57" s="417"/>
      <c r="U57" s="417"/>
      <c r="V57" s="417"/>
      <c r="W57" s="417"/>
      <c r="X57" s="417"/>
      <c r="Y57" s="417"/>
      <c r="Z57" s="417"/>
      <c r="AA57" s="417"/>
      <c r="AB57" s="417"/>
      <c r="AC57" s="417"/>
    </row>
    <row r="58" spans="6:29" ht="16.5" customHeight="1">
      <c r="F58" s="417"/>
      <c r="G58" s="417"/>
      <c r="H58" s="417"/>
      <c r="I58" s="417"/>
      <c r="J58" s="417"/>
      <c r="K58" s="417"/>
      <c r="L58" s="417"/>
      <c r="M58" s="417"/>
      <c r="N58" s="417"/>
      <c r="O58" s="417"/>
      <c r="P58" s="417"/>
      <c r="Q58" s="417"/>
      <c r="R58" s="417"/>
      <c r="S58" s="417"/>
      <c r="T58" s="417"/>
      <c r="U58" s="417"/>
      <c r="V58" s="417"/>
      <c r="W58" s="417"/>
      <c r="X58" s="417"/>
      <c r="Y58" s="417"/>
      <c r="Z58" s="417"/>
      <c r="AA58" s="417"/>
      <c r="AB58" s="417"/>
      <c r="AC58" s="417"/>
    </row>
    <row r="59" spans="6:29" ht="16.5" customHeight="1"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7"/>
      <c r="W59" s="417"/>
      <c r="X59" s="417"/>
      <c r="Y59" s="417"/>
      <c r="Z59" s="417"/>
      <c r="AA59" s="417"/>
      <c r="AB59" s="417"/>
      <c r="AC59" s="417"/>
    </row>
    <row r="60" spans="6:29" ht="16.5" customHeight="1">
      <c r="F60" s="417"/>
      <c r="G60" s="417"/>
      <c r="H60" s="417"/>
      <c r="I60" s="417"/>
      <c r="J60" s="417"/>
      <c r="K60" s="417"/>
      <c r="L60" s="417"/>
      <c r="M60" s="417"/>
      <c r="N60" s="417"/>
      <c r="O60" s="417"/>
      <c r="P60" s="417"/>
      <c r="Q60" s="417"/>
      <c r="R60" s="417"/>
      <c r="S60" s="417"/>
      <c r="T60" s="417"/>
      <c r="U60" s="417"/>
      <c r="V60" s="417"/>
      <c r="W60" s="417"/>
      <c r="X60" s="417"/>
      <c r="Y60" s="417"/>
      <c r="Z60" s="417"/>
      <c r="AA60" s="417"/>
      <c r="AB60" s="417"/>
      <c r="AC60" s="417"/>
    </row>
    <row r="61" spans="6:29" ht="16.5" customHeight="1">
      <c r="F61" s="417"/>
      <c r="G61" s="417"/>
      <c r="H61" s="417"/>
      <c r="I61" s="417"/>
      <c r="J61" s="417"/>
      <c r="K61" s="417"/>
      <c r="L61" s="417"/>
      <c r="M61" s="417"/>
      <c r="N61" s="417"/>
      <c r="O61" s="417"/>
      <c r="P61" s="417"/>
      <c r="Q61" s="417"/>
      <c r="R61" s="417"/>
      <c r="S61" s="417"/>
      <c r="T61" s="417"/>
      <c r="U61" s="417"/>
      <c r="V61" s="417"/>
      <c r="W61" s="417"/>
      <c r="X61" s="417"/>
      <c r="Y61" s="417"/>
      <c r="Z61" s="417"/>
      <c r="AA61" s="417"/>
      <c r="AB61" s="417"/>
      <c r="AC61" s="417"/>
    </row>
    <row r="62" spans="6:29" ht="16.5" customHeight="1">
      <c r="F62" s="417"/>
      <c r="G62" s="417"/>
      <c r="H62" s="417"/>
      <c r="I62" s="417"/>
      <c r="J62" s="417"/>
      <c r="K62" s="417"/>
      <c r="L62" s="417"/>
      <c r="M62" s="417"/>
      <c r="N62" s="417"/>
      <c r="O62" s="417"/>
      <c r="P62" s="417"/>
      <c r="Q62" s="417"/>
      <c r="R62" s="417"/>
      <c r="S62" s="417"/>
      <c r="T62" s="417"/>
      <c r="U62" s="417"/>
      <c r="V62" s="417"/>
      <c r="W62" s="417"/>
      <c r="X62" s="417"/>
      <c r="Y62" s="417"/>
      <c r="Z62" s="417"/>
      <c r="AA62" s="417"/>
      <c r="AB62" s="417"/>
      <c r="AC62" s="417"/>
    </row>
    <row r="63" spans="6:29" ht="16.5" customHeight="1">
      <c r="F63" s="417"/>
      <c r="G63" s="417"/>
      <c r="H63" s="417"/>
      <c r="I63" s="417"/>
      <c r="J63" s="417"/>
      <c r="K63" s="417"/>
      <c r="L63" s="417"/>
      <c r="M63" s="417"/>
      <c r="N63" s="417"/>
      <c r="O63" s="417"/>
      <c r="P63" s="417"/>
      <c r="Q63" s="417"/>
      <c r="R63" s="417"/>
      <c r="S63" s="417"/>
      <c r="T63" s="417"/>
      <c r="U63" s="417"/>
      <c r="V63" s="417"/>
      <c r="W63" s="417"/>
      <c r="X63" s="417"/>
      <c r="Y63" s="417"/>
      <c r="Z63" s="417"/>
      <c r="AA63" s="417"/>
      <c r="AB63" s="417"/>
      <c r="AC63" s="417"/>
    </row>
    <row r="64" spans="6:29" ht="16.5" customHeight="1">
      <c r="F64" s="417"/>
      <c r="G64" s="417"/>
      <c r="H64" s="417"/>
      <c r="I64" s="417"/>
      <c r="J64" s="417"/>
      <c r="K64" s="417"/>
      <c r="L64" s="417"/>
      <c r="M64" s="417"/>
      <c r="N64" s="417"/>
      <c r="O64" s="417"/>
      <c r="P64" s="417"/>
      <c r="Q64" s="417"/>
      <c r="R64" s="417"/>
      <c r="S64" s="417"/>
      <c r="T64" s="417"/>
      <c r="U64" s="417"/>
      <c r="V64" s="417"/>
      <c r="W64" s="417"/>
      <c r="X64" s="417"/>
      <c r="Y64" s="417"/>
      <c r="Z64" s="417"/>
      <c r="AA64" s="417"/>
      <c r="AB64" s="417"/>
      <c r="AC64" s="417"/>
    </row>
    <row r="65" spans="6:29" ht="16.5" customHeight="1">
      <c r="F65" s="417"/>
      <c r="G65" s="417"/>
      <c r="H65" s="417"/>
      <c r="I65" s="417"/>
      <c r="J65" s="417"/>
      <c r="K65" s="417"/>
      <c r="L65" s="417"/>
      <c r="M65" s="417"/>
      <c r="N65" s="417"/>
      <c r="O65" s="417"/>
      <c r="P65" s="417"/>
      <c r="Q65" s="417"/>
      <c r="R65" s="417"/>
      <c r="S65" s="417"/>
      <c r="T65" s="417"/>
      <c r="U65" s="417"/>
      <c r="V65" s="417"/>
      <c r="W65" s="417"/>
      <c r="X65" s="417"/>
      <c r="Y65" s="417"/>
      <c r="Z65" s="417"/>
      <c r="AA65" s="417"/>
      <c r="AB65" s="417"/>
      <c r="AC65" s="417"/>
    </row>
    <row r="66" spans="6:29" ht="16.5" customHeight="1">
      <c r="F66" s="417"/>
      <c r="G66" s="417"/>
      <c r="H66" s="417"/>
      <c r="I66" s="417"/>
      <c r="J66" s="417"/>
      <c r="K66" s="417"/>
      <c r="L66" s="417"/>
      <c r="M66" s="417"/>
      <c r="N66" s="417"/>
      <c r="O66" s="417"/>
      <c r="P66" s="417"/>
      <c r="Q66" s="417"/>
      <c r="R66" s="417"/>
      <c r="S66" s="417"/>
      <c r="T66" s="417"/>
      <c r="U66" s="417"/>
      <c r="V66" s="417"/>
      <c r="W66" s="417"/>
      <c r="X66" s="417"/>
      <c r="Y66" s="417"/>
      <c r="Z66" s="417"/>
      <c r="AA66" s="417"/>
      <c r="AB66" s="417"/>
      <c r="AC66" s="417"/>
    </row>
    <row r="67" spans="6:29" ht="16.5" customHeight="1">
      <c r="F67" s="417"/>
      <c r="G67" s="417"/>
      <c r="H67" s="417"/>
      <c r="I67" s="417"/>
      <c r="J67" s="417"/>
      <c r="K67" s="417"/>
      <c r="L67" s="417"/>
      <c r="M67" s="417"/>
      <c r="N67" s="417"/>
      <c r="O67" s="417"/>
      <c r="P67" s="417"/>
      <c r="Q67" s="417"/>
      <c r="R67" s="417"/>
      <c r="S67" s="417"/>
      <c r="T67" s="417"/>
      <c r="U67" s="417"/>
      <c r="V67" s="417"/>
      <c r="W67" s="417"/>
      <c r="X67" s="417"/>
      <c r="Y67" s="417"/>
      <c r="Z67" s="417"/>
      <c r="AA67" s="417"/>
      <c r="AB67" s="417"/>
      <c r="AC67" s="417"/>
    </row>
    <row r="68" spans="6:29" ht="16.5" customHeight="1">
      <c r="F68" s="417"/>
      <c r="G68" s="417"/>
      <c r="H68" s="417"/>
      <c r="I68" s="417"/>
      <c r="J68" s="417"/>
      <c r="K68" s="417"/>
      <c r="L68" s="417"/>
      <c r="M68" s="417"/>
      <c r="N68" s="417"/>
      <c r="O68" s="417"/>
      <c r="P68" s="417"/>
      <c r="Q68" s="417"/>
      <c r="R68" s="417"/>
      <c r="S68" s="417"/>
      <c r="T68" s="417"/>
      <c r="U68" s="417"/>
      <c r="V68" s="417"/>
      <c r="W68" s="417"/>
      <c r="X68" s="417"/>
      <c r="Y68" s="417"/>
      <c r="Z68" s="417"/>
      <c r="AA68" s="417"/>
      <c r="AB68" s="417"/>
      <c r="AC68" s="417"/>
    </row>
    <row r="69" spans="6:29" ht="16.5" customHeight="1">
      <c r="F69" s="417"/>
      <c r="G69" s="417"/>
      <c r="H69" s="417"/>
      <c r="I69" s="417"/>
      <c r="J69" s="417"/>
      <c r="K69" s="417"/>
      <c r="L69" s="417"/>
      <c r="M69" s="417"/>
      <c r="N69" s="417"/>
      <c r="O69" s="417"/>
      <c r="P69" s="417"/>
      <c r="Q69" s="417"/>
      <c r="R69" s="417"/>
      <c r="S69" s="417"/>
      <c r="T69" s="417"/>
      <c r="U69" s="417"/>
      <c r="V69" s="417"/>
      <c r="W69" s="417"/>
      <c r="X69" s="417"/>
      <c r="Y69" s="417"/>
      <c r="Z69" s="417"/>
      <c r="AA69" s="417"/>
      <c r="AB69" s="417"/>
      <c r="AC69" s="417"/>
    </row>
    <row r="70" spans="6:29" ht="16.5" customHeight="1">
      <c r="F70" s="417"/>
      <c r="G70" s="417"/>
      <c r="H70" s="417"/>
      <c r="I70" s="417"/>
      <c r="J70" s="417"/>
      <c r="K70" s="417"/>
      <c r="L70" s="417"/>
      <c r="M70" s="417"/>
      <c r="N70" s="417"/>
      <c r="O70" s="417"/>
      <c r="P70" s="417"/>
      <c r="Q70" s="417"/>
      <c r="R70" s="417"/>
      <c r="S70" s="417"/>
      <c r="T70" s="417"/>
      <c r="U70" s="417"/>
      <c r="V70" s="417"/>
      <c r="W70" s="417"/>
      <c r="X70" s="417"/>
      <c r="Y70" s="417"/>
      <c r="Z70" s="417"/>
      <c r="AA70" s="417"/>
      <c r="AB70" s="417"/>
      <c r="AC70" s="417"/>
    </row>
    <row r="71" spans="6:29" ht="16.5" customHeight="1">
      <c r="F71" s="417"/>
      <c r="G71" s="417"/>
      <c r="H71" s="417"/>
      <c r="I71" s="417"/>
      <c r="J71" s="417"/>
      <c r="K71" s="417"/>
      <c r="L71" s="417"/>
      <c r="M71" s="417"/>
      <c r="N71" s="417"/>
      <c r="O71" s="417"/>
      <c r="P71" s="417"/>
      <c r="Q71" s="417"/>
      <c r="R71" s="417"/>
      <c r="S71" s="417"/>
      <c r="T71" s="417"/>
      <c r="U71" s="417"/>
      <c r="V71" s="417"/>
      <c r="W71" s="417"/>
      <c r="X71" s="417"/>
      <c r="Y71" s="417"/>
      <c r="Z71" s="417"/>
      <c r="AA71" s="417"/>
      <c r="AB71" s="417"/>
      <c r="AC71" s="417"/>
    </row>
    <row r="72" spans="6:29" ht="16.5" customHeight="1">
      <c r="F72" s="417"/>
      <c r="G72" s="417"/>
      <c r="H72" s="417"/>
      <c r="I72" s="417"/>
      <c r="J72" s="417"/>
      <c r="K72" s="417"/>
      <c r="L72" s="417"/>
      <c r="M72" s="417"/>
      <c r="N72" s="417"/>
      <c r="O72" s="417"/>
      <c r="P72" s="417"/>
      <c r="Q72" s="417"/>
      <c r="R72" s="417"/>
      <c r="S72" s="417"/>
      <c r="T72" s="417"/>
      <c r="U72" s="417"/>
      <c r="V72" s="417"/>
      <c r="W72" s="417"/>
      <c r="X72" s="417"/>
      <c r="Y72" s="417"/>
      <c r="Z72" s="417"/>
      <c r="AA72" s="417"/>
      <c r="AB72" s="417"/>
      <c r="AC72" s="417"/>
    </row>
    <row r="73" spans="6:29" ht="16.5" customHeight="1">
      <c r="F73" s="417"/>
      <c r="G73" s="417"/>
      <c r="H73" s="417"/>
      <c r="I73" s="417"/>
      <c r="J73" s="417"/>
      <c r="K73" s="417"/>
      <c r="L73" s="417"/>
      <c r="M73" s="417"/>
      <c r="N73" s="417"/>
      <c r="O73" s="417"/>
      <c r="P73" s="417"/>
      <c r="Q73" s="417"/>
      <c r="R73" s="417"/>
      <c r="S73" s="417"/>
      <c r="T73" s="417"/>
      <c r="U73" s="417"/>
      <c r="V73" s="417"/>
      <c r="W73" s="417"/>
      <c r="X73" s="417"/>
      <c r="Y73" s="417"/>
      <c r="Z73" s="417"/>
      <c r="AA73" s="417"/>
      <c r="AB73" s="417"/>
      <c r="AC73" s="417"/>
    </row>
    <row r="74" spans="6:29" ht="16.5" customHeight="1">
      <c r="F74" s="417"/>
      <c r="G74" s="417"/>
      <c r="H74" s="417"/>
      <c r="I74" s="417"/>
      <c r="J74" s="417"/>
      <c r="K74" s="417"/>
      <c r="L74" s="417"/>
      <c r="M74" s="417"/>
      <c r="N74" s="417"/>
      <c r="O74" s="417"/>
      <c r="P74" s="417"/>
      <c r="Q74" s="417"/>
      <c r="R74" s="417"/>
      <c r="S74" s="417"/>
      <c r="T74" s="417"/>
      <c r="U74" s="417"/>
      <c r="V74" s="417"/>
      <c r="W74" s="417"/>
      <c r="X74" s="417"/>
      <c r="Y74" s="417"/>
      <c r="Z74" s="417"/>
      <c r="AA74" s="417"/>
      <c r="AB74" s="417"/>
      <c r="AC74" s="417"/>
    </row>
    <row r="75" spans="6:29" ht="16.5" customHeight="1">
      <c r="F75" s="417"/>
      <c r="G75" s="417"/>
      <c r="H75" s="417"/>
      <c r="I75" s="417"/>
      <c r="J75" s="417"/>
      <c r="K75" s="417"/>
      <c r="L75" s="417"/>
      <c r="M75" s="417"/>
      <c r="N75" s="417"/>
      <c r="O75" s="417"/>
      <c r="P75" s="417"/>
      <c r="Q75" s="417"/>
      <c r="R75" s="417"/>
      <c r="S75" s="417"/>
      <c r="T75" s="417"/>
      <c r="U75" s="417"/>
      <c r="V75" s="417"/>
      <c r="W75" s="417"/>
      <c r="X75" s="417"/>
      <c r="Y75" s="417"/>
      <c r="Z75" s="417"/>
      <c r="AA75" s="417"/>
      <c r="AB75" s="417"/>
      <c r="AC75" s="417"/>
    </row>
    <row r="76" spans="6:29" ht="16.5" customHeight="1">
      <c r="F76" s="417"/>
      <c r="G76" s="417"/>
      <c r="H76" s="417"/>
      <c r="I76" s="417"/>
      <c r="J76" s="417"/>
      <c r="K76" s="417"/>
      <c r="L76" s="417"/>
      <c r="M76" s="417"/>
      <c r="N76" s="417"/>
      <c r="O76" s="417"/>
      <c r="P76" s="417"/>
      <c r="Q76" s="417"/>
      <c r="R76" s="417"/>
      <c r="S76" s="417"/>
      <c r="T76" s="417"/>
      <c r="U76" s="417"/>
      <c r="V76" s="417"/>
      <c r="W76" s="417"/>
      <c r="X76" s="417"/>
      <c r="Y76" s="417"/>
      <c r="Z76" s="417"/>
      <c r="AA76" s="417"/>
      <c r="AB76" s="417"/>
      <c r="AC76" s="417"/>
    </row>
    <row r="77" spans="6:29" ht="16.5" customHeight="1">
      <c r="F77" s="417"/>
      <c r="G77" s="417"/>
      <c r="H77" s="417"/>
      <c r="I77" s="417"/>
      <c r="J77" s="417"/>
      <c r="K77" s="417"/>
      <c r="L77" s="417"/>
      <c r="M77" s="417"/>
      <c r="N77" s="417"/>
      <c r="O77" s="417"/>
      <c r="P77" s="417"/>
      <c r="Q77" s="417"/>
      <c r="R77" s="417"/>
      <c r="S77" s="417"/>
      <c r="T77" s="417"/>
      <c r="U77" s="417"/>
      <c r="V77" s="417"/>
      <c r="W77" s="417"/>
      <c r="X77" s="417"/>
      <c r="Y77" s="417"/>
      <c r="Z77" s="417"/>
      <c r="AA77" s="417"/>
      <c r="AB77" s="417"/>
      <c r="AC77" s="417"/>
    </row>
    <row r="78" spans="6:29" ht="16.5" customHeight="1">
      <c r="F78" s="417"/>
      <c r="G78" s="417"/>
      <c r="H78" s="417"/>
      <c r="I78" s="417"/>
      <c r="J78" s="417"/>
      <c r="K78" s="417"/>
      <c r="L78" s="417"/>
      <c r="M78" s="417"/>
      <c r="N78" s="417"/>
      <c r="O78" s="417"/>
      <c r="P78" s="417"/>
      <c r="Q78" s="417"/>
      <c r="R78" s="417"/>
      <c r="S78" s="417"/>
      <c r="T78" s="417"/>
      <c r="U78" s="417"/>
      <c r="V78" s="417"/>
      <c r="W78" s="417"/>
      <c r="X78" s="417"/>
      <c r="Y78" s="417"/>
      <c r="Z78" s="417"/>
      <c r="AA78" s="417"/>
      <c r="AB78" s="417"/>
      <c r="AC78" s="417"/>
    </row>
    <row r="79" spans="6:29" ht="16.5" customHeight="1">
      <c r="F79" s="417"/>
      <c r="G79" s="417"/>
      <c r="H79" s="417"/>
      <c r="I79" s="417"/>
      <c r="J79" s="417"/>
      <c r="K79" s="417"/>
      <c r="L79" s="417"/>
      <c r="M79" s="417"/>
      <c r="N79" s="417"/>
      <c r="O79" s="417"/>
      <c r="P79" s="417"/>
      <c r="Q79" s="417"/>
      <c r="R79" s="417"/>
      <c r="S79" s="417"/>
      <c r="T79" s="417"/>
      <c r="U79" s="417"/>
      <c r="V79" s="417"/>
      <c r="W79" s="417"/>
      <c r="X79" s="417"/>
      <c r="Y79" s="417"/>
      <c r="Z79" s="417"/>
      <c r="AA79" s="417"/>
      <c r="AB79" s="417"/>
      <c r="AC79" s="417"/>
    </row>
    <row r="80" spans="6:29" ht="16.5" customHeight="1">
      <c r="F80" s="417"/>
      <c r="G80" s="417"/>
      <c r="H80" s="417"/>
      <c r="I80" s="417"/>
      <c r="J80" s="417"/>
      <c r="K80" s="417"/>
      <c r="L80" s="417"/>
      <c r="M80" s="417"/>
      <c r="N80" s="417"/>
      <c r="O80" s="417"/>
      <c r="P80" s="417"/>
      <c r="Q80" s="417"/>
      <c r="R80" s="417"/>
      <c r="S80" s="417"/>
      <c r="T80" s="417"/>
      <c r="U80" s="417"/>
      <c r="V80" s="417"/>
      <c r="W80" s="417"/>
      <c r="X80" s="417"/>
      <c r="Y80" s="417"/>
      <c r="Z80" s="417"/>
      <c r="AA80" s="417"/>
      <c r="AB80" s="417"/>
      <c r="AC80" s="417"/>
    </row>
    <row r="81" spans="6:29" ht="16.5" customHeight="1">
      <c r="F81" s="417"/>
      <c r="G81" s="417"/>
      <c r="H81" s="417"/>
      <c r="I81" s="417"/>
      <c r="J81" s="417"/>
      <c r="K81" s="417"/>
      <c r="L81" s="417"/>
      <c r="M81" s="417"/>
      <c r="N81" s="417"/>
      <c r="O81" s="417"/>
      <c r="P81" s="417"/>
      <c r="Q81" s="417"/>
      <c r="R81" s="417"/>
      <c r="S81" s="417"/>
      <c r="T81" s="417"/>
      <c r="U81" s="417"/>
      <c r="V81" s="417"/>
      <c r="W81" s="417"/>
      <c r="X81" s="417"/>
      <c r="Y81" s="417"/>
      <c r="Z81" s="417"/>
      <c r="AA81" s="417"/>
      <c r="AB81" s="417"/>
      <c r="AC81" s="417"/>
    </row>
    <row r="82" spans="6:29" ht="16.5" customHeight="1">
      <c r="F82" s="417"/>
      <c r="G82" s="417"/>
      <c r="H82" s="417"/>
      <c r="I82" s="417"/>
      <c r="J82" s="417"/>
      <c r="K82" s="417"/>
      <c r="L82" s="417"/>
      <c r="M82" s="417"/>
      <c r="N82" s="417"/>
      <c r="O82" s="417"/>
      <c r="P82" s="417"/>
      <c r="Q82" s="417"/>
      <c r="R82" s="417"/>
      <c r="S82" s="417"/>
      <c r="T82" s="417"/>
      <c r="U82" s="417"/>
      <c r="V82" s="417"/>
      <c r="W82" s="417"/>
      <c r="X82" s="417"/>
      <c r="Y82" s="417"/>
      <c r="Z82" s="417"/>
      <c r="AA82" s="417"/>
      <c r="AB82" s="417"/>
      <c r="AC82" s="417"/>
    </row>
    <row r="83" spans="6:29" ht="16.5" customHeight="1">
      <c r="F83" s="417"/>
      <c r="G83" s="417"/>
      <c r="H83" s="417"/>
      <c r="I83" s="417"/>
      <c r="J83" s="417"/>
      <c r="K83" s="417"/>
      <c r="L83" s="417"/>
      <c r="M83" s="417"/>
      <c r="N83" s="417"/>
      <c r="O83" s="417"/>
      <c r="P83" s="417"/>
      <c r="Q83" s="417"/>
      <c r="R83" s="417"/>
      <c r="S83" s="417"/>
      <c r="T83" s="417"/>
      <c r="U83" s="417"/>
      <c r="V83" s="417"/>
      <c r="W83" s="417"/>
      <c r="X83" s="417"/>
      <c r="Y83" s="417"/>
      <c r="Z83" s="417"/>
      <c r="AA83" s="417"/>
      <c r="AB83" s="417"/>
      <c r="AC83" s="417"/>
    </row>
    <row r="84" spans="6:29" ht="16.5" customHeight="1">
      <c r="F84" s="417"/>
      <c r="G84" s="417"/>
      <c r="H84" s="417"/>
      <c r="I84" s="417"/>
      <c r="J84" s="417"/>
      <c r="K84" s="417"/>
      <c r="L84" s="417"/>
      <c r="M84" s="417"/>
      <c r="N84" s="417"/>
      <c r="O84" s="417"/>
      <c r="P84" s="417"/>
      <c r="Q84" s="417"/>
      <c r="R84" s="417"/>
      <c r="S84" s="417"/>
      <c r="T84" s="417"/>
      <c r="U84" s="417"/>
      <c r="V84" s="417"/>
      <c r="W84" s="417"/>
      <c r="X84" s="417"/>
      <c r="Y84" s="417"/>
      <c r="Z84" s="417"/>
      <c r="AA84" s="417"/>
      <c r="AB84" s="417"/>
      <c r="AC84" s="417"/>
    </row>
    <row r="85" spans="6:29" ht="16.5" customHeight="1">
      <c r="F85" s="417"/>
      <c r="G85" s="417"/>
      <c r="H85" s="417"/>
      <c r="I85" s="417"/>
      <c r="J85" s="417"/>
      <c r="K85" s="417"/>
      <c r="L85" s="417"/>
      <c r="M85" s="417"/>
      <c r="N85" s="417"/>
      <c r="O85" s="417"/>
      <c r="P85" s="417"/>
      <c r="Q85" s="417"/>
      <c r="R85" s="417"/>
      <c r="S85" s="417"/>
      <c r="T85" s="417"/>
      <c r="U85" s="417"/>
      <c r="V85" s="417"/>
      <c r="W85" s="417"/>
      <c r="X85" s="417"/>
      <c r="Y85" s="417"/>
      <c r="Z85" s="417"/>
      <c r="AA85" s="417"/>
      <c r="AB85" s="417"/>
      <c r="AC85" s="417"/>
    </row>
    <row r="86" spans="6:29" ht="16.5" customHeight="1">
      <c r="F86" s="417"/>
      <c r="G86" s="417"/>
      <c r="H86" s="417"/>
      <c r="I86" s="417"/>
      <c r="J86" s="417"/>
      <c r="K86" s="417"/>
      <c r="L86" s="417"/>
      <c r="M86" s="417"/>
      <c r="N86" s="417"/>
      <c r="O86" s="417"/>
      <c r="P86" s="417"/>
      <c r="Q86" s="417"/>
      <c r="R86" s="417"/>
      <c r="S86" s="417"/>
      <c r="T86" s="417"/>
      <c r="U86" s="417"/>
      <c r="V86" s="417"/>
      <c r="W86" s="417"/>
      <c r="X86" s="417"/>
      <c r="Y86" s="417"/>
      <c r="Z86" s="417"/>
      <c r="AA86" s="417"/>
      <c r="AB86" s="417"/>
      <c r="AC86" s="417"/>
    </row>
    <row r="87" spans="6:29" ht="16.5" customHeight="1">
      <c r="F87" s="417"/>
      <c r="G87" s="417"/>
      <c r="H87" s="417"/>
      <c r="I87" s="417"/>
      <c r="J87" s="417"/>
      <c r="K87" s="417"/>
      <c r="L87" s="417"/>
      <c r="M87" s="417"/>
      <c r="N87" s="417"/>
      <c r="O87" s="417"/>
      <c r="P87" s="417"/>
      <c r="Q87" s="417"/>
      <c r="R87" s="417"/>
      <c r="S87" s="417"/>
      <c r="T87" s="417"/>
      <c r="U87" s="417"/>
      <c r="V87" s="417"/>
      <c r="W87" s="417"/>
      <c r="X87" s="417"/>
      <c r="Y87" s="417"/>
      <c r="Z87" s="417"/>
      <c r="AA87" s="417"/>
      <c r="AB87" s="417"/>
      <c r="AC87" s="417"/>
    </row>
    <row r="88" spans="6:29" ht="16.5" customHeight="1">
      <c r="F88" s="417"/>
      <c r="G88" s="417"/>
      <c r="H88" s="417"/>
      <c r="I88" s="417"/>
      <c r="J88" s="417"/>
      <c r="K88" s="417"/>
      <c r="L88" s="417"/>
      <c r="M88" s="417"/>
      <c r="N88" s="417"/>
      <c r="O88" s="417"/>
      <c r="P88" s="417"/>
      <c r="Q88" s="417"/>
      <c r="R88" s="417"/>
      <c r="S88" s="417"/>
      <c r="T88" s="417"/>
      <c r="U88" s="417"/>
      <c r="V88" s="417"/>
      <c r="W88" s="417"/>
      <c r="X88" s="417"/>
      <c r="Y88" s="417"/>
      <c r="Z88" s="417"/>
      <c r="AA88" s="417"/>
      <c r="AB88" s="417"/>
      <c r="AC88" s="417"/>
    </row>
    <row r="89" spans="6:29" ht="16.5" customHeight="1">
      <c r="F89" s="417"/>
      <c r="G89" s="417"/>
      <c r="H89" s="417"/>
      <c r="I89" s="417"/>
      <c r="J89" s="417"/>
      <c r="K89" s="417"/>
      <c r="L89" s="417"/>
      <c r="M89" s="417"/>
      <c r="N89" s="417"/>
      <c r="O89" s="417"/>
      <c r="P89" s="417"/>
      <c r="Q89" s="417"/>
      <c r="R89" s="417"/>
      <c r="S89" s="417"/>
      <c r="T89" s="417"/>
      <c r="U89" s="417"/>
      <c r="V89" s="417"/>
      <c r="W89" s="417"/>
      <c r="X89" s="417"/>
      <c r="Y89" s="417"/>
      <c r="Z89" s="417"/>
      <c r="AA89" s="417"/>
      <c r="AB89" s="417"/>
      <c r="AC89" s="417"/>
    </row>
    <row r="90" spans="6:29" ht="16.5" customHeight="1">
      <c r="F90" s="417"/>
      <c r="G90" s="417"/>
      <c r="H90" s="417"/>
      <c r="I90" s="417"/>
      <c r="J90" s="417"/>
      <c r="K90" s="417"/>
      <c r="L90" s="417"/>
      <c r="M90" s="417"/>
      <c r="N90" s="417"/>
      <c r="O90" s="417"/>
      <c r="P90" s="417"/>
      <c r="Q90" s="417"/>
      <c r="R90" s="417"/>
      <c r="S90" s="417"/>
      <c r="T90" s="417"/>
      <c r="U90" s="417"/>
      <c r="V90" s="417"/>
      <c r="W90" s="417"/>
      <c r="X90" s="417"/>
      <c r="Y90" s="417"/>
      <c r="Z90" s="417"/>
      <c r="AA90" s="417"/>
      <c r="AB90" s="417"/>
      <c r="AC90" s="417"/>
    </row>
    <row r="91" spans="6:29" ht="16.5" customHeight="1">
      <c r="F91" s="417"/>
      <c r="G91" s="417"/>
      <c r="H91" s="417"/>
      <c r="I91" s="417"/>
      <c r="J91" s="417"/>
      <c r="K91" s="417"/>
      <c r="L91" s="417"/>
      <c r="M91" s="417"/>
      <c r="N91" s="417"/>
      <c r="O91" s="417"/>
      <c r="P91" s="417"/>
      <c r="Q91" s="417"/>
      <c r="R91" s="417"/>
      <c r="S91" s="417"/>
      <c r="T91" s="417"/>
      <c r="U91" s="417"/>
      <c r="V91" s="417"/>
      <c r="W91" s="417"/>
      <c r="X91" s="417"/>
      <c r="Y91" s="417"/>
      <c r="Z91" s="417"/>
      <c r="AA91" s="417"/>
      <c r="AB91" s="417"/>
      <c r="AC91" s="417"/>
    </row>
    <row r="92" spans="6:29" ht="16.5" customHeight="1">
      <c r="F92" s="417"/>
      <c r="G92" s="417"/>
      <c r="H92" s="417"/>
      <c r="I92" s="417"/>
      <c r="J92" s="417"/>
      <c r="K92" s="417"/>
      <c r="L92" s="417"/>
      <c r="M92" s="417"/>
      <c r="N92" s="417"/>
      <c r="O92" s="417"/>
      <c r="P92" s="417"/>
      <c r="Q92" s="417"/>
      <c r="R92" s="417"/>
      <c r="S92" s="417"/>
      <c r="T92" s="417"/>
      <c r="U92" s="417"/>
      <c r="V92" s="417"/>
      <c r="W92" s="417"/>
      <c r="X92" s="417"/>
      <c r="Y92" s="417"/>
      <c r="Z92" s="417"/>
      <c r="AA92" s="417"/>
      <c r="AB92" s="417"/>
      <c r="AC92" s="417"/>
    </row>
    <row r="93" spans="6:29" ht="16.5" customHeight="1">
      <c r="F93" s="417"/>
      <c r="G93" s="417"/>
      <c r="H93" s="417"/>
      <c r="I93" s="417"/>
      <c r="J93" s="417"/>
      <c r="K93" s="417"/>
      <c r="L93" s="417"/>
      <c r="M93" s="417"/>
      <c r="N93" s="417"/>
      <c r="O93" s="417"/>
      <c r="P93" s="417"/>
      <c r="Q93" s="417"/>
      <c r="R93" s="417"/>
      <c r="S93" s="417"/>
      <c r="T93" s="417"/>
      <c r="U93" s="417"/>
      <c r="V93" s="417"/>
      <c r="W93" s="417"/>
      <c r="X93" s="417"/>
      <c r="Y93" s="417"/>
      <c r="Z93" s="417"/>
      <c r="AA93" s="417"/>
      <c r="AB93" s="417"/>
      <c r="AC93" s="417"/>
    </row>
    <row r="94" spans="6:29" ht="16.5" customHeight="1">
      <c r="F94" s="417"/>
      <c r="G94" s="417"/>
      <c r="H94" s="417"/>
      <c r="I94" s="417"/>
      <c r="J94" s="417"/>
      <c r="K94" s="417"/>
      <c r="L94" s="417"/>
      <c r="M94" s="417"/>
      <c r="N94" s="417"/>
      <c r="O94" s="417"/>
      <c r="P94" s="417"/>
      <c r="Q94" s="417"/>
      <c r="R94" s="417"/>
      <c r="S94" s="417"/>
      <c r="T94" s="417"/>
      <c r="U94" s="417"/>
      <c r="V94" s="417"/>
      <c r="W94" s="417"/>
      <c r="X94" s="417"/>
      <c r="Y94" s="417"/>
      <c r="Z94" s="417"/>
      <c r="AA94" s="417"/>
      <c r="AB94" s="417"/>
      <c r="AC94" s="417"/>
    </row>
    <row r="95" spans="6:29" ht="16.5" customHeight="1">
      <c r="F95" s="417"/>
      <c r="G95" s="417"/>
      <c r="H95" s="417"/>
      <c r="I95" s="417"/>
      <c r="J95" s="417"/>
      <c r="K95" s="417"/>
      <c r="L95" s="417"/>
      <c r="M95" s="417"/>
      <c r="N95" s="417"/>
      <c r="O95" s="417"/>
      <c r="P95" s="417"/>
      <c r="Q95" s="417"/>
      <c r="R95" s="417"/>
      <c r="S95" s="417"/>
      <c r="T95" s="417"/>
      <c r="U95" s="417"/>
      <c r="V95" s="417"/>
      <c r="W95" s="417"/>
      <c r="X95" s="417"/>
      <c r="Y95" s="417"/>
      <c r="Z95" s="417"/>
      <c r="AA95" s="417"/>
      <c r="AB95" s="417"/>
      <c r="AC95" s="417"/>
    </row>
    <row r="96" spans="6:29" ht="16.5" customHeight="1">
      <c r="F96" s="417"/>
      <c r="G96" s="417"/>
      <c r="H96" s="417"/>
      <c r="I96" s="417"/>
      <c r="J96" s="417"/>
      <c r="K96" s="417"/>
      <c r="L96" s="417"/>
      <c r="M96" s="417"/>
      <c r="N96" s="417"/>
      <c r="O96" s="417"/>
      <c r="P96" s="417"/>
      <c r="Q96" s="417"/>
      <c r="R96" s="417"/>
      <c r="S96" s="417"/>
      <c r="T96" s="417"/>
      <c r="U96" s="417"/>
      <c r="V96" s="417"/>
      <c r="W96" s="417"/>
      <c r="X96" s="417"/>
      <c r="Y96" s="417"/>
      <c r="Z96" s="417"/>
      <c r="AA96" s="417"/>
      <c r="AB96" s="417"/>
      <c r="AC96" s="417"/>
    </row>
    <row r="97" spans="6:29" ht="16.5" customHeight="1">
      <c r="F97" s="417"/>
      <c r="G97" s="417"/>
      <c r="H97" s="417"/>
      <c r="I97" s="417"/>
      <c r="J97" s="417"/>
      <c r="K97" s="417"/>
      <c r="L97" s="417"/>
      <c r="M97" s="417"/>
      <c r="N97" s="417"/>
      <c r="O97" s="417"/>
      <c r="P97" s="417"/>
      <c r="Q97" s="417"/>
      <c r="R97" s="417"/>
      <c r="S97" s="417"/>
      <c r="T97" s="417"/>
      <c r="U97" s="417"/>
      <c r="V97" s="417"/>
      <c r="W97" s="417"/>
      <c r="X97" s="417"/>
      <c r="Y97" s="417"/>
      <c r="Z97" s="417"/>
      <c r="AA97" s="417"/>
      <c r="AB97" s="417"/>
      <c r="AC97" s="417"/>
    </row>
    <row r="98" spans="6:29" ht="16.5" customHeight="1">
      <c r="F98" s="417"/>
      <c r="G98" s="417"/>
      <c r="H98" s="417"/>
      <c r="I98" s="417"/>
      <c r="J98" s="417"/>
      <c r="K98" s="417"/>
      <c r="L98" s="417"/>
      <c r="M98" s="417"/>
      <c r="N98" s="417"/>
      <c r="O98" s="417"/>
      <c r="P98" s="417"/>
      <c r="Q98" s="417"/>
      <c r="R98" s="417"/>
      <c r="S98" s="417"/>
      <c r="T98" s="417"/>
      <c r="U98" s="417"/>
      <c r="V98" s="417"/>
      <c r="W98" s="417"/>
      <c r="X98" s="417"/>
      <c r="Y98" s="417"/>
      <c r="Z98" s="417"/>
      <c r="AA98" s="417"/>
      <c r="AB98" s="417"/>
      <c r="AC98" s="417"/>
    </row>
    <row r="99" spans="6:29" ht="16.5" customHeight="1">
      <c r="F99" s="417"/>
      <c r="G99" s="417"/>
      <c r="H99" s="417"/>
      <c r="I99" s="417"/>
      <c r="J99" s="417"/>
      <c r="K99" s="417"/>
      <c r="L99" s="417"/>
      <c r="M99" s="417"/>
      <c r="N99" s="417"/>
      <c r="O99" s="417"/>
      <c r="P99" s="417"/>
      <c r="Q99" s="417"/>
      <c r="R99" s="417"/>
      <c r="S99" s="417"/>
      <c r="T99" s="417"/>
      <c r="U99" s="417"/>
      <c r="V99" s="417"/>
      <c r="W99" s="417"/>
      <c r="X99" s="417"/>
      <c r="Y99" s="417"/>
      <c r="Z99" s="417"/>
      <c r="AA99" s="417"/>
      <c r="AB99" s="417"/>
      <c r="AC99" s="417"/>
    </row>
    <row r="100" spans="6:29" ht="16.5" customHeight="1">
      <c r="F100" s="417"/>
      <c r="G100" s="417"/>
      <c r="H100" s="417"/>
      <c r="I100" s="417"/>
      <c r="J100" s="417"/>
      <c r="K100" s="417"/>
      <c r="L100" s="417"/>
      <c r="M100" s="417"/>
      <c r="N100" s="417"/>
      <c r="O100" s="417"/>
      <c r="P100" s="417"/>
      <c r="Q100" s="417"/>
      <c r="R100" s="417"/>
      <c r="S100" s="417"/>
      <c r="T100" s="417"/>
      <c r="U100" s="417"/>
      <c r="V100" s="417"/>
      <c r="W100" s="417"/>
      <c r="X100" s="417"/>
      <c r="Y100" s="417"/>
      <c r="Z100" s="417"/>
      <c r="AA100" s="417"/>
      <c r="AB100" s="417"/>
      <c r="AC100" s="417"/>
    </row>
    <row r="101" spans="6:29" ht="16.5" customHeight="1">
      <c r="F101" s="417"/>
      <c r="G101" s="417"/>
      <c r="H101" s="417"/>
      <c r="I101" s="417"/>
      <c r="J101" s="417"/>
      <c r="K101" s="417"/>
      <c r="L101" s="417"/>
      <c r="M101" s="417"/>
      <c r="N101" s="417"/>
      <c r="O101" s="417"/>
      <c r="P101" s="417"/>
      <c r="Q101" s="417"/>
      <c r="R101" s="417"/>
      <c r="S101" s="417"/>
      <c r="T101" s="417"/>
      <c r="U101" s="417"/>
      <c r="V101" s="417"/>
      <c r="W101" s="417"/>
      <c r="X101" s="417"/>
      <c r="Y101" s="417"/>
      <c r="Z101" s="417"/>
      <c r="AA101" s="417"/>
      <c r="AB101" s="417"/>
      <c r="AC101" s="417"/>
    </row>
    <row r="102" spans="6:29" ht="16.5" customHeight="1">
      <c r="F102" s="417"/>
      <c r="G102" s="417"/>
      <c r="H102" s="417"/>
      <c r="I102" s="417"/>
      <c r="J102" s="417"/>
      <c r="K102" s="417"/>
      <c r="L102" s="417"/>
      <c r="M102" s="417"/>
      <c r="N102" s="417"/>
      <c r="O102" s="417"/>
      <c r="P102" s="417"/>
      <c r="Q102" s="417"/>
      <c r="R102" s="417"/>
      <c r="S102" s="417"/>
      <c r="T102" s="417"/>
      <c r="U102" s="417"/>
      <c r="V102" s="417"/>
      <c r="W102" s="417"/>
      <c r="X102" s="417"/>
      <c r="Y102" s="417"/>
      <c r="Z102" s="417"/>
      <c r="AA102" s="417"/>
      <c r="AB102" s="417"/>
      <c r="AC102" s="417"/>
    </row>
    <row r="103" spans="6:29" ht="16.5" customHeight="1">
      <c r="F103" s="417"/>
      <c r="G103" s="417"/>
      <c r="H103" s="417"/>
      <c r="I103" s="417"/>
      <c r="J103" s="417"/>
      <c r="K103" s="417"/>
      <c r="L103" s="417"/>
      <c r="M103" s="417"/>
      <c r="N103" s="417"/>
      <c r="O103" s="417"/>
      <c r="P103" s="417"/>
      <c r="Q103" s="417"/>
      <c r="R103" s="417"/>
      <c r="S103" s="417"/>
      <c r="T103" s="417"/>
      <c r="U103" s="417"/>
      <c r="V103" s="417"/>
      <c r="W103" s="417"/>
      <c r="X103" s="417"/>
      <c r="Y103" s="417"/>
      <c r="Z103" s="417"/>
      <c r="AA103" s="417"/>
      <c r="AB103" s="417"/>
      <c r="AC103" s="417"/>
    </row>
    <row r="104" spans="6:29" ht="16.5" customHeight="1">
      <c r="F104" s="417"/>
      <c r="G104" s="417"/>
      <c r="H104" s="417"/>
      <c r="I104" s="417"/>
      <c r="J104" s="417"/>
      <c r="K104" s="417"/>
      <c r="L104" s="417"/>
      <c r="M104" s="417"/>
      <c r="N104" s="417"/>
      <c r="O104" s="417"/>
      <c r="P104" s="417"/>
      <c r="Q104" s="417"/>
      <c r="R104" s="417"/>
      <c r="S104" s="417"/>
      <c r="T104" s="417"/>
      <c r="U104" s="417"/>
      <c r="V104" s="417"/>
      <c r="W104" s="417"/>
      <c r="X104" s="417"/>
      <c r="Y104" s="417"/>
      <c r="Z104" s="417"/>
      <c r="AA104" s="417"/>
      <c r="AB104" s="417"/>
      <c r="AC104" s="417"/>
    </row>
    <row r="105" spans="6:29" ht="16.5" customHeight="1">
      <c r="F105" s="417"/>
      <c r="G105" s="417"/>
      <c r="H105" s="417"/>
      <c r="I105" s="417"/>
      <c r="J105" s="417"/>
      <c r="K105" s="417"/>
      <c r="L105" s="417"/>
      <c r="M105" s="417"/>
      <c r="N105" s="417"/>
      <c r="O105" s="417"/>
      <c r="P105" s="417"/>
      <c r="Q105" s="417"/>
      <c r="R105" s="417"/>
      <c r="S105" s="417"/>
      <c r="T105" s="417"/>
      <c r="U105" s="417"/>
      <c r="V105" s="417"/>
      <c r="W105" s="417"/>
      <c r="X105" s="417"/>
      <c r="Y105" s="417"/>
      <c r="Z105" s="417"/>
      <c r="AA105" s="417"/>
      <c r="AB105" s="417"/>
      <c r="AC105" s="417"/>
    </row>
    <row r="106" spans="6:29" ht="16.5" customHeight="1">
      <c r="F106" s="417"/>
      <c r="G106" s="417"/>
      <c r="H106" s="417"/>
      <c r="I106" s="417"/>
      <c r="J106" s="417"/>
      <c r="K106" s="417"/>
      <c r="L106" s="417"/>
      <c r="M106" s="417"/>
      <c r="N106" s="417"/>
      <c r="O106" s="417"/>
      <c r="P106" s="417"/>
      <c r="Q106" s="417"/>
      <c r="R106" s="417"/>
      <c r="S106" s="417"/>
      <c r="T106" s="417"/>
      <c r="U106" s="417"/>
      <c r="V106" s="417"/>
      <c r="W106" s="417"/>
      <c r="X106" s="417"/>
      <c r="Y106" s="417"/>
      <c r="Z106" s="417"/>
      <c r="AA106" s="417"/>
      <c r="AB106" s="417"/>
      <c r="AC106" s="417"/>
    </row>
    <row r="107" spans="6:29" ht="16.5" customHeight="1">
      <c r="F107" s="417"/>
      <c r="G107" s="417"/>
      <c r="H107" s="417"/>
      <c r="I107" s="417"/>
      <c r="J107" s="417"/>
      <c r="K107" s="417"/>
      <c r="L107" s="417"/>
      <c r="M107" s="417"/>
      <c r="N107" s="417"/>
      <c r="O107" s="417"/>
      <c r="P107" s="417"/>
      <c r="Q107" s="417"/>
      <c r="R107" s="417"/>
      <c r="S107" s="417"/>
      <c r="T107" s="417"/>
      <c r="U107" s="417"/>
      <c r="V107" s="417"/>
      <c r="W107" s="417"/>
      <c r="X107" s="417"/>
      <c r="Y107" s="417"/>
      <c r="Z107" s="417"/>
      <c r="AA107" s="417"/>
      <c r="AB107" s="417"/>
      <c r="AC107" s="417"/>
    </row>
    <row r="108" spans="6:29" ht="16.5" customHeight="1">
      <c r="F108" s="417"/>
      <c r="G108" s="417"/>
      <c r="H108" s="417"/>
      <c r="I108" s="417"/>
      <c r="J108" s="417"/>
      <c r="K108" s="417"/>
      <c r="L108" s="417"/>
      <c r="M108" s="417"/>
      <c r="N108" s="417"/>
      <c r="O108" s="417"/>
      <c r="P108" s="417"/>
      <c r="Q108" s="417"/>
      <c r="R108" s="417"/>
      <c r="S108" s="417"/>
      <c r="T108" s="417"/>
      <c r="U108" s="417"/>
      <c r="V108" s="417"/>
      <c r="W108" s="417"/>
      <c r="X108" s="417"/>
      <c r="Y108" s="417"/>
      <c r="Z108" s="417"/>
      <c r="AA108" s="417"/>
      <c r="AB108" s="417"/>
      <c r="AC108" s="417"/>
    </row>
    <row r="109" spans="6:29" ht="16.5" customHeight="1">
      <c r="F109" s="417"/>
      <c r="G109" s="417"/>
      <c r="H109" s="417"/>
      <c r="I109" s="417"/>
      <c r="J109" s="417"/>
      <c r="K109" s="417"/>
      <c r="L109" s="417"/>
      <c r="M109" s="417"/>
      <c r="N109" s="417"/>
      <c r="O109" s="417"/>
      <c r="P109" s="417"/>
      <c r="Q109" s="417"/>
      <c r="R109" s="417"/>
      <c r="S109" s="417"/>
      <c r="T109" s="417"/>
      <c r="U109" s="417"/>
      <c r="V109" s="417"/>
      <c r="W109" s="417"/>
      <c r="X109" s="417"/>
      <c r="Y109" s="417"/>
      <c r="Z109" s="417"/>
      <c r="AA109" s="417"/>
      <c r="AB109" s="417"/>
      <c r="AC109" s="417"/>
    </row>
    <row r="110" spans="6:29" ht="16.5" customHeight="1">
      <c r="F110" s="417"/>
      <c r="G110" s="417"/>
      <c r="H110" s="417"/>
      <c r="I110" s="417"/>
      <c r="J110" s="417"/>
      <c r="K110" s="417"/>
      <c r="L110" s="417"/>
      <c r="M110" s="417"/>
      <c r="N110" s="417"/>
      <c r="O110" s="417"/>
      <c r="P110" s="417"/>
      <c r="Q110" s="417"/>
      <c r="R110" s="417"/>
      <c r="S110" s="417"/>
      <c r="T110" s="417"/>
      <c r="U110" s="417"/>
      <c r="V110" s="417"/>
      <c r="W110" s="417"/>
      <c r="X110" s="417"/>
      <c r="Y110" s="417"/>
      <c r="Z110" s="417"/>
      <c r="AA110" s="417"/>
      <c r="AB110" s="417"/>
      <c r="AC110" s="417"/>
    </row>
    <row r="111" spans="6:29" ht="16.5" customHeight="1">
      <c r="F111" s="417"/>
      <c r="G111" s="417"/>
      <c r="H111" s="417"/>
      <c r="I111" s="417"/>
      <c r="J111" s="417"/>
      <c r="K111" s="417"/>
      <c r="L111" s="417"/>
      <c r="M111" s="417"/>
      <c r="N111" s="417"/>
      <c r="O111" s="417"/>
      <c r="P111" s="417"/>
      <c r="Q111" s="417"/>
      <c r="R111" s="417"/>
      <c r="S111" s="417"/>
      <c r="T111" s="417"/>
      <c r="U111" s="417"/>
      <c r="V111" s="417"/>
      <c r="W111" s="417"/>
      <c r="X111" s="417"/>
      <c r="Y111" s="417"/>
      <c r="Z111" s="417"/>
      <c r="AA111" s="417"/>
      <c r="AB111" s="417"/>
      <c r="AC111" s="417"/>
    </row>
    <row r="112" spans="6:29" ht="16.5" customHeight="1">
      <c r="F112" s="417"/>
      <c r="G112" s="417"/>
      <c r="H112" s="417"/>
      <c r="I112" s="417"/>
      <c r="J112" s="417"/>
      <c r="K112" s="417"/>
      <c r="L112" s="417"/>
      <c r="M112" s="417"/>
      <c r="N112" s="417"/>
      <c r="O112" s="417"/>
      <c r="P112" s="417"/>
      <c r="Q112" s="417"/>
      <c r="R112" s="417"/>
      <c r="S112" s="417"/>
      <c r="T112" s="417"/>
      <c r="U112" s="417"/>
      <c r="V112" s="417"/>
      <c r="W112" s="417"/>
      <c r="X112" s="417"/>
      <c r="Y112" s="417"/>
      <c r="Z112" s="417"/>
      <c r="AA112" s="417"/>
      <c r="AB112" s="417"/>
      <c r="AC112" s="417"/>
    </row>
    <row r="113" spans="6:29" ht="16.5" customHeight="1">
      <c r="F113" s="417"/>
      <c r="G113" s="417"/>
      <c r="H113" s="417"/>
      <c r="I113" s="417"/>
      <c r="J113" s="417"/>
      <c r="K113" s="417"/>
      <c r="L113" s="417"/>
      <c r="M113" s="417"/>
      <c r="N113" s="417"/>
      <c r="O113" s="417"/>
      <c r="P113" s="417"/>
      <c r="Q113" s="417"/>
      <c r="R113" s="417"/>
      <c r="S113" s="417"/>
      <c r="T113" s="417"/>
      <c r="U113" s="417"/>
      <c r="V113" s="417"/>
      <c r="W113" s="417"/>
      <c r="X113" s="417"/>
      <c r="Y113" s="417"/>
      <c r="Z113" s="417"/>
      <c r="AA113" s="417"/>
      <c r="AB113" s="417"/>
      <c r="AC113" s="417"/>
    </row>
    <row r="114" spans="6:29" ht="16.5" customHeight="1">
      <c r="F114" s="417"/>
      <c r="G114" s="417"/>
      <c r="H114" s="417"/>
      <c r="I114" s="417"/>
      <c r="J114" s="417"/>
      <c r="K114" s="417"/>
      <c r="L114" s="417"/>
      <c r="M114" s="417"/>
      <c r="N114" s="417"/>
      <c r="O114" s="417"/>
      <c r="P114" s="417"/>
      <c r="Q114" s="417"/>
      <c r="R114" s="417"/>
      <c r="S114" s="417"/>
      <c r="T114" s="417"/>
      <c r="U114" s="417"/>
      <c r="V114" s="417"/>
      <c r="W114" s="417"/>
      <c r="X114" s="417"/>
      <c r="Y114" s="417"/>
      <c r="Z114" s="417"/>
      <c r="AA114" s="417"/>
      <c r="AB114" s="417"/>
      <c r="AC114" s="417"/>
    </row>
    <row r="115" spans="6:29" ht="16.5" customHeight="1">
      <c r="F115" s="417"/>
      <c r="G115" s="417"/>
      <c r="H115" s="417"/>
      <c r="I115" s="417"/>
      <c r="J115" s="417"/>
      <c r="K115" s="417"/>
      <c r="L115" s="417"/>
      <c r="M115" s="417"/>
      <c r="N115" s="417"/>
      <c r="O115" s="417"/>
      <c r="P115" s="417"/>
      <c r="Q115" s="417"/>
      <c r="R115" s="417"/>
      <c r="S115" s="417"/>
      <c r="T115" s="417"/>
      <c r="U115" s="417"/>
      <c r="V115" s="417"/>
      <c r="W115" s="417"/>
      <c r="X115" s="417"/>
      <c r="Y115" s="417"/>
      <c r="Z115" s="417"/>
      <c r="AA115" s="417"/>
      <c r="AB115" s="417"/>
      <c r="AC115" s="417"/>
    </row>
    <row r="116" spans="6:29" ht="16.5" customHeight="1">
      <c r="F116" s="417"/>
      <c r="G116" s="417"/>
      <c r="H116" s="417"/>
      <c r="I116" s="417"/>
      <c r="J116" s="417"/>
      <c r="K116" s="417"/>
      <c r="L116" s="417"/>
      <c r="M116" s="417"/>
      <c r="N116" s="417"/>
      <c r="O116" s="417"/>
      <c r="P116" s="417"/>
      <c r="Q116" s="417"/>
      <c r="R116" s="417"/>
      <c r="S116" s="417"/>
      <c r="T116" s="417"/>
      <c r="U116" s="417"/>
      <c r="V116" s="417"/>
      <c r="W116" s="417"/>
      <c r="X116" s="417"/>
      <c r="Y116" s="417"/>
      <c r="Z116" s="417"/>
      <c r="AA116" s="417"/>
      <c r="AB116" s="417"/>
      <c r="AC116" s="417"/>
    </row>
    <row r="117" spans="6:29" ht="16.5" customHeight="1">
      <c r="F117" s="417"/>
      <c r="G117" s="417"/>
      <c r="H117" s="417"/>
      <c r="I117" s="417"/>
      <c r="J117" s="417"/>
      <c r="K117" s="417"/>
      <c r="L117" s="417"/>
      <c r="M117" s="417"/>
      <c r="N117" s="417"/>
      <c r="O117" s="417"/>
      <c r="P117" s="417"/>
      <c r="Q117" s="417"/>
      <c r="R117" s="417"/>
      <c r="S117" s="417"/>
      <c r="T117" s="417"/>
      <c r="U117" s="417"/>
      <c r="V117" s="417"/>
      <c r="W117" s="417"/>
      <c r="X117" s="417"/>
      <c r="Y117" s="417"/>
      <c r="Z117" s="417"/>
      <c r="AA117" s="417"/>
      <c r="AB117" s="417"/>
      <c r="AC117" s="417"/>
    </row>
    <row r="118" spans="6:29" ht="16.5" customHeight="1">
      <c r="F118" s="417"/>
      <c r="G118" s="417"/>
      <c r="H118" s="417"/>
      <c r="I118" s="417"/>
      <c r="J118" s="417"/>
      <c r="K118" s="417"/>
      <c r="L118" s="417"/>
      <c r="M118" s="417"/>
      <c r="N118" s="417"/>
      <c r="O118" s="417"/>
      <c r="P118" s="417"/>
      <c r="Q118" s="417"/>
      <c r="R118" s="417"/>
      <c r="S118" s="417"/>
      <c r="T118" s="417"/>
      <c r="U118" s="417"/>
      <c r="V118" s="417"/>
      <c r="W118" s="417"/>
      <c r="X118" s="417"/>
      <c r="Y118" s="417"/>
      <c r="Z118" s="417"/>
      <c r="AA118" s="417"/>
      <c r="AB118" s="417"/>
      <c r="AC118" s="417"/>
    </row>
    <row r="119" spans="6:29" ht="16.5" customHeight="1">
      <c r="F119" s="417"/>
      <c r="G119" s="417"/>
      <c r="H119" s="417"/>
      <c r="I119" s="417"/>
      <c r="J119" s="417"/>
      <c r="K119" s="417"/>
      <c r="L119" s="417"/>
      <c r="M119" s="417"/>
      <c r="N119" s="417"/>
      <c r="O119" s="417"/>
      <c r="P119" s="417"/>
      <c r="Q119" s="417"/>
      <c r="R119" s="417"/>
      <c r="S119" s="417"/>
      <c r="T119" s="417"/>
      <c r="U119" s="417"/>
      <c r="V119" s="417"/>
      <c r="W119" s="417"/>
      <c r="X119" s="417"/>
      <c r="Y119" s="417"/>
      <c r="Z119" s="417"/>
      <c r="AA119" s="417"/>
      <c r="AB119" s="417"/>
      <c r="AC119" s="417"/>
    </row>
    <row r="120" spans="6:29" ht="16.5" customHeight="1">
      <c r="F120" s="417"/>
      <c r="G120" s="417"/>
      <c r="H120" s="417"/>
      <c r="I120" s="417"/>
      <c r="J120" s="417"/>
      <c r="K120" s="417"/>
      <c r="L120" s="417"/>
      <c r="M120" s="417"/>
      <c r="N120" s="417"/>
      <c r="O120" s="417"/>
      <c r="P120" s="417"/>
      <c r="Q120" s="417"/>
      <c r="R120" s="417"/>
      <c r="S120" s="417"/>
      <c r="T120" s="417"/>
      <c r="U120" s="417"/>
      <c r="V120" s="417"/>
      <c r="W120" s="417"/>
      <c r="X120" s="417"/>
      <c r="Y120" s="417"/>
      <c r="Z120" s="417"/>
      <c r="AA120" s="417"/>
      <c r="AB120" s="417"/>
      <c r="AC120" s="417"/>
    </row>
    <row r="121" spans="6:29" ht="16.5" customHeight="1">
      <c r="F121" s="417"/>
      <c r="G121" s="417"/>
      <c r="H121" s="417"/>
      <c r="I121" s="417"/>
      <c r="J121" s="417"/>
      <c r="K121" s="417"/>
      <c r="L121" s="417"/>
      <c r="M121" s="417"/>
      <c r="N121" s="417"/>
      <c r="O121" s="417"/>
      <c r="P121" s="417"/>
      <c r="Q121" s="417"/>
      <c r="R121" s="417"/>
      <c r="S121" s="417"/>
      <c r="T121" s="417"/>
      <c r="U121" s="417"/>
      <c r="V121" s="417"/>
      <c r="W121" s="417"/>
      <c r="X121" s="417"/>
      <c r="Y121" s="417"/>
      <c r="Z121" s="417"/>
      <c r="AA121" s="417"/>
      <c r="AB121" s="417"/>
      <c r="AC121" s="417"/>
    </row>
    <row r="122" spans="6:29" ht="16.5" customHeight="1">
      <c r="F122" s="417"/>
      <c r="G122" s="417"/>
      <c r="H122" s="417"/>
      <c r="I122" s="417"/>
      <c r="J122" s="417"/>
      <c r="K122" s="417"/>
      <c r="L122" s="417"/>
      <c r="M122" s="417"/>
      <c r="N122" s="417"/>
      <c r="O122" s="417"/>
      <c r="P122" s="417"/>
      <c r="Q122" s="417"/>
      <c r="R122" s="417"/>
      <c r="S122" s="417"/>
      <c r="T122" s="417"/>
      <c r="U122" s="417"/>
      <c r="V122" s="417"/>
      <c r="W122" s="417"/>
      <c r="X122" s="417"/>
      <c r="Y122" s="417"/>
      <c r="Z122" s="417"/>
      <c r="AA122" s="417"/>
      <c r="AB122" s="417"/>
      <c r="AC122" s="417"/>
    </row>
    <row r="123" spans="6:29" ht="16.5" customHeight="1">
      <c r="F123" s="417"/>
      <c r="G123" s="417"/>
      <c r="H123" s="417"/>
      <c r="I123" s="417"/>
      <c r="J123" s="417"/>
      <c r="K123" s="417"/>
      <c r="L123" s="417"/>
      <c r="M123" s="417"/>
      <c r="N123" s="417"/>
      <c r="O123" s="417"/>
      <c r="P123" s="417"/>
      <c r="Q123" s="417"/>
      <c r="R123" s="417"/>
      <c r="S123" s="417"/>
      <c r="T123" s="417"/>
      <c r="U123" s="417"/>
      <c r="V123" s="417"/>
      <c r="W123" s="417"/>
      <c r="X123" s="417"/>
      <c r="Y123" s="417"/>
      <c r="Z123" s="417"/>
      <c r="AA123" s="417"/>
      <c r="AB123" s="417"/>
      <c r="AC123" s="417"/>
    </row>
    <row r="124" spans="6:29" ht="16.5" customHeight="1">
      <c r="F124" s="417"/>
      <c r="G124" s="417"/>
      <c r="H124" s="417"/>
      <c r="I124" s="417"/>
      <c r="J124" s="417"/>
      <c r="K124" s="417"/>
      <c r="L124" s="417"/>
      <c r="M124" s="417"/>
      <c r="N124" s="417"/>
      <c r="O124" s="417"/>
      <c r="P124" s="417"/>
      <c r="Q124" s="417"/>
      <c r="R124" s="417"/>
      <c r="S124" s="417"/>
      <c r="T124" s="417"/>
      <c r="U124" s="417"/>
      <c r="V124" s="417"/>
      <c r="W124" s="417"/>
      <c r="X124" s="417"/>
      <c r="Y124" s="417"/>
      <c r="Z124" s="417"/>
      <c r="AA124" s="417"/>
      <c r="AB124" s="417"/>
      <c r="AC124" s="417"/>
    </row>
    <row r="125" spans="6:29" ht="16.5" customHeight="1">
      <c r="F125" s="417"/>
      <c r="G125" s="417"/>
      <c r="H125" s="417"/>
      <c r="I125" s="417"/>
      <c r="J125" s="417"/>
      <c r="K125" s="417"/>
      <c r="L125" s="417"/>
      <c r="M125" s="417"/>
      <c r="N125" s="417"/>
      <c r="O125" s="417"/>
      <c r="P125" s="417"/>
      <c r="Q125" s="417"/>
      <c r="R125" s="417"/>
      <c r="S125" s="417"/>
      <c r="T125" s="417"/>
      <c r="U125" s="417"/>
      <c r="V125" s="417"/>
      <c r="W125" s="417"/>
      <c r="X125" s="417"/>
      <c r="Y125" s="417"/>
      <c r="Z125" s="417"/>
      <c r="AA125" s="417"/>
      <c r="AB125" s="417"/>
      <c r="AC125" s="417"/>
    </row>
    <row r="126" spans="6:29" ht="16.5" customHeight="1">
      <c r="F126" s="417"/>
      <c r="G126" s="417"/>
      <c r="H126" s="417"/>
      <c r="I126" s="417"/>
      <c r="J126" s="417"/>
      <c r="K126" s="417"/>
      <c r="L126" s="417"/>
      <c r="M126" s="417"/>
      <c r="N126" s="417"/>
      <c r="O126" s="417"/>
      <c r="P126" s="417"/>
      <c r="Q126" s="417"/>
      <c r="R126" s="417"/>
      <c r="S126" s="417"/>
      <c r="T126" s="417"/>
      <c r="U126" s="417"/>
      <c r="V126" s="417"/>
      <c r="W126" s="417"/>
      <c r="X126" s="417"/>
      <c r="Y126" s="417"/>
      <c r="Z126" s="417"/>
      <c r="AA126" s="417"/>
      <c r="AB126" s="417"/>
      <c r="AC126" s="417"/>
    </row>
    <row r="127" spans="6:29" ht="16.5" customHeight="1">
      <c r="F127" s="417"/>
      <c r="G127" s="417"/>
      <c r="H127" s="417"/>
      <c r="I127" s="417"/>
      <c r="J127" s="417"/>
      <c r="K127" s="417"/>
      <c r="L127" s="417"/>
      <c r="M127" s="417"/>
      <c r="N127" s="417"/>
      <c r="O127" s="417"/>
      <c r="P127" s="417"/>
      <c r="Q127" s="417"/>
      <c r="R127" s="417"/>
      <c r="S127" s="417"/>
      <c r="T127" s="417"/>
      <c r="U127" s="417"/>
      <c r="V127" s="417"/>
      <c r="W127" s="417"/>
      <c r="X127" s="417"/>
      <c r="Y127" s="417"/>
      <c r="Z127" s="417"/>
      <c r="AA127" s="417"/>
      <c r="AB127" s="417"/>
      <c r="AC127" s="417"/>
    </row>
    <row r="128" spans="6:29" ht="16.5" customHeight="1">
      <c r="F128" s="417"/>
      <c r="G128" s="417"/>
      <c r="H128" s="417"/>
      <c r="I128" s="417"/>
      <c r="J128" s="417"/>
      <c r="K128" s="417"/>
      <c r="L128" s="417"/>
      <c r="M128" s="417"/>
      <c r="N128" s="417"/>
      <c r="O128" s="417"/>
      <c r="P128" s="417"/>
      <c r="Q128" s="417"/>
      <c r="R128" s="417"/>
      <c r="S128" s="417"/>
      <c r="T128" s="417"/>
      <c r="U128" s="417"/>
      <c r="V128" s="417"/>
      <c r="W128" s="417"/>
      <c r="X128" s="417"/>
      <c r="Y128" s="417"/>
      <c r="Z128" s="417"/>
      <c r="AA128" s="417"/>
      <c r="AB128" s="417"/>
      <c r="AC128" s="417"/>
    </row>
    <row r="129" spans="6:29" ht="16.5" customHeight="1">
      <c r="F129" s="417"/>
      <c r="G129" s="417"/>
      <c r="H129" s="417"/>
      <c r="I129" s="417"/>
      <c r="J129" s="417"/>
      <c r="K129" s="417"/>
      <c r="L129" s="417"/>
      <c r="M129" s="417"/>
      <c r="N129" s="417"/>
      <c r="O129" s="417"/>
      <c r="P129" s="417"/>
      <c r="Q129" s="417"/>
      <c r="R129" s="417"/>
      <c r="S129" s="417"/>
      <c r="T129" s="417"/>
      <c r="U129" s="417"/>
      <c r="V129" s="417"/>
      <c r="W129" s="417"/>
      <c r="X129" s="417"/>
      <c r="Y129" s="417"/>
      <c r="Z129" s="417"/>
      <c r="AA129" s="417"/>
      <c r="AB129" s="417"/>
      <c r="AC129" s="417"/>
    </row>
    <row r="130" spans="6:29" ht="16.5" customHeight="1">
      <c r="F130" s="417"/>
      <c r="G130" s="417"/>
      <c r="H130" s="417"/>
      <c r="I130" s="417"/>
      <c r="J130" s="417"/>
      <c r="K130" s="417"/>
      <c r="L130" s="417"/>
      <c r="M130" s="417"/>
      <c r="N130" s="417"/>
      <c r="O130" s="417"/>
      <c r="P130" s="417"/>
      <c r="Q130" s="417"/>
      <c r="R130" s="417"/>
      <c r="S130" s="417"/>
      <c r="T130" s="417"/>
      <c r="U130" s="417"/>
      <c r="V130" s="417"/>
      <c r="W130" s="417"/>
      <c r="X130" s="417"/>
      <c r="Y130" s="417"/>
      <c r="Z130" s="417"/>
      <c r="AA130" s="417"/>
      <c r="AB130" s="417"/>
      <c r="AC130" s="417"/>
    </row>
    <row r="131" spans="6:29" ht="16.5" customHeight="1">
      <c r="F131" s="417"/>
      <c r="G131" s="417"/>
      <c r="H131" s="417"/>
      <c r="I131" s="417"/>
      <c r="J131" s="417"/>
      <c r="K131" s="417"/>
      <c r="L131" s="417"/>
      <c r="M131" s="417"/>
      <c r="N131" s="417"/>
      <c r="O131" s="417"/>
      <c r="P131" s="417"/>
      <c r="Q131" s="417"/>
      <c r="R131" s="417"/>
      <c r="S131" s="417"/>
      <c r="T131" s="417"/>
      <c r="U131" s="417"/>
      <c r="V131" s="417"/>
      <c r="W131" s="417"/>
      <c r="X131" s="417"/>
      <c r="Y131" s="417"/>
      <c r="Z131" s="417"/>
      <c r="AA131" s="417"/>
      <c r="AB131" s="417"/>
      <c r="AC131" s="417"/>
    </row>
    <row r="132" spans="6:29" ht="16.5" customHeight="1">
      <c r="F132" s="417"/>
      <c r="G132" s="417"/>
      <c r="H132" s="417"/>
      <c r="I132" s="417"/>
      <c r="J132" s="417"/>
      <c r="K132" s="417"/>
      <c r="L132" s="417"/>
      <c r="M132" s="417"/>
      <c r="N132" s="417"/>
      <c r="O132" s="417"/>
      <c r="P132" s="417"/>
      <c r="Q132" s="417"/>
      <c r="R132" s="417"/>
      <c r="S132" s="417"/>
      <c r="T132" s="417"/>
      <c r="U132" s="417"/>
      <c r="V132" s="417"/>
      <c r="W132" s="417"/>
      <c r="X132" s="417"/>
      <c r="Y132" s="417"/>
      <c r="Z132" s="417"/>
      <c r="AA132" s="417"/>
      <c r="AB132" s="417"/>
      <c r="AC132" s="417"/>
    </row>
    <row r="133" spans="6:29" ht="16.5" customHeight="1">
      <c r="F133" s="417"/>
      <c r="G133" s="417"/>
      <c r="H133" s="417"/>
      <c r="I133" s="417"/>
      <c r="J133" s="417"/>
      <c r="K133" s="417"/>
      <c r="L133" s="417"/>
      <c r="M133" s="417"/>
      <c r="N133" s="417"/>
      <c r="O133" s="417"/>
      <c r="P133" s="417"/>
      <c r="Q133" s="417"/>
      <c r="R133" s="417"/>
      <c r="S133" s="417"/>
      <c r="T133" s="417"/>
      <c r="U133" s="417"/>
      <c r="V133" s="417"/>
      <c r="W133" s="417"/>
      <c r="X133" s="417"/>
      <c r="Y133" s="417"/>
      <c r="Z133" s="417"/>
      <c r="AA133" s="417"/>
      <c r="AB133" s="417"/>
      <c r="AC133" s="417"/>
    </row>
    <row r="134" spans="6:29" ht="16.5" customHeight="1">
      <c r="F134" s="417"/>
      <c r="G134" s="417"/>
      <c r="H134" s="417"/>
      <c r="I134" s="417"/>
      <c r="J134" s="417"/>
      <c r="K134" s="417"/>
      <c r="L134" s="417"/>
      <c r="M134" s="417"/>
      <c r="N134" s="417"/>
      <c r="O134" s="417"/>
      <c r="P134" s="417"/>
      <c r="Q134" s="417"/>
      <c r="R134" s="417"/>
      <c r="S134" s="417"/>
      <c r="T134" s="417"/>
      <c r="U134" s="417"/>
      <c r="V134" s="417"/>
      <c r="W134" s="417"/>
      <c r="X134" s="417"/>
      <c r="Y134" s="417"/>
      <c r="Z134" s="417"/>
      <c r="AA134" s="417"/>
      <c r="AB134" s="417"/>
      <c r="AC134" s="417"/>
    </row>
    <row r="135" spans="6:29" ht="16.5" customHeight="1">
      <c r="F135" s="417"/>
      <c r="G135" s="417"/>
      <c r="H135" s="417"/>
      <c r="I135" s="417"/>
      <c r="J135" s="417"/>
      <c r="K135" s="417"/>
      <c r="L135" s="417"/>
      <c r="M135" s="417"/>
      <c r="N135" s="417"/>
      <c r="O135" s="417"/>
      <c r="P135" s="417"/>
      <c r="Q135" s="417"/>
      <c r="R135" s="417"/>
      <c r="S135" s="417"/>
      <c r="T135" s="417"/>
      <c r="U135" s="417"/>
      <c r="V135" s="417"/>
      <c r="W135" s="417"/>
      <c r="X135" s="417"/>
      <c r="Y135" s="417"/>
      <c r="Z135" s="417"/>
      <c r="AA135" s="417"/>
      <c r="AB135" s="417"/>
      <c r="AC135" s="417"/>
    </row>
    <row r="136" spans="6:29" ht="16.5" customHeight="1">
      <c r="F136" s="417"/>
      <c r="G136" s="417"/>
      <c r="H136" s="417"/>
      <c r="I136" s="417"/>
      <c r="J136" s="417"/>
      <c r="K136" s="417"/>
      <c r="L136" s="417"/>
      <c r="M136" s="417"/>
      <c r="N136" s="417"/>
      <c r="O136" s="417"/>
      <c r="P136" s="417"/>
      <c r="Q136" s="417"/>
      <c r="R136" s="417"/>
      <c r="S136" s="417"/>
      <c r="T136" s="417"/>
      <c r="U136" s="417"/>
      <c r="V136" s="417"/>
      <c r="W136" s="417"/>
      <c r="X136" s="417"/>
      <c r="Y136" s="417"/>
      <c r="Z136" s="417"/>
      <c r="AA136" s="417"/>
      <c r="AB136" s="417"/>
      <c r="AC136" s="417"/>
    </row>
    <row r="137" spans="6:29" ht="16.5" customHeight="1">
      <c r="F137" s="417"/>
      <c r="G137" s="417"/>
      <c r="H137" s="417"/>
      <c r="I137" s="417"/>
      <c r="J137" s="417"/>
      <c r="K137" s="417"/>
      <c r="L137" s="417"/>
      <c r="M137" s="417"/>
      <c r="N137" s="417"/>
      <c r="O137" s="417"/>
      <c r="P137" s="417"/>
      <c r="Q137" s="417"/>
      <c r="R137" s="417"/>
      <c r="S137" s="417"/>
      <c r="T137" s="417"/>
      <c r="U137" s="417"/>
      <c r="V137" s="417"/>
      <c r="W137" s="417"/>
      <c r="X137" s="417"/>
      <c r="Y137" s="417"/>
      <c r="Z137" s="417"/>
      <c r="AA137" s="417"/>
      <c r="AB137" s="417"/>
      <c r="AC137" s="417"/>
    </row>
    <row r="138" spans="6:29" ht="16.5" customHeight="1">
      <c r="F138" s="417"/>
      <c r="G138" s="417"/>
      <c r="H138" s="417"/>
      <c r="I138" s="417"/>
      <c r="J138" s="417"/>
      <c r="K138" s="417"/>
      <c r="L138" s="417"/>
      <c r="M138" s="417"/>
      <c r="N138" s="417"/>
      <c r="O138" s="417"/>
      <c r="P138" s="417"/>
      <c r="Q138" s="417"/>
      <c r="R138" s="417"/>
      <c r="S138" s="417"/>
      <c r="T138" s="417"/>
      <c r="U138" s="417"/>
      <c r="V138" s="417"/>
      <c r="W138" s="417"/>
      <c r="X138" s="417"/>
      <c r="Y138" s="417"/>
      <c r="Z138" s="417"/>
      <c r="AA138" s="417"/>
      <c r="AB138" s="417"/>
      <c r="AC138" s="417"/>
    </row>
    <row r="139" spans="6:29" ht="16.5" customHeight="1">
      <c r="F139" s="417"/>
      <c r="G139" s="417"/>
      <c r="H139" s="417"/>
      <c r="I139" s="417"/>
      <c r="J139" s="417"/>
      <c r="K139" s="417"/>
      <c r="L139" s="417"/>
      <c r="M139" s="417"/>
      <c r="N139" s="417"/>
      <c r="O139" s="417"/>
      <c r="P139" s="417"/>
      <c r="Q139" s="417"/>
      <c r="R139" s="417"/>
      <c r="S139" s="417"/>
      <c r="T139" s="417"/>
      <c r="U139" s="417"/>
      <c r="V139" s="417"/>
      <c r="W139" s="417"/>
      <c r="X139" s="417"/>
      <c r="Y139" s="417"/>
      <c r="Z139" s="417"/>
      <c r="AA139" s="417"/>
      <c r="AB139" s="417"/>
      <c r="AC139" s="417"/>
    </row>
    <row r="140" spans="6:29" ht="16.5" customHeight="1">
      <c r="F140" s="417"/>
      <c r="G140" s="417"/>
      <c r="H140" s="417"/>
      <c r="I140" s="417"/>
      <c r="J140" s="417"/>
      <c r="K140" s="417"/>
      <c r="L140" s="417"/>
      <c r="M140" s="417"/>
      <c r="N140" s="417"/>
      <c r="O140" s="417"/>
      <c r="P140" s="417"/>
      <c r="Q140" s="417"/>
      <c r="R140" s="417"/>
      <c r="S140" s="417"/>
      <c r="T140" s="417"/>
      <c r="U140" s="417"/>
      <c r="V140" s="417"/>
      <c r="W140" s="417"/>
      <c r="X140" s="417"/>
      <c r="Y140" s="417"/>
      <c r="Z140" s="417"/>
      <c r="AA140" s="417"/>
      <c r="AB140" s="417"/>
      <c r="AC140" s="417"/>
    </row>
    <row r="141" spans="6:29" ht="16.5" customHeight="1">
      <c r="F141" s="417"/>
      <c r="G141" s="417"/>
      <c r="H141" s="417"/>
      <c r="I141" s="417"/>
      <c r="J141" s="417"/>
      <c r="K141" s="417"/>
      <c r="L141" s="417"/>
      <c r="M141" s="417"/>
      <c r="N141" s="417"/>
      <c r="O141" s="417"/>
      <c r="P141" s="417"/>
      <c r="Q141" s="417"/>
      <c r="R141" s="417"/>
      <c r="S141" s="417"/>
      <c r="T141" s="417"/>
      <c r="U141" s="417"/>
      <c r="V141" s="417"/>
      <c r="W141" s="417"/>
      <c r="X141" s="417"/>
      <c r="Y141" s="417"/>
      <c r="Z141" s="417"/>
      <c r="AA141" s="417"/>
      <c r="AB141" s="417"/>
      <c r="AC141" s="417"/>
    </row>
    <row r="142" spans="6:29" ht="16.5" customHeight="1">
      <c r="F142" s="417"/>
      <c r="G142" s="417"/>
      <c r="H142" s="417"/>
      <c r="I142" s="417"/>
      <c r="J142" s="417"/>
      <c r="K142" s="417"/>
      <c r="L142" s="417"/>
      <c r="M142" s="417"/>
      <c r="N142" s="417"/>
      <c r="O142" s="417"/>
      <c r="P142" s="417"/>
      <c r="Q142" s="417"/>
      <c r="R142" s="417"/>
      <c r="S142" s="417"/>
      <c r="T142" s="417"/>
      <c r="U142" s="417"/>
      <c r="V142" s="417"/>
      <c r="W142" s="417"/>
      <c r="X142" s="417"/>
      <c r="Y142" s="417"/>
      <c r="Z142" s="417"/>
      <c r="AA142" s="417"/>
      <c r="AB142" s="417"/>
      <c r="AC142" s="417"/>
    </row>
    <row r="143" spans="6:29" ht="16.5" customHeight="1">
      <c r="F143" s="417"/>
      <c r="G143" s="417"/>
      <c r="H143" s="417"/>
      <c r="I143" s="417"/>
      <c r="J143" s="417"/>
      <c r="K143" s="417"/>
      <c r="L143" s="417"/>
      <c r="M143" s="417"/>
      <c r="N143" s="417"/>
      <c r="O143" s="417"/>
      <c r="P143" s="417"/>
      <c r="Q143" s="417"/>
      <c r="R143" s="417"/>
      <c r="S143" s="417"/>
      <c r="T143" s="417"/>
      <c r="U143" s="417"/>
      <c r="V143" s="417"/>
      <c r="W143" s="417"/>
      <c r="X143" s="417"/>
      <c r="Y143" s="417"/>
      <c r="Z143" s="417"/>
      <c r="AA143" s="417"/>
      <c r="AB143" s="417"/>
      <c r="AC143" s="417"/>
    </row>
    <row r="144" spans="6:29" ht="16.5" customHeight="1">
      <c r="F144" s="417"/>
      <c r="G144" s="417"/>
      <c r="H144" s="417"/>
      <c r="I144" s="417"/>
      <c r="J144" s="417"/>
      <c r="K144" s="417"/>
      <c r="L144" s="417"/>
      <c r="M144" s="417"/>
      <c r="N144" s="417"/>
      <c r="O144" s="417"/>
      <c r="P144" s="417"/>
      <c r="Q144" s="417"/>
      <c r="R144" s="417"/>
      <c r="S144" s="417"/>
      <c r="T144" s="417"/>
      <c r="U144" s="417"/>
      <c r="V144" s="417"/>
      <c r="W144" s="417"/>
      <c r="X144" s="417"/>
      <c r="Y144" s="417"/>
      <c r="Z144" s="417"/>
      <c r="AA144" s="417"/>
      <c r="AB144" s="417"/>
      <c r="AC144" s="417"/>
    </row>
    <row r="145" spans="6:29" ht="16.5" customHeight="1">
      <c r="F145" s="417"/>
      <c r="G145" s="417"/>
      <c r="H145" s="417"/>
      <c r="I145" s="417"/>
      <c r="J145" s="417"/>
      <c r="K145" s="417"/>
      <c r="L145" s="417"/>
      <c r="M145" s="417"/>
      <c r="N145" s="417"/>
      <c r="O145" s="417"/>
      <c r="P145" s="417"/>
      <c r="Q145" s="417"/>
      <c r="R145" s="417"/>
      <c r="S145" s="417"/>
      <c r="T145" s="417"/>
      <c r="U145" s="417"/>
      <c r="V145" s="417"/>
      <c r="W145" s="417"/>
      <c r="X145" s="417"/>
      <c r="Y145" s="417"/>
      <c r="Z145" s="417"/>
      <c r="AA145" s="417"/>
      <c r="AB145" s="417"/>
      <c r="AC145" s="417"/>
    </row>
    <row r="146" spans="6:29" ht="16.5" customHeight="1">
      <c r="F146" s="417"/>
      <c r="G146" s="417"/>
      <c r="H146" s="417"/>
      <c r="I146" s="417"/>
      <c r="J146" s="417"/>
      <c r="K146" s="417"/>
      <c r="L146" s="417"/>
      <c r="M146" s="417"/>
      <c r="N146" s="417"/>
      <c r="O146" s="417"/>
      <c r="P146" s="417"/>
      <c r="Q146" s="417"/>
      <c r="R146" s="417"/>
      <c r="S146" s="417"/>
      <c r="T146" s="417"/>
      <c r="U146" s="417"/>
      <c r="V146" s="417"/>
      <c r="W146" s="417"/>
      <c r="X146" s="417"/>
      <c r="Y146" s="417"/>
      <c r="Z146" s="417"/>
      <c r="AA146" s="417"/>
      <c r="AB146" s="417"/>
      <c r="AC146" s="417"/>
    </row>
    <row r="147" spans="6:29" ht="16.5" customHeight="1">
      <c r="F147" s="417"/>
      <c r="G147" s="417"/>
      <c r="H147" s="417"/>
      <c r="I147" s="417"/>
      <c r="J147" s="417"/>
      <c r="K147" s="417"/>
      <c r="L147" s="417"/>
      <c r="M147" s="417"/>
      <c r="N147" s="417"/>
      <c r="O147" s="417"/>
      <c r="P147" s="417"/>
      <c r="Q147" s="417"/>
      <c r="R147" s="417"/>
      <c r="S147" s="417"/>
      <c r="T147" s="417"/>
      <c r="U147" s="417"/>
      <c r="V147" s="417"/>
      <c r="W147" s="417"/>
      <c r="X147" s="417"/>
      <c r="Y147" s="417"/>
      <c r="Z147" s="417"/>
      <c r="AA147" s="417"/>
      <c r="AB147" s="417"/>
      <c r="AC147" s="417"/>
    </row>
    <row r="148" spans="6:29" ht="16.5" customHeight="1">
      <c r="F148" s="417"/>
      <c r="G148" s="417"/>
      <c r="H148" s="417"/>
      <c r="I148" s="417"/>
      <c r="J148" s="417"/>
      <c r="K148" s="417"/>
      <c r="L148" s="417"/>
      <c r="M148" s="417"/>
      <c r="N148" s="417"/>
      <c r="O148" s="417"/>
      <c r="P148" s="417"/>
      <c r="Q148" s="417"/>
      <c r="R148" s="417"/>
      <c r="S148" s="417"/>
      <c r="T148" s="417"/>
      <c r="U148" s="417"/>
      <c r="V148" s="417"/>
      <c r="W148" s="417"/>
      <c r="X148" s="417"/>
      <c r="Y148" s="417"/>
      <c r="Z148" s="417"/>
      <c r="AA148" s="417"/>
      <c r="AB148" s="417"/>
      <c r="AC148" s="417"/>
    </row>
    <row r="149" spans="6:29" ht="16.5" customHeight="1">
      <c r="F149" s="417"/>
      <c r="G149" s="417"/>
      <c r="H149" s="417"/>
      <c r="I149" s="417"/>
      <c r="J149" s="417"/>
      <c r="K149" s="417"/>
      <c r="L149" s="417"/>
      <c r="M149" s="417"/>
      <c r="N149" s="417"/>
      <c r="O149" s="417"/>
      <c r="P149" s="417"/>
      <c r="Q149" s="417"/>
      <c r="R149" s="417"/>
      <c r="S149" s="417"/>
      <c r="T149" s="417"/>
      <c r="U149" s="417"/>
      <c r="V149" s="417"/>
      <c r="W149" s="417"/>
      <c r="X149" s="417"/>
      <c r="Y149" s="417"/>
      <c r="Z149" s="417"/>
      <c r="AA149" s="417"/>
      <c r="AB149" s="417"/>
      <c r="AC149" s="417"/>
    </row>
    <row r="150" spans="6:29" ht="16.5" customHeight="1">
      <c r="F150" s="417"/>
      <c r="G150" s="417"/>
      <c r="H150" s="417"/>
      <c r="I150" s="417"/>
      <c r="J150" s="417"/>
      <c r="K150" s="417"/>
      <c r="L150" s="417"/>
      <c r="M150" s="417"/>
      <c r="N150" s="417"/>
      <c r="O150" s="417"/>
      <c r="P150" s="417"/>
      <c r="Q150" s="417"/>
      <c r="R150" s="417"/>
      <c r="S150" s="417"/>
      <c r="T150" s="417"/>
      <c r="U150" s="417"/>
      <c r="V150" s="417"/>
      <c r="W150" s="417"/>
      <c r="X150" s="417"/>
      <c r="Y150" s="417"/>
      <c r="Z150" s="417"/>
      <c r="AA150" s="417"/>
      <c r="AB150" s="417"/>
      <c r="AC150" s="417"/>
    </row>
    <row r="151" spans="6:29" ht="16.5" customHeight="1">
      <c r="F151" s="417"/>
      <c r="G151" s="417"/>
      <c r="H151" s="417"/>
      <c r="AB151" s="417"/>
      <c r="AC151" s="417"/>
    </row>
    <row r="152" spans="6:8" ht="16.5" customHeight="1">
      <c r="F152" s="417"/>
      <c r="G152" s="417"/>
      <c r="H152" s="417"/>
    </row>
    <row r="153" spans="6:8" ht="16.5" customHeight="1">
      <c r="F153" s="417"/>
      <c r="G153" s="417"/>
      <c r="H153" s="417"/>
    </row>
    <row r="154" spans="6:8" ht="16.5" customHeight="1">
      <c r="F154" s="417"/>
      <c r="G154" s="417"/>
      <c r="H154" s="417"/>
    </row>
    <row r="155" spans="6:8" ht="16.5" customHeight="1">
      <c r="F155" s="417"/>
      <c r="G155" s="417"/>
      <c r="H155" s="417"/>
    </row>
    <row r="156" spans="6:8" ht="16.5" customHeight="1">
      <c r="F156" s="417"/>
      <c r="G156" s="417"/>
      <c r="H156" s="417"/>
    </row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8" r:id="rId3"/>
  <headerFooter alignWithMargins="0">
    <oddFooter>&amp;L&amp;"Times New Roman,Normal"&amp;8&amp;F-&amp;A</oddFooter>
  </headerFooter>
  <drawing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6"/>
  <sheetViews>
    <sheetView zoomScale="60" zoomScaleNormal="60" zoomScalePageLayoutView="0" workbookViewId="0" topLeftCell="A1">
      <selection activeCell="N51" sqref="N51"/>
    </sheetView>
  </sheetViews>
  <sheetFormatPr defaultColWidth="11.421875" defaultRowHeight="12.75"/>
  <cols>
    <col min="1" max="1" width="7.00390625" style="865" customWidth="1"/>
    <col min="2" max="2" width="16.28125" style="865" customWidth="1"/>
    <col min="3" max="3" width="4.7109375" style="865" customWidth="1"/>
    <col min="4" max="4" width="36.140625" style="865" customWidth="1"/>
    <col min="5" max="5" width="20.7109375" style="865" customWidth="1"/>
    <col min="6" max="6" width="15.00390625" style="865" customWidth="1"/>
    <col min="7" max="7" width="13.8515625" style="865" customWidth="1"/>
    <col min="8" max="8" width="6.421875" style="865" hidden="1" customWidth="1"/>
    <col min="9" max="9" width="7.140625" style="865" hidden="1" customWidth="1"/>
    <col min="10" max="11" width="18.7109375" style="865" customWidth="1"/>
    <col min="12" max="13" width="10.7109375" style="865" customWidth="1"/>
    <col min="14" max="14" width="9.7109375" style="865" customWidth="1"/>
    <col min="15" max="15" width="10.57421875" style="865" customWidth="1"/>
    <col min="16" max="16" width="8.421875" style="865" customWidth="1"/>
    <col min="17" max="17" width="13.28125" style="865" customWidth="1"/>
    <col min="18" max="18" width="12.28125" style="865" hidden="1" customWidth="1"/>
    <col min="19" max="19" width="13.140625" style="865" hidden="1" customWidth="1"/>
    <col min="20" max="22" width="5.28125" style="865" hidden="1" customWidth="1"/>
    <col min="23" max="23" width="16.7109375" style="865" hidden="1" customWidth="1"/>
    <col min="24" max="25" width="12.28125" style="865" hidden="1" customWidth="1"/>
    <col min="26" max="27" width="5.28125" style="865" hidden="1" customWidth="1"/>
    <col min="28" max="28" width="10.8515625" style="865" customWidth="1"/>
    <col min="29" max="29" width="18.28125" style="865" customWidth="1"/>
    <col min="30" max="30" width="14.00390625" style="865" customWidth="1"/>
    <col min="31" max="31" width="4.140625" style="865" customWidth="1"/>
    <col min="32" max="32" width="7.140625" style="865" customWidth="1"/>
    <col min="33" max="33" width="5.28125" style="865" customWidth="1"/>
    <col min="34" max="34" width="5.421875" style="865" customWidth="1"/>
    <col min="35" max="35" width="4.7109375" style="865" customWidth="1"/>
    <col min="36" max="36" width="5.28125" style="865" customWidth="1"/>
    <col min="37" max="38" width="13.28125" style="865" customWidth="1"/>
    <col min="39" max="39" width="6.57421875" style="865" customWidth="1"/>
    <col min="40" max="40" width="6.421875" style="865" customWidth="1"/>
    <col min="41" max="44" width="11.421875" style="865" customWidth="1"/>
    <col min="45" max="45" width="12.7109375" style="865" customWidth="1"/>
    <col min="46" max="48" width="11.421875" style="865" customWidth="1"/>
    <col min="49" max="49" width="21.00390625" style="865" customWidth="1"/>
    <col min="50" max="16384" width="11.421875" style="865" customWidth="1"/>
  </cols>
  <sheetData>
    <row r="1" spans="1:30" ht="13.5">
      <c r="A1" s="889"/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804"/>
      <c r="N1" s="804"/>
      <c r="O1" s="804"/>
      <c r="P1" s="804"/>
      <c r="Q1" s="804"/>
      <c r="R1" s="804"/>
      <c r="S1" s="804"/>
      <c r="T1" s="804"/>
      <c r="U1" s="804"/>
      <c r="V1" s="804"/>
      <c r="AD1" s="890"/>
    </row>
    <row r="2" spans="1:23" ht="27" customHeight="1">
      <c r="A2" s="889"/>
      <c r="B2" s="804"/>
      <c r="C2" s="804"/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</row>
    <row r="3" spans="1:30" s="894" customFormat="1" ht="30.75">
      <c r="A3" s="891"/>
      <c r="B3" s="892" t="str">
        <f>'TOT-0912'!B2</f>
        <v>ANEXO IV al Memorándum  D.T.E.E.  N° 295 / 2014</v>
      </c>
      <c r="C3" s="893"/>
      <c r="D3" s="893"/>
      <c r="E3" s="893"/>
      <c r="F3" s="893"/>
      <c r="G3" s="893"/>
      <c r="H3" s="893"/>
      <c r="I3" s="893"/>
      <c r="J3" s="893"/>
      <c r="K3" s="893"/>
      <c r="L3" s="893"/>
      <c r="M3" s="893"/>
      <c r="N3" s="893"/>
      <c r="O3" s="893"/>
      <c r="P3" s="893"/>
      <c r="Q3" s="893"/>
      <c r="R3" s="893"/>
      <c r="S3" s="893"/>
      <c r="T3" s="893"/>
      <c r="U3" s="893"/>
      <c r="V3" s="893"/>
      <c r="W3" s="893"/>
      <c r="AB3" s="893"/>
      <c r="AC3" s="893"/>
      <c r="AD3" s="893"/>
    </row>
    <row r="4" spans="1:2" s="812" customFormat="1" ht="11.25">
      <c r="A4" s="810" t="s">
        <v>2</v>
      </c>
      <c r="B4" s="810"/>
    </row>
    <row r="5" spans="1:2" s="812" customFormat="1" ht="11.25">
      <c r="A5" s="810" t="s">
        <v>3</v>
      </c>
      <c r="B5" s="810"/>
    </row>
    <row r="6" s="812" customFormat="1" ht="12" thickBot="1">
      <c r="A6" s="810"/>
    </row>
    <row r="7" spans="1:30" ht="16.5" customHeight="1" thickTop="1">
      <c r="A7" s="804"/>
      <c r="B7" s="895"/>
      <c r="C7" s="896"/>
      <c r="D7" s="896"/>
      <c r="E7" s="897"/>
      <c r="F7" s="896"/>
      <c r="G7" s="896"/>
      <c r="H7" s="896"/>
      <c r="I7" s="896"/>
      <c r="J7" s="896"/>
      <c r="K7" s="896"/>
      <c r="L7" s="896"/>
      <c r="M7" s="896"/>
      <c r="N7" s="896"/>
      <c r="O7" s="896"/>
      <c r="P7" s="896"/>
      <c r="Q7" s="896"/>
      <c r="R7" s="896"/>
      <c r="S7" s="896"/>
      <c r="T7" s="896"/>
      <c r="U7" s="896"/>
      <c r="V7" s="896"/>
      <c r="W7" s="898"/>
      <c r="X7" s="898"/>
      <c r="Y7" s="898"/>
      <c r="Z7" s="898"/>
      <c r="AA7" s="898"/>
      <c r="AB7" s="898"/>
      <c r="AC7" s="898"/>
      <c r="AD7" s="899"/>
    </row>
    <row r="8" spans="1:30" ht="20.25">
      <c r="A8" s="804"/>
      <c r="B8" s="900"/>
      <c r="C8" s="871"/>
      <c r="D8" s="901" t="s">
        <v>398</v>
      </c>
      <c r="E8" s="871"/>
      <c r="F8" s="871"/>
      <c r="G8" s="871"/>
      <c r="H8" s="871"/>
      <c r="I8" s="871"/>
      <c r="J8" s="871"/>
      <c r="K8" s="871"/>
      <c r="L8" s="871"/>
      <c r="M8" s="871"/>
      <c r="N8" s="871"/>
      <c r="O8" s="871"/>
      <c r="P8" s="902"/>
      <c r="Q8" s="902"/>
      <c r="R8" s="871"/>
      <c r="S8" s="871"/>
      <c r="T8" s="871"/>
      <c r="U8" s="871"/>
      <c r="V8" s="871"/>
      <c r="AD8" s="903"/>
    </row>
    <row r="9" spans="1:30" ht="16.5" customHeight="1">
      <c r="A9" s="804"/>
      <c r="B9" s="900"/>
      <c r="C9" s="871"/>
      <c r="D9" s="871"/>
      <c r="E9" s="871"/>
      <c r="F9" s="871"/>
      <c r="G9" s="871"/>
      <c r="H9" s="871"/>
      <c r="I9" s="871"/>
      <c r="J9" s="871"/>
      <c r="K9" s="871"/>
      <c r="L9" s="871"/>
      <c r="M9" s="871"/>
      <c r="N9" s="871"/>
      <c r="O9" s="871"/>
      <c r="P9" s="871"/>
      <c r="Q9" s="871"/>
      <c r="R9" s="871"/>
      <c r="S9" s="871"/>
      <c r="T9" s="871"/>
      <c r="U9" s="871"/>
      <c r="V9" s="871"/>
      <c r="AD9" s="903"/>
    </row>
    <row r="10" spans="2:30" s="904" customFormat="1" ht="20.25">
      <c r="B10" s="905"/>
      <c r="C10" s="906"/>
      <c r="D10" s="901" t="s">
        <v>399</v>
      </c>
      <c r="E10" s="906"/>
      <c r="F10" s="906"/>
      <c r="G10" s="906"/>
      <c r="H10" s="906"/>
      <c r="N10" s="906"/>
      <c r="O10" s="906"/>
      <c r="P10" s="907"/>
      <c r="Q10" s="907"/>
      <c r="R10" s="906"/>
      <c r="S10" s="906"/>
      <c r="T10" s="906"/>
      <c r="U10" s="906"/>
      <c r="V10" s="906"/>
      <c r="W10" s="865"/>
      <c r="X10" s="906"/>
      <c r="Y10" s="906"/>
      <c r="Z10" s="906"/>
      <c r="AA10" s="906"/>
      <c r="AB10" s="906"/>
      <c r="AC10" s="865"/>
      <c r="AD10" s="908"/>
    </row>
    <row r="11" spans="1:30" ht="16.5" customHeight="1">
      <c r="A11" s="804"/>
      <c r="B11" s="900"/>
      <c r="C11" s="871"/>
      <c r="D11" s="871"/>
      <c r="E11" s="871"/>
      <c r="F11" s="871"/>
      <c r="G11" s="871"/>
      <c r="H11" s="871"/>
      <c r="I11" s="871"/>
      <c r="J11" s="871"/>
      <c r="K11" s="871"/>
      <c r="L11" s="871"/>
      <c r="M11" s="871"/>
      <c r="N11" s="871"/>
      <c r="O11" s="871"/>
      <c r="P11" s="871"/>
      <c r="Q11" s="871"/>
      <c r="R11" s="871"/>
      <c r="S11" s="871"/>
      <c r="T11" s="871"/>
      <c r="U11" s="871"/>
      <c r="V11" s="871"/>
      <c r="AD11" s="903"/>
    </row>
    <row r="12" spans="2:30" s="904" customFormat="1" ht="20.25">
      <c r="B12" s="905"/>
      <c r="C12" s="906"/>
      <c r="D12" s="901" t="s">
        <v>400</v>
      </c>
      <c r="E12" s="906"/>
      <c r="F12" s="906"/>
      <c r="G12" s="906"/>
      <c r="H12" s="906"/>
      <c r="N12" s="906"/>
      <c r="O12" s="906"/>
      <c r="P12" s="907"/>
      <c r="Q12" s="907"/>
      <c r="R12" s="906"/>
      <c r="S12" s="906"/>
      <c r="T12" s="906"/>
      <c r="U12" s="906"/>
      <c r="V12" s="906"/>
      <c r="W12" s="865"/>
      <c r="X12" s="906"/>
      <c r="Y12" s="906"/>
      <c r="Z12" s="906"/>
      <c r="AA12" s="906"/>
      <c r="AB12" s="906"/>
      <c r="AC12" s="865"/>
      <c r="AD12" s="908"/>
    </row>
    <row r="13" spans="1:30" ht="16.5" customHeight="1">
      <c r="A13" s="804"/>
      <c r="B13" s="900"/>
      <c r="C13" s="871"/>
      <c r="D13" s="871"/>
      <c r="E13" s="804"/>
      <c r="F13" s="804"/>
      <c r="G13" s="804"/>
      <c r="H13" s="804"/>
      <c r="I13" s="909"/>
      <c r="J13" s="909"/>
      <c r="K13" s="909"/>
      <c r="L13" s="909"/>
      <c r="M13" s="909"/>
      <c r="N13" s="909"/>
      <c r="O13" s="909"/>
      <c r="P13" s="909"/>
      <c r="Q13" s="909"/>
      <c r="R13" s="871"/>
      <c r="S13" s="871"/>
      <c r="T13" s="871"/>
      <c r="U13" s="871"/>
      <c r="V13" s="871"/>
      <c r="AD13" s="903"/>
    </row>
    <row r="14" spans="2:30" s="904" customFormat="1" ht="19.5">
      <c r="B14" s="827" t="str">
        <f>'TOT-0912'!B14</f>
        <v>Desde el 01 al 30 de septiembre de 2012</v>
      </c>
      <c r="C14" s="910"/>
      <c r="D14" s="911"/>
      <c r="E14" s="911"/>
      <c r="F14" s="911"/>
      <c r="G14" s="911"/>
      <c r="H14" s="911"/>
      <c r="I14" s="912"/>
      <c r="J14" s="913"/>
      <c r="K14" s="912"/>
      <c r="L14" s="912"/>
      <c r="M14" s="912"/>
      <c r="N14" s="912"/>
      <c r="O14" s="912"/>
      <c r="P14" s="912"/>
      <c r="Q14" s="912"/>
      <c r="R14" s="912"/>
      <c r="S14" s="912"/>
      <c r="T14" s="912"/>
      <c r="U14" s="914"/>
      <c r="V14" s="914"/>
      <c r="W14" s="865"/>
      <c r="X14" s="915"/>
      <c r="Y14" s="915"/>
      <c r="Z14" s="915"/>
      <c r="AA14" s="915"/>
      <c r="AB14" s="914"/>
      <c r="AC14" s="913"/>
      <c r="AD14" s="916"/>
    </row>
    <row r="15" spans="1:30" ht="16.5" customHeight="1">
      <c r="A15" s="804"/>
      <c r="B15" s="900"/>
      <c r="C15" s="871"/>
      <c r="D15" s="871"/>
      <c r="E15" s="872"/>
      <c r="F15" s="872"/>
      <c r="G15" s="871"/>
      <c r="H15" s="871"/>
      <c r="I15" s="871"/>
      <c r="J15" s="917"/>
      <c r="K15" s="871"/>
      <c r="L15" s="871"/>
      <c r="M15" s="871"/>
      <c r="N15" s="804"/>
      <c r="O15" s="804"/>
      <c r="P15" s="871"/>
      <c r="Q15" s="871"/>
      <c r="R15" s="871"/>
      <c r="S15" s="871"/>
      <c r="T15" s="871"/>
      <c r="U15" s="871"/>
      <c r="V15" s="871"/>
      <c r="AD15" s="903"/>
    </row>
    <row r="16" spans="1:30" ht="16.5" customHeight="1">
      <c r="A16" s="804"/>
      <c r="B16" s="900"/>
      <c r="C16" s="871"/>
      <c r="D16" s="871"/>
      <c r="E16" s="872"/>
      <c r="F16" s="872"/>
      <c r="G16" s="871"/>
      <c r="H16" s="871"/>
      <c r="I16" s="918"/>
      <c r="J16" s="871"/>
      <c r="K16" s="919"/>
      <c r="M16" s="871"/>
      <c r="N16" s="804"/>
      <c r="O16" s="804"/>
      <c r="P16" s="871"/>
      <c r="Q16" s="871"/>
      <c r="R16" s="871"/>
      <c r="S16" s="871"/>
      <c r="T16" s="871"/>
      <c r="U16" s="871"/>
      <c r="V16" s="871"/>
      <c r="AD16" s="903"/>
    </row>
    <row r="17" spans="1:30" ht="16.5" customHeight="1">
      <c r="A17" s="804"/>
      <c r="B17" s="900"/>
      <c r="C17" s="871"/>
      <c r="D17" s="871"/>
      <c r="E17" s="872"/>
      <c r="F17" s="872"/>
      <c r="G17" s="871"/>
      <c r="H17" s="871"/>
      <c r="I17" s="918"/>
      <c r="J17" s="871"/>
      <c r="K17" s="919"/>
      <c r="M17" s="871"/>
      <c r="N17" s="804"/>
      <c r="O17" s="804"/>
      <c r="P17" s="871"/>
      <c r="Q17" s="871"/>
      <c r="R17" s="871"/>
      <c r="S17" s="871"/>
      <c r="T17" s="871"/>
      <c r="U17" s="871"/>
      <c r="V17" s="871"/>
      <c r="AD17" s="903"/>
    </row>
    <row r="18" spans="1:30" ht="16.5" customHeight="1">
      <c r="A18" s="804"/>
      <c r="B18" s="900"/>
      <c r="C18" s="920" t="s">
        <v>401</v>
      </c>
      <c r="D18" s="921" t="s">
        <v>402</v>
      </c>
      <c r="E18" s="872"/>
      <c r="F18" s="872"/>
      <c r="G18" s="871"/>
      <c r="H18" s="871"/>
      <c r="I18" s="871"/>
      <c r="J18" s="917"/>
      <c r="K18" s="871"/>
      <c r="L18" s="871"/>
      <c r="M18" s="871"/>
      <c r="N18" s="804"/>
      <c r="O18" s="804"/>
      <c r="P18" s="871"/>
      <c r="Q18" s="871"/>
      <c r="R18" s="871"/>
      <c r="S18" s="871"/>
      <c r="T18" s="871"/>
      <c r="U18" s="871"/>
      <c r="V18" s="871"/>
      <c r="AD18" s="903"/>
    </row>
    <row r="19" spans="2:30" s="819" customFormat="1" ht="16.5" customHeight="1">
      <c r="B19" s="830"/>
      <c r="C19" s="831"/>
      <c r="D19" s="922"/>
      <c r="E19" s="923"/>
      <c r="F19" s="924"/>
      <c r="G19" s="831"/>
      <c r="H19" s="831"/>
      <c r="I19" s="831"/>
      <c r="J19" s="925"/>
      <c r="K19" s="831"/>
      <c r="L19" s="831"/>
      <c r="M19" s="831"/>
      <c r="P19" s="831"/>
      <c r="Q19" s="831"/>
      <c r="R19" s="831"/>
      <c r="S19" s="831"/>
      <c r="T19" s="831"/>
      <c r="U19" s="831"/>
      <c r="V19" s="831"/>
      <c r="W19" s="865"/>
      <c r="AD19" s="926"/>
    </row>
    <row r="20" spans="2:30" s="819" customFormat="1" ht="16.5" customHeight="1">
      <c r="B20" s="830"/>
      <c r="C20" s="831"/>
      <c r="D20" s="927" t="s">
        <v>403</v>
      </c>
      <c r="F20" s="928">
        <v>253.422</v>
      </c>
      <c r="G20" s="927" t="s">
        <v>404</v>
      </c>
      <c r="H20" s="831"/>
      <c r="I20" s="831"/>
      <c r="J20" s="929"/>
      <c r="K20" s="930" t="s">
        <v>405</v>
      </c>
      <c r="L20" s="931">
        <v>0.025</v>
      </c>
      <c r="R20" s="831"/>
      <c r="S20" s="831"/>
      <c r="T20" s="831"/>
      <c r="U20" s="831"/>
      <c r="V20" s="831"/>
      <c r="W20" s="865"/>
      <c r="AD20" s="926"/>
    </row>
    <row r="21" spans="2:30" s="819" customFormat="1" ht="16.5" customHeight="1">
      <c r="B21" s="830"/>
      <c r="C21" s="831"/>
      <c r="D21" s="927" t="s">
        <v>406</v>
      </c>
      <c r="E21" s="932"/>
      <c r="F21" s="933">
        <v>0.697</v>
      </c>
      <c r="G21" s="934" t="s">
        <v>407</v>
      </c>
      <c r="H21" s="831"/>
      <c r="I21" s="831"/>
      <c r="J21" s="831"/>
      <c r="K21" s="922" t="s">
        <v>408</v>
      </c>
      <c r="L21" s="831">
        <f>MID(B14,16,2)*24</f>
        <v>720</v>
      </c>
      <c r="M21" s="831" t="s">
        <v>409</v>
      </c>
      <c r="N21" s="831"/>
      <c r="O21" s="935"/>
      <c r="P21" s="936"/>
      <c r="Q21" s="871"/>
      <c r="R21" s="831"/>
      <c r="S21" s="831"/>
      <c r="T21" s="831"/>
      <c r="U21" s="831"/>
      <c r="V21" s="831"/>
      <c r="W21" s="865"/>
      <c r="AD21" s="926"/>
    </row>
    <row r="22" spans="2:30" s="819" customFormat="1" ht="16.5" customHeight="1">
      <c r="B22" s="830"/>
      <c r="C22" s="831"/>
      <c r="D22" s="927" t="s">
        <v>410</v>
      </c>
      <c r="E22" s="932"/>
      <c r="F22" s="937">
        <v>20</v>
      </c>
      <c r="G22" s="934"/>
      <c r="H22" s="831"/>
      <c r="I22" s="831"/>
      <c r="J22" s="831"/>
      <c r="K22" s="922"/>
      <c r="L22" s="831"/>
      <c r="M22" s="831"/>
      <c r="N22" s="831"/>
      <c r="O22" s="935"/>
      <c r="P22" s="936"/>
      <c r="Q22" s="871"/>
      <c r="R22" s="831"/>
      <c r="S22" s="831"/>
      <c r="T22" s="831"/>
      <c r="U22" s="831"/>
      <c r="V22" s="831"/>
      <c r="W22" s="865"/>
      <c r="AD22" s="926"/>
    </row>
    <row r="23" spans="2:30" s="819" customFormat="1" ht="16.5" customHeight="1">
      <c r="B23" s="830"/>
      <c r="C23" s="831"/>
      <c r="D23" s="831"/>
      <c r="E23" s="938"/>
      <c r="F23" s="831"/>
      <c r="G23" s="831"/>
      <c r="H23" s="831"/>
      <c r="I23" s="831"/>
      <c r="J23" s="831"/>
      <c r="K23" s="831"/>
      <c r="L23" s="831"/>
      <c r="M23" s="831"/>
      <c r="N23" s="831"/>
      <c r="O23" s="831"/>
      <c r="P23" s="831"/>
      <c r="Q23" s="831"/>
      <c r="R23" s="831"/>
      <c r="S23" s="831"/>
      <c r="T23" s="831"/>
      <c r="U23" s="831"/>
      <c r="V23" s="831"/>
      <c r="W23" s="865"/>
      <c r="AD23" s="926"/>
    </row>
    <row r="24" spans="1:30" ht="16.5" customHeight="1">
      <c r="A24" s="804"/>
      <c r="B24" s="900"/>
      <c r="C24" s="920" t="s">
        <v>411</v>
      </c>
      <c r="D24" s="939" t="s">
        <v>469</v>
      </c>
      <c r="I24" s="871"/>
      <c r="J24" s="819"/>
      <c r="O24" s="871"/>
      <c r="P24" s="871"/>
      <c r="Q24" s="871"/>
      <c r="R24" s="871"/>
      <c r="S24" s="871"/>
      <c r="T24" s="871"/>
      <c r="V24" s="871"/>
      <c r="X24" s="871"/>
      <c r="Y24" s="871"/>
      <c r="Z24" s="871"/>
      <c r="AA24" s="871"/>
      <c r="AB24" s="871"/>
      <c r="AC24" s="871"/>
      <c r="AD24" s="903"/>
    </row>
    <row r="25" spans="1:30" ht="10.5" customHeight="1" thickBot="1">
      <c r="A25" s="804"/>
      <c r="B25" s="900"/>
      <c r="C25" s="872"/>
      <c r="D25" s="939"/>
      <c r="I25" s="871"/>
      <c r="J25" s="819"/>
      <c r="O25" s="871"/>
      <c r="P25" s="871"/>
      <c r="Q25" s="871"/>
      <c r="R25" s="871"/>
      <c r="S25" s="871"/>
      <c r="T25" s="871"/>
      <c r="V25" s="871"/>
      <c r="X25" s="871"/>
      <c r="Y25" s="871"/>
      <c r="Z25" s="871"/>
      <c r="AA25" s="871"/>
      <c r="AB25" s="871"/>
      <c r="AC25" s="871"/>
      <c r="AD25" s="903"/>
    </row>
    <row r="26" spans="2:30" s="819" customFormat="1" ht="21" customHeight="1" thickBot="1" thickTop="1">
      <c r="B26" s="830"/>
      <c r="C26" s="924"/>
      <c r="D26" s="865"/>
      <c r="E26" s="865"/>
      <c r="F26" s="865"/>
      <c r="G26" s="865"/>
      <c r="H26" s="865"/>
      <c r="I26" s="865"/>
      <c r="J26" s="940" t="s">
        <v>412</v>
      </c>
      <c r="K26" s="941">
        <f>AC68*L20</f>
        <v>28656.268716</v>
      </c>
      <c r="L26" s="865"/>
      <c r="S26" s="865"/>
      <c r="T26" s="865"/>
      <c r="U26" s="865"/>
      <c r="W26" s="865"/>
      <c r="AD26" s="926"/>
    </row>
    <row r="27" spans="2:30" s="819" customFormat="1" ht="11.25" customHeight="1" thickTop="1">
      <c r="B27" s="830"/>
      <c r="C27" s="924"/>
      <c r="D27" s="831"/>
      <c r="E27" s="938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65"/>
      <c r="W27" s="865"/>
      <c r="AD27" s="926"/>
    </row>
    <row r="28" spans="1:30" ht="16.5" customHeight="1">
      <c r="A28" s="804"/>
      <c r="B28" s="900"/>
      <c r="C28" s="920" t="s">
        <v>413</v>
      </c>
      <c r="D28" s="939" t="s">
        <v>470</v>
      </c>
      <c r="E28" s="942"/>
      <c r="F28" s="871"/>
      <c r="G28" s="871"/>
      <c r="H28" s="871"/>
      <c r="I28" s="871"/>
      <c r="J28" s="871"/>
      <c r="K28" s="871"/>
      <c r="L28" s="871"/>
      <c r="M28" s="871"/>
      <c r="N28" s="871"/>
      <c r="O28" s="871"/>
      <c r="P28" s="871"/>
      <c r="Q28" s="871"/>
      <c r="R28" s="871"/>
      <c r="S28" s="871"/>
      <c r="T28" s="871"/>
      <c r="U28" s="871"/>
      <c r="V28" s="871"/>
      <c r="AD28" s="903"/>
    </row>
    <row r="29" spans="1:30" ht="21.75" customHeight="1" thickBot="1">
      <c r="A29" s="804"/>
      <c r="B29" s="900"/>
      <c r="C29" s="871"/>
      <c r="D29" s="871"/>
      <c r="E29" s="942"/>
      <c r="F29" s="871"/>
      <c r="G29" s="871"/>
      <c r="H29" s="871"/>
      <c r="I29" s="871"/>
      <c r="J29" s="871"/>
      <c r="K29" s="871"/>
      <c r="L29" s="871"/>
      <c r="M29" s="871"/>
      <c r="N29" s="871"/>
      <c r="O29" s="871"/>
      <c r="P29" s="871"/>
      <c r="Q29" s="871"/>
      <c r="R29" s="871"/>
      <c r="S29" s="871"/>
      <c r="T29" s="871"/>
      <c r="U29" s="871"/>
      <c r="V29" s="871"/>
      <c r="AD29" s="903"/>
    </row>
    <row r="30" spans="2:31" s="804" customFormat="1" ht="33.75" customHeight="1" thickBot="1" thickTop="1">
      <c r="B30" s="900"/>
      <c r="C30" s="835" t="s">
        <v>28</v>
      </c>
      <c r="D30" s="943" t="s">
        <v>5</v>
      </c>
      <c r="E30" s="944" t="s">
        <v>31</v>
      </c>
      <c r="F30" s="945" t="s">
        <v>32</v>
      </c>
      <c r="G30" s="946" t="s">
        <v>33</v>
      </c>
      <c r="H30" s="947" t="s">
        <v>34</v>
      </c>
      <c r="I30" s="948" t="s">
        <v>35</v>
      </c>
      <c r="J30" s="949" t="s">
        <v>36</v>
      </c>
      <c r="K30" s="950" t="s">
        <v>37</v>
      </c>
      <c r="L30" s="951" t="s">
        <v>38</v>
      </c>
      <c r="M30" s="952" t="s">
        <v>39</v>
      </c>
      <c r="N30" s="951" t="s">
        <v>414</v>
      </c>
      <c r="O30" s="951" t="s">
        <v>40</v>
      </c>
      <c r="P30" s="950" t="s">
        <v>41</v>
      </c>
      <c r="Q30" s="949" t="s">
        <v>42</v>
      </c>
      <c r="R30" s="953" t="s">
        <v>43</v>
      </c>
      <c r="S30" s="954" t="s">
        <v>44</v>
      </c>
      <c r="T30" s="955" t="s">
        <v>415</v>
      </c>
      <c r="U30" s="956"/>
      <c r="V30" s="957"/>
      <c r="W30" s="958" t="s">
        <v>416</v>
      </c>
      <c r="X30" s="959"/>
      <c r="Y30" s="960"/>
      <c r="Z30" s="961" t="s">
        <v>47</v>
      </c>
      <c r="AA30" s="962" t="s">
        <v>417</v>
      </c>
      <c r="AB30" s="963" t="s">
        <v>49</v>
      </c>
      <c r="AC30" s="964" t="s">
        <v>50</v>
      </c>
      <c r="AD30" s="965"/>
      <c r="AE30" s="865"/>
    </row>
    <row r="31" spans="1:30" ht="16.5" customHeight="1" thickTop="1">
      <c r="A31" s="804"/>
      <c r="B31" s="900"/>
      <c r="C31" s="966"/>
      <c r="D31" s="967"/>
      <c r="E31" s="968"/>
      <c r="F31" s="969"/>
      <c r="G31" s="970"/>
      <c r="H31" s="971"/>
      <c r="I31" s="972"/>
      <c r="J31" s="973"/>
      <c r="K31" s="974"/>
      <c r="L31" s="966"/>
      <c r="M31" s="966"/>
      <c r="N31" s="975"/>
      <c r="O31" s="975"/>
      <c r="P31" s="966"/>
      <c r="Q31" s="976"/>
      <c r="R31" s="977"/>
      <c r="S31" s="978"/>
      <c r="T31" s="979"/>
      <c r="U31" s="980"/>
      <c r="V31" s="981"/>
      <c r="W31" s="982"/>
      <c r="X31" s="983"/>
      <c r="Y31" s="984"/>
      <c r="Z31" s="985"/>
      <c r="AA31" s="986"/>
      <c r="AB31" s="987"/>
      <c r="AC31" s="988"/>
      <c r="AD31" s="903"/>
    </row>
    <row r="32" spans="1:30" ht="16.5" customHeight="1">
      <c r="A32" s="804"/>
      <c r="B32" s="900"/>
      <c r="C32" s="989" t="s">
        <v>418</v>
      </c>
      <c r="D32" s="194" t="s">
        <v>266</v>
      </c>
      <c r="E32" s="195">
        <v>500</v>
      </c>
      <c r="F32" s="196">
        <v>40</v>
      </c>
      <c r="G32" s="990" t="s">
        <v>258</v>
      </c>
      <c r="H32" s="991">
        <f>IF(G32="A",200,IF(G32="B",60,20))</f>
        <v>20</v>
      </c>
      <c r="I32" s="992">
        <f>IF(F32&gt;100,F32,100)*$F$20/100</f>
        <v>253.422</v>
      </c>
      <c r="J32" s="174">
        <v>41157.31458333333</v>
      </c>
      <c r="K32" s="175">
        <v>41157.654861111114</v>
      </c>
      <c r="L32" s="993">
        <f>IF(D32="","",(K32-J32)*24)</f>
        <v>8.166666666744277</v>
      </c>
      <c r="M32" s="994">
        <f>IF(D32="","",ROUND((K32-J32)*24*60,0))</f>
        <v>490</v>
      </c>
      <c r="N32" s="995" t="s">
        <v>259</v>
      </c>
      <c r="O32" s="996" t="str">
        <f>IF(D32="","","--")</f>
        <v>--</v>
      </c>
      <c r="P32" s="997" t="str">
        <f>IF(D32="","","NO")</f>
        <v>NO</v>
      </c>
      <c r="Q32" s="997" t="str">
        <f>IF(D32="","",IF(OR(N32="P",N32="RP"),"--","NO"))</f>
        <v>--</v>
      </c>
      <c r="R32" s="998">
        <f>IF(N32="P",+I32*H32*ROUND(M32/60,2)/100,"--")</f>
        <v>414.091548</v>
      </c>
      <c r="S32" s="999" t="str">
        <f>IF(N32="RP",I32*H32*ROUND(M32/60,2)*0.01*O32/100,"--")</f>
        <v>--</v>
      </c>
      <c r="T32" s="1000" t="str">
        <f>IF(AND(N32="F",Q32="NO"),IF(P32="SI",1.2,1)*I32*H32,"--")</f>
        <v>--</v>
      </c>
      <c r="U32" s="1001" t="str">
        <f>IF(AND(M32&gt;10,N32="F"),IF(M32&lt;=300,ROUND(M32/60,2),5)*I32*H32*IF(P32="SI",1.2,1),"--")</f>
        <v>--</v>
      </c>
      <c r="V32" s="1002" t="str">
        <f>IF(AND(N32="F",M32&gt;300),IF(P32="SI",1.2,1)*(ROUND(M32/60,2)-5)*I32*H32*0.1,"--")</f>
        <v>--</v>
      </c>
      <c r="W32" s="1003" t="str">
        <f>IF(AND(N32="R",Q32="NO"),IF(P32="SI",1.2,1)*I32*H32*O32/100,"--")</f>
        <v>--</v>
      </c>
      <c r="X32" s="1004" t="str">
        <f>IF(AND(M32&gt;10,N32="R"),IF(M32&lt;=300,ROUND(M32/60,2),5)*I32*H32*O32/100*IF(P32="SI",1.2,1),"--")</f>
        <v>--</v>
      </c>
      <c r="Y32" s="1005" t="str">
        <f>IF(AND(N32="R",M32&gt;300),IF(P32="SI",1.2,1)*(ROUND(M32/60,2)-5)*I32*H32*O32/100*0.1,"--")</f>
        <v>--</v>
      </c>
      <c r="Z32" s="1006" t="str">
        <f>IF(N32="RF",IF(P32="SI",1.2,1)*ROUND(M32/60,2)*I32*H32*0.1,"--")</f>
        <v>--</v>
      </c>
      <c r="AA32" s="1007" t="str">
        <f>IF(N32="RR",IF(P32="SI",1.2,1)*ROUND(M32/60,2)*I32*H32*O32/100*0.1,"--")</f>
        <v>--</v>
      </c>
      <c r="AB32" s="1008" t="str">
        <f>IF(D32="","","SI")</f>
        <v>SI</v>
      </c>
      <c r="AC32" s="1009">
        <f>IF(D32="","",SUM(R32:AA32)*IF(AB32="SI",1,2))</f>
        <v>414.091548</v>
      </c>
      <c r="AD32" s="903"/>
    </row>
    <row r="33" spans="1:30" ht="16.5" customHeight="1">
      <c r="A33" s="804"/>
      <c r="B33" s="900"/>
      <c r="C33" s="989" t="s">
        <v>419</v>
      </c>
      <c r="D33" s="194" t="s">
        <v>266</v>
      </c>
      <c r="E33" s="195">
        <v>500</v>
      </c>
      <c r="F33" s="196">
        <v>40</v>
      </c>
      <c r="G33" s="990" t="s">
        <v>258</v>
      </c>
      <c r="H33" s="991">
        <f>IF(G33="A",200,IF(G33="B",60,20))</f>
        <v>20</v>
      </c>
      <c r="I33" s="992">
        <f>IF(F33&gt;100,F33,100)*$F$20/100</f>
        <v>253.422</v>
      </c>
      <c r="J33" s="174">
        <v>41158.39375</v>
      </c>
      <c r="K33" s="175">
        <v>41158.65972222222</v>
      </c>
      <c r="L33" s="993">
        <f>IF(D33="","",(K33-J33)*24)</f>
        <v>6.383333333185874</v>
      </c>
      <c r="M33" s="994">
        <f>IF(D33="","",ROUND((K33-J33)*24*60,0))</f>
        <v>383</v>
      </c>
      <c r="N33" s="995" t="s">
        <v>259</v>
      </c>
      <c r="O33" s="996" t="str">
        <f>IF(D33="","","--")</f>
        <v>--</v>
      </c>
      <c r="P33" s="997" t="str">
        <f>IF(D33="","","NO")</f>
        <v>NO</v>
      </c>
      <c r="Q33" s="997" t="str">
        <f>IF(D33="","",IF(OR(N33="P",N33="RP"),"--","NO"))</f>
        <v>--</v>
      </c>
      <c r="R33" s="998">
        <f>IF(N33="P",+I33*H33*ROUND(M33/60,2)/100,"--")</f>
        <v>323.36647199999993</v>
      </c>
      <c r="S33" s="999" t="str">
        <f>IF(N33="RP",I33*H33*ROUND(M33/60,2)*0.01*O33/100,"--")</f>
        <v>--</v>
      </c>
      <c r="T33" s="1000" t="str">
        <f>IF(AND(N33="F",Q33="NO"),IF(P33="SI",1.2,1)*I33*H33,"--")</f>
        <v>--</v>
      </c>
      <c r="U33" s="1001" t="str">
        <f>IF(AND(M33&gt;10,N33="F"),IF(M33&lt;=300,ROUND(M33/60,2),5)*I33*H33*IF(P33="SI",1.2,1),"--")</f>
        <v>--</v>
      </c>
      <c r="V33" s="1002" t="str">
        <f>IF(AND(N33="F",M33&gt;300),IF(P33="SI",1.2,1)*(ROUND(M33/60,2)-5)*I33*H33*0.1,"--")</f>
        <v>--</v>
      </c>
      <c r="W33" s="1003" t="str">
        <f>IF(AND(N33="R",Q33="NO"),IF(P33="SI",1.2,1)*I33*H33*O33/100,"--")</f>
        <v>--</v>
      </c>
      <c r="X33" s="1004" t="str">
        <f>IF(AND(M33&gt;10,N33="R"),IF(M33&lt;=300,ROUND(M33/60,2),5)*I33*H33*O33/100*IF(P33="SI",1.2,1),"--")</f>
        <v>--</v>
      </c>
      <c r="Y33" s="1005" t="str">
        <f>IF(AND(N33="R",M33&gt;300),IF(P33="SI",1.2,1)*(ROUND(M33/60,2)-5)*I33*H33*O33/100*0.1,"--")</f>
        <v>--</v>
      </c>
      <c r="Z33" s="1006" t="str">
        <f>IF(N33="RF",IF(P33="SI",1.2,1)*ROUND(M33/60,2)*I33*H33*0.1,"--")</f>
        <v>--</v>
      </c>
      <c r="AA33" s="1007" t="str">
        <f>IF(N33="RR",IF(P33="SI",1.2,1)*ROUND(M33/60,2)*I33*H33*O33/100*0.1,"--")</f>
        <v>--</v>
      </c>
      <c r="AB33" s="1008" t="str">
        <f>IF(D33="","","SI")</f>
        <v>SI</v>
      </c>
      <c r="AC33" s="1009">
        <f>IF(D33="","",SUM(R33:AA33)*IF(AB33="SI",1,2))</f>
        <v>323.36647199999993</v>
      </c>
      <c r="AD33" s="903"/>
    </row>
    <row r="34" spans="1:30" ht="16.5" customHeight="1">
      <c r="A34" s="804"/>
      <c r="B34" s="900"/>
      <c r="C34" s="1283" t="s">
        <v>425</v>
      </c>
      <c r="D34" s="1322" t="s">
        <v>266</v>
      </c>
      <c r="E34" s="1323">
        <v>500</v>
      </c>
      <c r="F34" s="1324">
        <v>40</v>
      </c>
      <c r="G34" s="990" t="s">
        <v>258</v>
      </c>
      <c r="H34" s="991">
        <f>IF(G34="A",200,IF(G34="B",60,20))</f>
        <v>20</v>
      </c>
      <c r="I34" s="992">
        <f>IF(F34&gt;100,F34,100)*$F$20/100</f>
        <v>253.422</v>
      </c>
      <c r="J34" s="197">
        <v>41159.299305555556</v>
      </c>
      <c r="K34" s="198">
        <v>41159.6125</v>
      </c>
      <c r="L34" s="993">
        <f>IF(D34="","",(K34-J34)*24)</f>
        <v>7.516666666720994</v>
      </c>
      <c r="M34" s="994">
        <f>IF(D34="","",ROUND((K34-J34)*24*60,0))</f>
        <v>451</v>
      </c>
      <c r="N34" s="995" t="s">
        <v>259</v>
      </c>
      <c r="O34" s="996" t="str">
        <f>IF(D34="","","--")</f>
        <v>--</v>
      </c>
      <c r="P34" s="997" t="str">
        <f>IF(D34="","","NO")</f>
        <v>NO</v>
      </c>
      <c r="Q34" s="997" t="str">
        <f>IF(D34="","",IF(OR(N34="P",N34="RP"),"--","NO"))</f>
        <v>--</v>
      </c>
      <c r="R34" s="998">
        <f>IF(N34="P",+I34*H34*ROUND(M34/60,2)/100,"--")</f>
        <v>381.1466879999999</v>
      </c>
      <c r="S34" s="999" t="str">
        <f>IF(N34="RP",I34*H34*ROUND(M34/60,2)*0.01*O34/100,"--")</f>
        <v>--</v>
      </c>
      <c r="T34" s="1000" t="str">
        <f>IF(AND(N34="F",Q34="NO"),IF(P34="SI",1.2,1)*I34*H34,"--")</f>
        <v>--</v>
      </c>
      <c r="U34" s="1001" t="str">
        <f>IF(AND(M34&gt;10,N34="F"),IF(M34&lt;=300,ROUND(M34/60,2),5)*I34*H34*IF(P34="SI",1.2,1),"--")</f>
        <v>--</v>
      </c>
      <c r="V34" s="1002" t="str">
        <f>IF(AND(N34="F",M34&gt;300),IF(P34="SI",1.2,1)*(ROUND(M34/60,2)-5)*I34*H34*0.1,"--")</f>
        <v>--</v>
      </c>
      <c r="W34" s="1003" t="str">
        <f>IF(AND(N34="R",Q34="NO"),IF(P34="SI",1.2,1)*I34*H34*O34/100,"--")</f>
        <v>--</v>
      </c>
      <c r="X34" s="1004" t="str">
        <f>IF(AND(M34&gt;10,N34="R"),IF(M34&lt;=300,ROUND(M34/60,2),5)*I34*H34*O34/100*IF(P34="SI",1.2,1),"--")</f>
        <v>--</v>
      </c>
      <c r="Y34" s="1005" t="str">
        <f>IF(AND(N34="R",M34&gt;300),IF(P34="SI",1.2,1)*(ROUND(M34/60,2)-5)*I34*H34*O34/100*0.1,"--")</f>
        <v>--</v>
      </c>
      <c r="Z34" s="1006" t="str">
        <f>IF(N34="RF",IF(P34="SI",1.2,1)*ROUND(M34/60,2)*I34*H34*0.1,"--")</f>
        <v>--</v>
      </c>
      <c r="AA34" s="1007" t="str">
        <f>IF(N34="RR",IF(P34="SI",1.2,1)*ROUND(M34/60,2)*I34*H34*O34/100*0.1,"--")</f>
        <v>--</v>
      </c>
      <c r="AB34" s="1008" t="str">
        <f>IF(D34="","","SI")</f>
        <v>SI</v>
      </c>
      <c r="AC34" s="1009">
        <f>IF(D34="","",SUM(R34:AA34)*IF(AB34="SI",1,2))</f>
        <v>381.1466879999999</v>
      </c>
      <c r="AD34" s="903"/>
    </row>
    <row r="35" spans="1:30" ht="16.5" customHeight="1">
      <c r="A35" s="804"/>
      <c r="B35" s="900"/>
      <c r="C35" s="1283" t="s">
        <v>426</v>
      </c>
      <c r="D35" s="1322" t="s">
        <v>266</v>
      </c>
      <c r="E35" s="1323">
        <v>500</v>
      </c>
      <c r="F35" s="1324">
        <v>40</v>
      </c>
      <c r="G35" s="990" t="s">
        <v>258</v>
      </c>
      <c r="H35" s="991">
        <f>IF(G35="A",200,IF(G35="B",60,20))</f>
        <v>20</v>
      </c>
      <c r="I35" s="992">
        <f>IF(F35&gt;100,F35,100)*$F$20/100</f>
        <v>253.422</v>
      </c>
      <c r="J35" s="197">
        <v>41166.356944444444</v>
      </c>
      <c r="K35" s="198">
        <v>41166.626388888886</v>
      </c>
      <c r="L35" s="993">
        <f>IF(D35="","",(K35-J35)*24)</f>
        <v>6.46666666661622</v>
      </c>
      <c r="M35" s="994">
        <f>IF(D35="","",ROUND((K35-J35)*24*60,0))</f>
        <v>388</v>
      </c>
      <c r="N35" s="995" t="s">
        <v>259</v>
      </c>
      <c r="O35" s="996" t="str">
        <f>IF(D35="","","--")</f>
        <v>--</v>
      </c>
      <c r="P35" s="997" t="str">
        <f>IF(D35="","","NO")</f>
        <v>NO</v>
      </c>
      <c r="Q35" s="997" t="str">
        <f>IF(D35="","",IF(OR(N35="P",N35="RP"),"--","NO"))</f>
        <v>--</v>
      </c>
      <c r="R35" s="998">
        <f>IF(N35="P",+I35*H35*ROUND(M35/60,2)/100,"--")</f>
        <v>327.928068</v>
      </c>
      <c r="S35" s="999" t="str">
        <f>IF(N35="RP",I35*H35*ROUND(M35/60,2)*0.01*O35/100,"--")</f>
        <v>--</v>
      </c>
      <c r="T35" s="1000" t="str">
        <f>IF(AND(N35="F",Q35="NO"),IF(P35="SI",1.2,1)*I35*H35,"--")</f>
        <v>--</v>
      </c>
      <c r="U35" s="1001" t="str">
        <f>IF(AND(M35&gt;10,N35="F"),IF(M35&lt;=300,ROUND(M35/60,2),5)*I35*H35*IF(P35="SI",1.2,1),"--")</f>
        <v>--</v>
      </c>
      <c r="V35" s="1002" t="str">
        <f>IF(AND(N35="F",M35&gt;300),IF(P35="SI",1.2,1)*(ROUND(M35/60,2)-5)*I35*H35*0.1,"--")</f>
        <v>--</v>
      </c>
      <c r="W35" s="1003" t="str">
        <f>IF(AND(N35="R",Q35="NO"),IF(P35="SI",1.2,1)*I35*H35*O35/100,"--")</f>
        <v>--</v>
      </c>
      <c r="X35" s="1004" t="str">
        <f>IF(AND(M35&gt;10,N35="R"),IF(M35&lt;=300,ROUND(M35/60,2),5)*I35*H35*O35/100*IF(P35="SI",1.2,1),"--")</f>
        <v>--</v>
      </c>
      <c r="Y35" s="1005" t="str">
        <f>IF(AND(N35="R",M35&gt;300),IF(P35="SI",1.2,1)*(ROUND(M35/60,2)-5)*I35*H35*O35/100*0.1,"--")</f>
        <v>--</v>
      </c>
      <c r="Z35" s="1006" t="str">
        <f>IF(N35="RF",IF(P35="SI",1.2,1)*ROUND(M35/60,2)*I35*H35*0.1,"--")</f>
        <v>--</v>
      </c>
      <c r="AA35" s="1007" t="str">
        <f>IF(N35="RR",IF(P35="SI",1.2,1)*ROUND(M35/60,2)*I35*H35*O35/100*0.1,"--")</f>
        <v>--</v>
      </c>
      <c r="AB35" s="1008" t="str">
        <f>IF(D35="","","SI")</f>
        <v>SI</v>
      </c>
      <c r="AC35" s="1009">
        <f>IF(D35="","",SUM(R35:AA35)*IF(AB35="SI",1,2))</f>
        <v>327.928068</v>
      </c>
      <c r="AD35" s="903"/>
    </row>
    <row r="36" spans="1:30" ht="16.5" customHeight="1" thickBot="1">
      <c r="A36" s="819"/>
      <c r="B36" s="900"/>
      <c r="C36" s="1010"/>
      <c r="D36" s="1011"/>
      <c r="E36" s="1012"/>
      <c r="F36" s="1013"/>
      <c r="G36" s="1014"/>
      <c r="H36" s="1015"/>
      <c r="I36" s="1016"/>
      <c r="J36" s="1017"/>
      <c r="K36" s="1017"/>
      <c r="L36" s="1018"/>
      <c r="M36" s="1018"/>
      <c r="N36" s="1018"/>
      <c r="O36" s="1019"/>
      <c r="P36" s="1018"/>
      <c r="Q36" s="1018"/>
      <c r="R36" s="1020"/>
      <c r="S36" s="1021"/>
      <c r="T36" s="1022"/>
      <c r="U36" s="1023"/>
      <c r="V36" s="1024"/>
      <c r="W36" s="1025"/>
      <c r="X36" s="1026"/>
      <c r="Y36" s="1027"/>
      <c r="Z36" s="1028"/>
      <c r="AA36" s="1029"/>
      <c r="AB36" s="1030"/>
      <c r="AC36" s="1031"/>
      <c r="AD36" s="1032"/>
    </row>
    <row r="37" spans="1:30" ht="17.25" thickBot="1" thickTop="1">
      <c r="A37" s="819"/>
      <c r="B37" s="900"/>
      <c r="C37" s="924"/>
      <c r="D37" s="924"/>
      <c r="E37" s="1033"/>
      <c r="F37" s="938"/>
      <c r="G37" s="1034"/>
      <c r="H37" s="1034"/>
      <c r="I37" s="1035"/>
      <c r="J37" s="1035"/>
      <c r="K37" s="1035"/>
      <c r="L37" s="1035"/>
      <c r="M37" s="1035"/>
      <c r="N37" s="1035"/>
      <c r="O37" s="1036"/>
      <c r="P37" s="1035"/>
      <c r="Q37" s="1035"/>
      <c r="R37" s="1037">
        <f aca="true" t="shared" si="0" ref="R37:AA37">SUM(R31:R36)</f>
        <v>1446.5327759999998</v>
      </c>
      <c r="S37" s="1038">
        <f t="shared" si="0"/>
        <v>0</v>
      </c>
      <c r="T37" s="1039">
        <f t="shared" si="0"/>
        <v>0</v>
      </c>
      <c r="U37" s="1039">
        <f t="shared" si="0"/>
        <v>0</v>
      </c>
      <c r="V37" s="1039">
        <f t="shared" si="0"/>
        <v>0</v>
      </c>
      <c r="W37" s="1040">
        <f t="shared" si="0"/>
        <v>0</v>
      </c>
      <c r="X37" s="1040">
        <f t="shared" si="0"/>
        <v>0</v>
      </c>
      <c r="Y37" s="1040">
        <f t="shared" si="0"/>
        <v>0</v>
      </c>
      <c r="Z37" s="1041">
        <f t="shared" si="0"/>
        <v>0</v>
      </c>
      <c r="AA37" s="1042">
        <f t="shared" si="0"/>
        <v>0</v>
      </c>
      <c r="AB37" s="1043"/>
      <c r="AC37" s="1044">
        <f>SUM(AC31:AC36)</f>
        <v>1446.5327759999998</v>
      </c>
      <c r="AD37" s="1032"/>
    </row>
    <row r="38" spans="1:30" ht="17.25" thickBot="1" thickTop="1">
      <c r="A38" s="819"/>
      <c r="B38" s="900"/>
      <c r="C38" s="1045"/>
      <c r="D38" s="1046"/>
      <c r="G38" s="1047"/>
      <c r="H38" s="1048"/>
      <c r="I38" s="1049"/>
      <c r="J38" s="1049"/>
      <c r="L38" s="1035"/>
      <c r="M38" s="1035"/>
      <c r="N38" s="1035"/>
      <c r="O38" s="1036"/>
      <c r="P38" s="1035"/>
      <c r="Q38" s="1035"/>
      <c r="R38" s="1050"/>
      <c r="S38" s="1051"/>
      <c r="T38" s="1052"/>
      <c r="U38" s="1052"/>
      <c r="V38" s="1052"/>
      <c r="W38" s="1050"/>
      <c r="X38" s="1050"/>
      <c r="Y38" s="1050"/>
      <c r="Z38" s="1050"/>
      <c r="AA38" s="1050"/>
      <c r="AB38" s="1053"/>
      <c r="AC38" s="1054"/>
      <c r="AD38" s="1032"/>
    </row>
    <row r="39" spans="1:33" s="804" customFormat="1" ht="27" thickBot="1" thickTop="1">
      <c r="A39" s="889"/>
      <c r="B39" s="1055"/>
      <c r="C39" s="1056" t="s">
        <v>28</v>
      </c>
      <c r="D39" s="1057" t="s">
        <v>58</v>
      </c>
      <c r="E39" s="1058" t="s">
        <v>59</v>
      </c>
      <c r="F39" s="1802" t="s">
        <v>60</v>
      </c>
      <c r="G39" s="1803"/>
      <c r="H39" s="1059" t="s">
        <v>35</v>
      </c>
      <c r="I39" s="1060"/>
      <c r="J39" s="1058" t="s">
        <v>36</v>
      </c>
      <c r="K39" s="1058" t="s">
        <v>37</v>
      </c>
      <c r="L39" s="1057" t="s">
        <v>61</v>
      </c>
      <c r="M39" s="1057" t="s">
        <v>39</v>
      </c>
      <c r="N39" s="951" t="s">
        <v>420</v>
      </c>
      <c r="O39" s="1058" t="s">
        <v>42</v>
      </c>
      <c r="P39" s="1804" t="s">
        <v>421</v>
      </c>
      <c r="Q39" s="1805"/>
      <c r="R39" s="1059" t="s">
        <v>422</v>
      </c>
      <c r="S39" s="1061" t="s">
        <v>43</v>
      </c>
      <c r="T39" s="1062" t="s">
        <v>423</v>
      </c>
      <c r="U39" s="1063"/>
      <c r="V39" s="1064" t="s">
        <v>47</v>
      </c>
      <c r="W39" s="1065" t="s">
        <v>424</v>
      </c>
      <c r="X39" s="1066"/>
      <c r="Y39" s="1066"/>
      <c r="Z39" s="1066"/>
      <c r="AA39" s="1067"/>
      <c r="AB39" s="836" t="s">
        <v>49</v>
      </c>
      <c r="AC39" s="964" t="s">
        <v>50</v>
      </c>
      <c r="AD39" s="903"/>
      <c r="AF39" s="865"/>
      <c r="AG39" s="865"/>
    </row>
    <row r="40" spans="1:30" ht="15.75" thickTop="1">
      <c r="A40" s="804"/>
      <c r="B40" s="900"/>
      <c r="C40" s="1068"/>
      <c r="D40" s="1068"/>
      <c r="E40" s="1068"/>
      <c r="F40" s="1790"/>
      <c r="G40" s="1791"/>
      <c r="H40" s="1069"/>
      <c r="I40" s="1069"/>
      <c r="J40" s="1068"/>
      <c r="K40" s="1068"/>
      <c r="L40" s="1068"/>
      <c r="M40" s="1068"/>
      <c r="N40" s="1068"/>
      <c r="O40" s="1070"/>
      <c r="P40" s="1790"/>
      <c r="Q40" s="1791"/>
      <c r="R40" s="1071"/>
      <c r="S40" s="1071"/>
      <c r="T40" s="1071"/>
      <c r="U40" s="1071"/>
      <c r="V40" s="1071"/>
      <c r="W40" s="1071"/>
      <c r="X40" s="1071"/>
      <c r="Y40" s="1071"/>
      <c r="Z40" s="1071"/>
      <c r="AA40" s="1072"/>
      <c r="AB40" s="1070"/>
      <c r="AC40" s="1073"/>
      <c r="AD40" s="903"/>
    </row>
    <row r="41" spans="1:30" ht="15">
      <c r="A41" s="804"/>
      <c r="B41" s="900"/>
      <c r="C41" s="989" t="s">
        <v>418</v>
      </c>
      <c r="D41" s="1074"/>
      <c r="E41" s="1075"/>
      <c r="F41" s="1798"/>
      <c r="G41" s="1799"/>
      <c r="H41" s="1076">
        <f>F41*$F$22</f>
        <v>0</v>
      </c>
      <c r="I41" s="1077"/>
      <c r="J41" s="1078"/>
      <c r="K41" s="1079"/>
      <c r="L41" s="1080">
        <f>IF(D41="","",(K41-J41)*24)</f>
      </c>
      <c r="M41" s="1081">
        <f>IF(D41="","",(K41-J41)*24*60)</f>
      </c>
      <c r="N41" s="1082"/>
      <c r="O41" s="1083">
        <f>IF(D41="","",IF(N41="P","--","NO"))</f>
      </c>
      <c r="P41" s="1800">
        <f>IF(D41="","","--")</f>
      </c>
      <c r="Q41" s="1801"/>
      <c r="R41" s="1084">
        <f>IF(OR(N41="P",N41="RP"),20/10,20)</f>
        <v>20</v>
      </c>
      <c r="S41" s="1085" t="str">
        <f>IF(N41="P",H41*R41*ROUND(M41/60,2),"--")</f>
        <v>--</v>
      </c>
      <c r="T41" s="1086" t="str">
        <f>IF(AND(N41="F",O41="NO"),H41*R41,"--")</f>
        <v>--</v>
      </c>
      <c r="U41" s="1087" t="str">
        <f>IF(N41="F",H41*R41*ROUND(M41/60,2),"--")</f>
        <v>--</v>
      </c>
      <c r="V41" s="1088" t="str">
        <f>IF(N41="RF",H41*R41*ROUND(M41/60,2),"--")</f>
        <v>--</v>
      </c>
      <c r="W41" s="1089" t="str">
        <f>IF(N41="RP",H41*R41*P41/100*ROUND(M41/60,2),"--")</f>
        <v>--</v>
      </c>
      <c r="X41" s="1090"/>
      <c r="Y41" s="1090"/>
      <c r="Z41" s="1090"/>
      <c r="AA41" s="1091"/>
      <c r="AB41" s="1092">
        <f>IF(D41="","","SI")</f>
      </c>
      <c r="AC41" s="1093">
        <f>IF(D41="","",SUM(S41:W41)*IF(AB41="SI",1,2)*IF(AND(P41&lt;&gt;"--",N41="RF"),P41/100,1))</f>
      </c>
      <c r="AD41" s="1032"/>
    </row>
    <row r="42" spans="1:30" ht="15">
      <c r="A42" s="804"/>
      <c r="B42" s="900"/>
      <c r="C42" s="989" t="s">
        <v>419</v>
      </c>
      <c r="D42" s="1074"/>
      <c r="E42" s="1075"/>
      <c r="F42" s="1798"/>
      <c r="G42" s="1799"/>
      <c r="H42" s="1076">
        <f>F42*$F$22</f>
        <v>0</v>
      </c>
      <c r="I42" s="1077"/>
      <c r="J42" s="1094"/>
      <c r="K42" s="1095"/>
      <c r="L42" s="1080">
        <f>IF(D42="","",(K42-J42)*24)</f>
      </c>
      <c r="M42" s="1081">
        <f>IF(D42="","",(K42-J42)*24*60)</f>
      </c>
      <c r="N42" s="1082"/>
      <c r="O42" s="1083">
        <f>IF(D42="","",IF(N42="P","--","NO"))</f>
      </c>
      <c r="P42" s="1800">
        <f>IF(D42="","","--")</f>
      </c>
      <c r="Q42" s="1801"/>
      <c r="R42" s="1084">
        <f>IF(OR(N42="P",N42="RP"),20/10,20)</f>
        <v>20</v>
      </c>
      <c r="S42" s="1085" t="str">
        <f>IF(N42="P",H42*R42*ROUND(M42/60,2),"--")</f>
        <v>--</v>
      </c>
      <c r="T42" s="1086" t="str">
        <f>IF(AND(N42="F",O42="NO"),H42*R42,"--")</f>
        <v>--</v>
      </c>
      <c r="U42" s="1087" t="str">
        <f>IF(N42="F",H42*R42*ROUND(M42/60,2),"--")</f>
        <v>--</v>
      </c>
      <c r="V42" s="1088" t="str">
        <f>IF(N42="RF",H42*R42*ROUND(M42/60,2),"--")</f>
        <v>--</v>
      </c>
      <c r="W42" s="1089" t="str">
        <f>IF(N42="RP",H42*R42*P42/100*ROUND(M42/60,2),"--")</f>
        <v>--</v>
      </c>
      <c r="X42" s="1090"/>
      <c r="Y42" s="1090"/>
      <c r="Z42" s="1090"/>
      <c r="AA42" s="1091"/>
      <c r="AB42" s="1092">
        <f>IF(D42="","","SI")</f>
      </c>
      <c r="AC42" s="1093">
        <f>IF(D42="","",SUM(S42:W42)*IF(AB42="SI",1,2)*IF(AND(P42&lt;&gt;"--",N42="RF"),P42/100,1))</f>
      </c>
      <c r="AD42" s="1032"/>
    </row>
    <row r="43" spans="1:30" ht="15">
      <c r="A43" s="804"/>
      <c r="B43" s="900"/>
      <c r="C43" s="989" t="s">
        <v>425</v>
      </c>
      <c r="D43" s="1074"/>
      <c r="E43" s="1075"/>
      <c r="F43" s="1798"/>
      <c r="G43" s="1799"/>
      <c r="H43" s="1076">
        <f>F43*$F$22</f>
        <v>0</v>
      </c>
      <c r="I43" s="1077"/>
      <c r="J43" s="1094"/>
      <c r="K43" s="1095"/>
      <c r="L43" s="1080">
        <f>IF(D43="","",(K43-J43)*24)</f>
      </c>
      <c r="M43" s="1081">
        <f>IF(D43="","",(K43-J43)*24*60)</f>
      </c>
      <c r="N43" s="1082"/>
      <c r="O43" s="1083">
        <f>IF(D43="","",IF(N43="P","--","NO"))</f>
      </c>
      <c r="P43" s="1800">
        <f>IF(D43="","","--")</f>
      </c>
      <c r="Q43" s="1801"/>
      <c r="R43" s="1084">
        <f>IF(OR(N43="P",N43="RP"),20/10,20)</f>
        <v>20</v>
      </c>
      <c r="S43" s="1085" t="str">
        <f>IF(N43="P",H43*R43*ROUND(M43/60,2),"--")</f>
        <v>--</v>
      </c>
      <c r="T43" s="1086" t="str">
        <f>IF(AND(N43="F",O43="NO"),H43*R43,"--")</f>
        <v>--</v>
      </c>
      <c r="U43" s="1087" t="str">
        <f>IF(N43="F",H43*R43*ROUND(M43/60,2),"--")</f>
        <v>--</v>
      </c>
      <c r="V43" s="1088" t="str">
        <f>IF(N43="RF",H43*R43*ROUND(M43/60,2),"--")</f>
        <v>--</v>
      </c>
      <c r="W43" s="1089" t="str">
        <f>IF(N43="RP",H43*R43*P43/100*ROUND(M43/60,2),"--")</f>
        <v>--</v>
      </c>
      <c r="X43" s="1090"/>
      <c r="Y43" s="1090"/>
      <c r="Z43" s="1090"/>
      <c r="AA43" s="1091"/>
      <c r="AB43" s="1092">
        <f>IF(D43="","","SI")</f>
      </c>
      <c r="AC43" s="1093">
        <f>IF(D43="","",SUM(S43:W43)*IF(AB43="SI",1,2)*IF(AND(P43&lt;&gt;"--",N43="RF"),P43/100,1))</f>
      </c>
      <c r="AD43" s="1032"/>
    </row>
    <row r="44" spans="1:30" ht="15">
      <c r="A44" s="804"/>
      <c r="B44" s="900"/>
      <c r="C44" s="989" t="s">
        <v>426</v>
      </c>
      <c r="D44" s="1074"/>
      <c r="E44" s="1075"/>
      <c r="F44" s="1798"/>
      <c r="G44" s="1799"/>
      <c r="H44" s="1076">
        <f>F44*$F$22</f>
        <v>0</v>
      </c>
      <c r="I44" s="1077"/>
      <c r="J44" s="1094"/>
      <c r="K44" s="1095"/>
      <c r="L44" s="1080">
        <f>IF(D44="","",(K44-J44)*24)</f>
      </c>
      <c r="M44" s="1081">
        <f>IF(D44="","",(K44-J44)*24*60)</f>
      </c>
      <c r="N44" s="1082"/>
      <c r="O44" s="1083">
        <f>IF(D44="","",IF(N44="P","--","NO"))</f>
      </c>
      <c r="P44" s="1800">
        <f>IF(D44="","","--")</f>
      </c>
      <c r="Q44" s="1801"/>
      <c r="R44" s="1084">
        <f>IF(OR(N44="P",N44="RP"),20/10,20)</f>
        <v>20</v>
      </c>
      <c r="S44" s="1085" t="str">
        <f>IF(N44="P",H44*R44*ROUND(M44/60,2),"--")</f>
        <v>--</v>
      </c>
      <c r="T44" s="1086" t="str">
        <f>IF(AND(N44="F",O44="NO"),H44*R44,"--")</f>
        <v>--</v>
      </c>
      <c r="U44" s="1087" t="str">
        <f>IF(N44="F",H44*R44*ROUND(M44/60,2),"--")</f>
        <v>--</v>
      </c>
      <c r="V44" s="1088" t="str">
        <f>IF(N44="RF",H44*R44*ROUND(M44/60,2),"--")</f>
        <v>--</v>
      </c>
      <c r="W44" s="1089" t="str">
        <f>IF(N44="RP",H44*R44*P44/100*ROUND(M44/60,2),"--")</f>
        <v>--</v>
      </c>
      <c r="X44" s="1090"/>
      <c r="Y44" s="1090"/>
      <c r="Z44" s="1090"/>
      <c r="AA44" s="1091"/>
      <c r="AB44" s="1092">
        <f>IF(D44="","","SI")</f>
      </c>
      <c r="AC44" s="1093">
        <f>IF(D44="","",SUM(S44:W44)*IF(AB44="SI",1,2)*IF(AND(P44&lt;&gt;"--",N44="RF"),P44/100,1))</f>
      </c>
      <c r="AD44" s="1032"/>
    </row>
    <row r="45" spans="1:30" ht="16.5" thickBot="1">
      <c r="A45" s="819"/>
      <c r="B45" s="900"/>
      <c r="C45" s="1096"/>
      <c r="D45" s="1097"/>
      <c r="E45" s="1098"/>
      <c r="F45" s="1788"/>
      <c r="G45" s="1789"/>
      <c r="H45" s="1099"/>
      <c r="I45" s="1099"/>
      <c r="J45" s="1100"/>
      <c r="K45" s="1101"/>
      <c r="L45" s="1102"/>
      <c r="M45" s="1103"/>
      <c r="N45" s="1104"/>
      <c r="O45" s="1018"/>
      <c r="P45" s="1792"/>
      <c r="Q45" s="1793"/>
      <c r="R45" s="1106"/>
      <c r="S45" s="1106"/>
      <c r="T45" s="1106"/>
      <c r="U45" s="1106"/>
      <c r="V45" s="1106"/>
      <c r="W45" s="1106"/>
      <c r="X45" s="1106"/>
      <c r="Y45" s="1106"/>
      <c r="Z45" s="1106"/>
      <c r="AA45" s="1107"/>
      <c r="AB45" s="1108"/>
      <c r="AC45" s="1109"/>
      <c r="AD45" s="1032"/>
    </row>
    <row r="46" spans="1:30" ht="17.25" thickBot="1" thickTop="1">
      <c r="A46" s="819"/>
      <c r="B46" s="900"/>
      <c r="C46" s="1110"/>
      <c r="D46" s="942"/>
      <c r="E46" s="942"/>
      <c r="F46" s="1111"/>
      <c r="G46" s="1112"/>
      <c r="H46" s="1113"/>
      <c r="I46" s="1114"/>
      <c r="J46" s="1115"/>
      <c r="K46" s="1116"/>
      <c r="L46" s="1117"/>
      <c r="M46" s="1113"/>
      <c r="N46" s="1118"/>
      <c r="O46" s="1119"/>
      <c r="P46" s="1120"/>
      <c r="Q46" s="1121"/>
      <c r="R46" s="1122"/>
      <c r="S46" s="1122"/>
      <c r="T46" s="1122"/>
      <c r="U46" s="1123"/>
      <c r="V46" s="1123"/>
      <c r="W46" s="1123"/>
      <c r="X46" s="1123"/>
      <c r="Y46" s="1123"/>
      <c r="Z46" s="1123"/>
      <c r="AA46" s="1123"/>
      <c r="AB46" s="1123"/>
      <c r="AC46" s="1124">
        <f>SUM(AC40:AC45)</f>
        <v>0</v>
      </c>
      <c r="AD46" s="1032"/>
    </row>
    <row r="47" spans="1:30" ht="17.25" thickBot="1" thickTop="1">
      <c r="A47" s="819"/>
      <c r="B47" s="900"/>
      <c r="C47" s="1110"/>
      <c r="D47" s="871"/>
      <c r="E47" s="1110"/>
      <c r="F47" s="871"/>
      <c r="G47" s="1110"/>
      <c r="H47" s="871"/>
      <c r="I47" s="1110"/>
      <c r="J47" s="871"/>
      <c r="K47" s="1110"/>
      <c r="L47" s="871"/>
      <c r="M47" s="1110"/>
      <c r="N47" s="871"/>
      <c r="O47" s="1110"/>
      <c r="P47" s="871"/>
      <c r="Q47" s="1110"/>
      <c r="R47" s="871"/>
      <c r="S47" s="1110"/>
      <c r="T47" s="871"/>
      <c r="U47" s="1110"/>
      <c r="V47" s="871"/>
      <c r="W47" s="1110"/>
      <c r="X47" s="871"/>
      <c r="Y47" s="1110"/>
      <c r="Z47" s="871"/>
      <c r="AA47" s="1110"/>
      <c r="AB47" s="871"/>
      <c r="AC47" s="1110"/>
      <c r="AD47" s="1032"/>
    </row>
    <row r="48" spans="1:33" s="804" customFormat="1" ht="31.5" customHeight="1" thickBot="1" thickTop="1">
      <c r="A48" s="889"/>
      <c r="B48" s="1055"/>
      <c r="C48" s="1056" t="s">
        <v>28</v>
      </c>
      <c r="D48" s="1057" t="s">
        <v>58</v>
      </c>
      <c r="E48" s="949" t="s">
        <v>59</v>
      </c>
      <c r="F48" s="1794" t="s">
        <v>76</v>
      </c>
      <c r="G48" s="1795"/>
      <c r="H48" s="1059" t="s">
        <v>35</v>
      </c>
      <c r="I48" s="1125"/>
      <c r="J48" s="949" t="s">
        <v>36</v>
      </c>
      <c r="K48" s="949" t="s">
        <v>37</v>
      </c>
      <c r="L48" s="952" t="s">
        <v>38</v>
      </c>
      <c r="M48" s="952" t="s">
        <v>39</v>
      </c>
      <c r="N48" s="951" t="s">
        <v>254</v>
      </c>
      <c r="O48" s="951" t="s">
        <v>40</v>
      </c>
      <c r="P48" s="1796" t="s">
        <v>42</v>
      </c>
      <c r="Q48" s="1797"/>
      <c r="R48" s="1127" t="s">
        <v>34</v>
      </c>
      <c r="S48" s="1128" t="s">
        <v>71</v>
      </c>
      <c r="T48" s="1129" t="s">
        <v>77</v>
      </c>
      <c r="U48" s="1130"/>
      <c r="V48" s="1131" t="s">
        <v>78</v>
      </c>
      <c r="W48" s="1132"/>
      <c r="X48" s="1133" t="s">
        <v>47</v>
      </c>
      <c r="Y48" s="1134" t="s">
        <v>44</v>
      </c>
      <c r="Z48" s="1125"/>
      <c r="AA48" s="1125"/>
      <c r="AB48" s="836" t="s">
        <v>49</v>
      </c>
      <c r="AC48" s="1135" t="s">
        <v>50</v>
      </c>
      <c r="AD48" s="903"/>
      <c r="AF48" s="865"/>
      <c r="AG48" s="865"/>
    </row>
    <row r="49" spans="1:30" ht="15.75" thickTop="1">
      <c r="A49" s="804"/>
      <c r="B49" s="900"/>
      <c r="C49" s="1068"/>
      <c r="D49" s="1068"/>
      <c r="E49" s="1068"/>
      <c r="F49" s="1790"/>
      <c r="G49" s="1791"/>
      <c r="H49" s="1069"/>
      <c r="I49" s="1069"/>
      <c r="J49" s="1068"/>
      <c r="K49" s="1068"/>
      <c r="L49" s="1068"/>
      <c r="M49" s="1068"/>
      <c r="N49" s="1136"/>
      <c r="O49" s="996">
        <f aca="true" t="shared" si="1" ref="O49:O54">IF(D49="","","--")</f>
      </c>
      <c r="P49" s="1137"/>
      <c r="Q49" s="1138"/>
      <c r="R49" s="1071"/>
      <c r="S49" s="1071"/>
      <c r="T49" s="1071"/>
      <c r="U49" s="1071"/>
      <c r="V49" s="1071"/>
      <c r="W49" s="1071"/>
      <c r="X49" s="1071"/>
      <c r="Y49" s="1071"/>
      <c r="Z49" s="1071"/>
      <c r="AA49" s="1072"/>
      <c r="AB49" s="1092">
        <f aca="true" t="shared" si="2" ref="AB49:AB54">IF(D49="","","SI")</f>
      </c>
      <c r="AC49" s="1073"/>
      <c r="AD49" s="903"/>
    </row>
    <row r="50" spans="1:30" ht="15">
      <c r="A50" s="804"/>
      <c r="B50" s="900"/>
      <c r="C50" s="989" t="s">
        <v>418</v>
      </c>
      <c r="D50" s="1139" t="s">
        <v>280</v>
      </c>
      <c r="E50" s="1140" t="s">
        <v>480</v>
      </c>
      <c r="F50" s="1784">
        <v>80</v>
      </c>
      <c r="G50" s="1785"/>
      <c r="H50" s="1141">
        <f>F50*$F$21</f>
        <v>55.76</v>
      </c>
      <c r="I50" s="1125"/>
      <c r="J50" s="508">
        <v>41169.350694444445</v>
      </c>
      <c r="K50" s="204">
        <v>41172.47361111111</v>
      </c>
      <c r="L50" s="1142">
        <f>IF(D50="","",(K50-J50)*24)</f>
        <v>74.95000000001164</v>
      </c>
      <c r="M50" s="994">
        <f>IF(D50="","",ROUND((K50-J50)*24*60,0))</f>
        <v>4497</v>
      </c>
      <c r="N50" s="1143" t="s">
        <v>259</v>
      </c>
      <c r="O50" s="996" t="str">
        <f t="shared" si="1"/>
        <v>--</v>
      </c>
      <c r="P50" s="1786" t="str">
        <f>IF(D50="","",IF(OR(N50="P",N50="RP"),"--","NO"))</f>
        <v>--</v>
      </c>
      <c r="Q50" s="1787"/>
      <c r="R50" s="1145">
        <f>IF(OR(N50="P",N50="RP"),$F$22/10,$F$22)</f>
        <v>2</v>
      </c>
      <c r="S50" s="1146">
        <f>IF(N50="P",H50*R50*ROUND(M50/60,2),"--")</f>
        <v>8358.424</v>
      </c>
      <c r="T50" s="1147" t="str">
        <f>IF(AND(N50="F",P50="NO"),H50*R50,"--")</f>
        <v>--</v>
      </c>
      <c r="U50" s="1148" t="str">
        <f>IF(N50="F",H50*R50*ROUND(M50/60,2),"--")</f>
        <v>--</v>
      </c>
      <c r="V50" s="1149" t="str">
        <f>IF(AND(N50="R",P50="NO"),H50*R50*O50/100,"--")</f>
        <v>--</v>
      </c>
      <c r="W50" s="1150" t="str">
        <f>IF(N50="R",H50*R50*O50/100*ROUND(M50/60,2),"--")</f>
        <v>--</v>
      </c>
      <c r="X50" s="1151" t="str">
        <f>IF(N50="RF",H50*R50*ROUND(M50/60,2),"--")</f>
        <v>--</v>
      </c>
      <c r="Y50" s="1152" t="str">
        <f>IF(N50="RP",H50*R50*O50/100*ROUND(M50/60,2),"--")</f>
        <v>--</v>
      </c>
      <c r="Z50" s="1125"/>
      <c r="AA50" s="1125"/>
      <c r="AB50" s="997" t="str">
        <f t="shared" si="2"/>
        <v>SI</v>
      </c>
      <c r="AC50" s="1153">
        <f>IF(D50="","",SUM(S50:Y50)*IF(AB50="SI",1,2)*IF(AND(O50&lt;&gt;"--",N50="RF"),O50/100,1))</f>
        <v>8358.424</v>
      </c>
      <c r="AD50" s="1032"/>
    </row>
    <row r="51" spans="2:30" s="819" customFormat="1" ht="16.5" customHeight="1">
      <c r="B51" s="830"/>
      <c r="C51" s="989" t="s">
        <v>419</v>
      </c>
      <c r="D51" s="1139"/>
      <c r="E51" s="1140"/>
      <c r="F51" s="1784"/>
      <c r="G51" s="1785"/>
      <c r="H51" s="1141">
        <f>F51*$F$21</f>
        <v>0</v>
      </c>
      <c r="I51" s="1125"/>
      <c r="J51" s="1078"/>
      <c r="K51" s="1079"/>
      <c r="L51" s="1142">
        <f>IF(D51="","",(K51-J51)*24)</f>
      </c>
      <c r="M51" s="994">
        <f>IF(D51="","",ROUND((K51-J51)*24*60,0))</f>
      </c>
      <c r="N51" s="1143"/>
      <c r="O51" s="996">
        <f t="shared" si="1"/>
      </c>
      <c r="P51" s="1786">
        <f>IF(D51="","",IF(OR(N51="P",N51="RP"),"--","NO"))</f>
      </c>
      <c r="Q51" s="1787"/>
      <c r="R51" s="1145">
        <f>IF(OR(N51="P",N51="RP"),$F$22/10,$F$22)</f>
        <v>20</v>
      </c>
      <c r="S51" s="1146" t="str">
        <f>IF(N51="P",H51*R51*ROUND(M51/60,2),"--")</f>
        <v>--</v>
      </c>
      <c r="T51" s="1147" t="str">
        <f>IF(AND(N51="F",P51="NO"),H51*R51,"--")</f>
        <v>--</v>
      </c>
      <c r="U51" s="1148" t="str">
        <f>IF(N51="F",H51*R51*ROUND(M51/60,2),"--")</f>
        <v>--</v>
      </c>
      <c r="V51" s="1149" t="str">
        <f>IF(AND(N51="R",P51="NO"),H51*R51*O51/100,"--")</f>
        <v>--</v>
      </c>
      <c r="W51" s="1150" t="str">
        <f>IF(N51="R",H51*R51*O51/100*ROUND(M51/60,2),"--")</f>
        <v>--</v>
      </c>
      <c r="X51" s="1151" t="str">
        <f>IF(N51="RF",H51*R51*ROUND(M51/60,2),"--")</f>
        <v>--</v>
      </c>
      <c r="Y51" s="1152" t="str">
        <f>IF(N51="RP",H51*R51*O51/100*ROUND(M51/60,2),"--")</f>
        <v>--</v>
      </c>
      <c r="Z51" s="1125"/>
      <c r="AA51" s="1125"/>
      <c r="AB51" s="997">
        <f t="shared" si="2"/>
      </c>
      <c r="AC51" s="1153">
        <f>IF(D51="","",SUM(S51:Y51)*IF(AB51="SI",1,2)*IF(AND(O51&lt;&gt;"--",N51="RF"),O51/100,1))</f>
      </c>
      <c r="AD51" s="1154"/>
    </row>
    <row r="52" spans="1:30" ht="15">
      <c r="A52" s="804"/>
      <c r="B52" s="900"/>
      <c r="C52" s="989" t="s">
        <v>425</v>
      </c>
      <c r="D52" s="1139"/>
      <c r="E52" s="1140"/>
      <c r="F52" s="1784"/>
      <c r="G52" s="1785"/>
      <c r="H52" s="1141">
        <f>F52*$F$21</f>
        <v>0</v>
      </c>
      <c r="I52" s="1125"/>
      <c r="J52" s="1078"/>
      <c r="K52" s="1079"/>
      <c r="L52" s="1142">
        <f>IF(D52="","",(K52-J52)*24)</f>
      </c>
      <c r="M52" s="994">
        <f>IF(D52="","",ROUND((K52-J52)*24*60,0))</f>
      </c>
      <c r="N52" s="1143"/>
      <c r="O52" s="996">
        <f t="shared" si="1"/>
      </c>
      <c r="P52" s="1786">
        <f>IF(D52="","",IF(OR(N52="P",N52="RP"),"--","NO"))</f>
      </c>
      <c r="Q52" s="1787"/>
      <c r="R52" s="1145">
        <f>IF(OR(N52="P",N52="RP"),$F$22/10,$F$22)</f>
        <v>20</v>
      </c>
      <c r="S52" s="1146" t="str">
        <f>IF(N52="P",H52*R52*ROUND(M52/60,2),"--")</f>
        <v>--</v>
      </c>
      <c r="T52" s="1147" t="str">
        <f>IF(AND(N52="F",P52="NO"),H52*R52,"--")</f>
        <v>--</v>
      </c>
      <c r="U52" s="1148" t="str">
        <f>IF(N52="F",H52*R52*ROUND(M52/60,2),"--")</f>
        <v>--</v>
      </c>
      <c r="V52" s="1149" t="str">
        <f>IF(AND(N52="R",P52="NO"),H52*R52*O52/100,"--")</f>
        <v>--</v>
      </c>
      <c r="W52" s="1150" t="str">
        <f>IF(N52="R",H52*R52*O52/100*ROUND(M52/60,2),"--")</f>
        <v>--</v>
      </c>
      <c r="X52" s="1151" t="str">
        <f>IF(N52="RF",H52*R52*ROUND(M52/60,2),"--")</f>
        <v>--</v>
      </c>
      <c r="Y52" s="1152" t="str">
        <f>IF(N52="RP",H52*R52*O52/100*ROUND(M52/60,2),"--")</f>
        <v>--</v>
      </c>
      <c r="Z52" s="1125"/>
      <c r="AA52" s="1125"/>
      <c r="AB52" s="997">
        <f t="shared" si="2"/>
      </c>
      <c r="AC52" s="1153">
        <f>IF(D52="","",SUM(S52:Y52)*IF(AB52="SI",1,2)*IF(AND(O52&lt;&gt;"--",N52="RF"),O52/100,1))</f>
      </c>
      <c r="AD52" s="1032"/>
    </row>
    <row r="53" spans="1:30" ht="15">
      <c r="A53" s="804"/>
      <c r="B53" s="900"/>
      <c r="C53" s="989" t="s">
        <v>426</v>
      </c>
      <c r="D53" s="1139"/>
      <c r="E53" s="1140"/>
      <c r="F53" s="1784"/>
      <c r="G53" s="1785"/>
      <c r="H53" s="1141">
        <f>F53*$F$21</f>
        <v>0</v>
      </c>
      <c r="I53" s="1125"/>
      <c r="J53" s="1078"/>
      <c r="K53" s="1079"/>
      <c r="L53" s="1142">
        <f>IF(D53="","",(K53-J53)*24)</f>
      </c>
      <c r="M53" s="994">
        <f>IF(D53="","",ROUND((K53-J53)*24*60,0))</f>
      </c>
      <c r="N53" s="1143"/>
      <c r="O53" s="996">
        <f t="shared" si="1"/>
      </c>
      <c r="P53" s="1786">
        <f>IF(D53="","",IF(OR(N53="P",N53="RP"),"--","NO"))</f>
      </c>
      <c r="Q53" s="1787"/>
      <c r="R53" s="1145">
        <f>IF(OR(N53="P",N53="RP"),$F$22/10,$F$22)</f>
        <v>20</v>
      </c>
      <c r="S53" s="1146" t="str">
        <f>IF(N53="P",H53*R53*ROUND(M53/60,2),"--")</f>
        <v>--</v>
      </c>
      <c r="T53" s="1147" t="str">
        <f>IF(AND(N53="F",P53="NO"),H53*R53,"--")</f>
        <v>--</v>
      </c>
      <c r="U53" s="1148" t="str">
        <f>IF(N53="F",H53*R53*ROUND(M53/60,2),"--")</f>
        <v>--</v>
      </c>
      <c r="V53" s="1149" t="str">
        <f>IF(AND(N53="R",P53="NO"),H53*R53*O53/100,"--")</f>
        <v>--</v>
      </c>
      <c r="W53" s="1150" t="str">
        <f>IF(N53="R",H53*R53*O53/100*ROUND(M53/60,2),"--")</f>
        <v>--</v>
      </c>
      <c r="X53" s="1151" t="str">
        <f>IF(N53="RF",H53*R53*ROUND(M53/60,2),"--")</f>
        <v>--</v>
      </c>
      <c r="Y53" s="1152" t="str">
        <f>IF(N53="RP",H53*R53*O53/100*ROUND(M53/60,2),"--")</f>
        <v>--</v>
      </c>
      <c r="Z53" s="1125"/>
      <c r="AA53" s="1125"/>
      <c r="AB53" s="997">
        <f t="shared" si="2"/>
      </c>
      <c r="AC53" s="1153">
        <f>IF(D53="","",SUM(S53:Y53)*IF(AB53="SI",1,2)*IF(AND(O53&lt;&gt;"--",N53="RF"),O53/100,1))</f>
      </c>
      <c r="AD53" s="1032"/>
    </row>
    <row r="54" spans="1:30" ht="15">
      <c r="A54" s="804"/>
      <c r="B54" s="900"/>
      <c r="C54" s="989" t="s">
        <v>427</v>
      </c>
      <c r="D54" s="1139"/>
      <c r="E54" s="1140"/>
      <c r="F54" s="1784"/>
      <c r="G54" s="1785"/>
      <c r="H54" s="1141">
        <f>F54*$F$21</f>
        <v>0</v>
      </c>
      <c r="I54" s="1125"/>
      <c r="J54" s="1078"/>
      <c r="K54" s="1079"/>
      <c r="L54" s="1142">
        <f>IF(D54="","",(K54-J54)*24)</f>
      </c>
      <c r="M54" s="994">
        <f>IF(D54="","",ROUND((K54-J54)*24*60,0))</f>
      </c>
      <c r="N54" s="1143"/>
      <c r="O54" s="996">
        <f t="shared" si="1"/>
      </c>
      <c r="P54" s="1786">
        <f>IF(D54="","",IF(OR(N54="P",N54="RP"),"--","NO"))</f>
      </c>
      <c r="Q54" s="1787"/>
      <c r="R54" s="1145">
        <f>IF(OR(N54="P",N54="RP"),$F$22/10,$F$22)</f>
        <v>20</v>
      </c>
      <c r="S54" s="1146" t="str">
        <f>IF(N54="P",H54*R54*ROUND(M54/60,2),"--")</f>
        <v>--</v>
      </c>
      <c r="T54" s="1147" t="str">
        <f>IF(AND(N54="F",P54="NO"),H54*R54,"--")</f>
        <v>--</v>
      </c>
      <c r="U54" s="1148" t="str">
        <f>IF(N54="F",H54*R54*ROUND(M54/60,2),"--")</f>
        <v>--</v>
      </c>
      <c r="V54" s="1149" t="str">
        <f>IF(AND(N54="R",P54="NO"),H54*R54*O54/100,"--")</f>
        <v>--</v>
      </c>
      <c r="W54" s="1150" t="str">
        <f>IF(N54="R",H54*R54*O54/100*ROUND(M54/60,2),"--")</f>
        <v>--</v>
      </c>
      <c r="X54" s="1151" t="str">
        <f>IF(N54="RF",H54*R54*ROUND(M54/60,2),"--")</f>
        <v>--</v>
      </c>
      <c r="Y54" s="1152" t="str">
        <f>IF(N54="RP",H54*R54*O54/100*ROUND(M54/60,2),"--")</f>
        <v>--</v>
      </c>
      <c r="Z54" s="1125"/>
      <c r="AA54" s="1125"/>
      <c r="AB54" s="997">
        <f t="shared" si="2"/>
      </c>
      <c r="AC54" s="1153">
        <f>IF(D54="","",SUM(S54:Y54)*IF(AB54="SI",1,2)*IF(AND(O54&lt;&gt;"--",N54="RF"),O54/100,1))</f>
      </c>
      <c r="AD54" s="1032"/>
    </row>
    <row r="55" spans="1:30" ht="16.5" thickBot="1">
      <c r="A55" s="819"/>
      <c r="B55" s="900"/>
      <c r="C55" s="1096"/>
      <c r="D55" s="1097"/>
      <c r="E55" s="1098"/>
      <c r="F55" s="1788"/>
      <c r="G55" s="1789"/>
      <c r="H55" s="1099"/>
      <c r="I55" s="1099"/>
      <c r="J55" s="1100"/>
      <c r="K55" s="1101"/>
      <c r="L55" s="1102"/>
      <c r="M55" s="1103"/>
      <c r="N55" s="1155"/>
      <c r="O55" s="1155"/>
      <c r="P55" s="1156"/>
      <c r="Q55" s="1157"/>
      <c r="R55" s="1106"/>
      <c r="S55" s="1106"/>
      <c r="T55" s="1106"/>
      <c r="U55" s="1106"/>
      <c r="V55" s="1106"/>
      <c r="W55" s="1106"/>
      <c r="X55" s="1106"/>
      <c r="Y55" s="1106"/>
      <c r="Z55" s="1106"/>
      <c r="AA55" s="1107"/>
      <c r="AB55" s="1108"/>
      <c r="AC55" s="1109"/>
      <c r="AD55" s="1032"/>
    </row>
    <row r="56" spans="1:30" ht="17.25" thickBot="1" thickTop="1">
      <c r="A56" s="819"/>
      <c r="B56" s="900"/>
      <c r="C56" s="1110"/>
      <c r="D56" s="942"/>
      <c r="E56" s="942"/>
      <c r="F56" s="1111"/>
      <c r="G56" s="1112"/>
      <c r="H56" s="1113"/>
      <c r="I56" s="1114"/>
      <c r="J56" s="1115"/>
      <c r="K56" s="1116"/>
      <c r="L56" s="1117"/>
      <c r="M56" s="1113"/>
      <c r="N56" s="1118"/>
      <c r="O56" s="1119"/>
      <c r="P56" s="1120"/>
      <c r="Q56" s="1158"/>
      <c r="R56" s="1122"/>
      <c r="S56" s="1122"/>
      <c r="T56" s="1122"/>
      <c r="U56" s="1123"/>
      <c r="V56" s="1123"/>
      <c r="W56" s="1123"/>
      <c r="X56" s="1123"/>
      <c r="Y56" s="1123"/>
      <c r="Z56" s="1123"/>
      <c r="AA56" s="1123"/>
      <c r="AB56" s="1159"/>
      <c r="AC56" s="1124">
        <f>SUM(AC49:AC55)</f>
        <v>8358.424</v>
      </c>
      <c r="AD56" s="1032"/>
    </row>
    <row r="57" spans="1:30" ht="20.25" thickBot="1" thickTop="1">
      <c r="A57" s="819"/>
      <c r="B57" s="900"/>
      <c r="C57" s="1110"/>
      <c r="D57" s="942"/>
      <c r="E57" s="942"/>
      <c r="F57" s="1111"/>
      <c r="G57" s="1112"/>
      <c r="H57" s="1113"/>
      <c r="I57" s="1114"/>
      <c r="J57" s="940" t="s">
        <v>428</v>
      </c>
      <c r="K57" s="941">
        <f>AC37+AC46+AC56</f>
        <v>9804.956776</v>
      </c>
      <c r="L57" s="1117"/>
      <c r="M57" s="1113"/>
      <c r="N57" s="1160"/>
      <c r="O57" s="1161"/>
      <c r="P57" s="1120"/>
      <c r="Q57" s="1158"/>
      <c r="R57" s="1162"/>
      <c r="S57" s="1162"/>
      <c r="T57" s="1162"/>
      <c r="U57" s="1159"/>
      <c r="V57" s="1159"/>
      <c r="W57" s="1159"/>
      <c r="X57" s="1159"/>
      <c r="Y57" s="1159"/>
      <c r="Z57" s="1159"/>
      <c r="AA57" s="1159"/>
      <c r="AB57" s="1159"/>
      <c r="AC57" s="1163"/>
      <c r="AD57" s="1032"/>
    </row>
    <row r="58" spans="1:30" ht="13.5" customHeight="1" thickTop="1">
      <c r="A58" s="819"/>
      <c r="B58" s="830"/>
      <c r="C58" s="924"/>
      <c r="D58" s="1164"/>
      <c r="E58" s="1165"/>
      <c r="F58" s="1166"/>
      <c r="G58" s="1167"/>
      <c r="H58" s="1167"/>
      <c r="I58" s="1165"/>
      <c r="J58" s="1168"/>
      <c r="K58" s="1168"/>
      <c r="L58" s="1165"/>
      <c r="M58" s="1165"/>
      <c r="N58" s="1165"/>
      <c r="O58" s="1169"/>
      <c r="P58" s="1165"/>
      <c r="Q58" s="1165"/>
      <c r="R58" s="1170"/>
      <c r="S58" s="1171"/>
      <c r="T58" s="1171"/>
      <c r="U58" s="1172"/>
      <c r="AC58" s="1172"/>
      <c r="AD58" s="1154"/>
    </row>
    <row r="59" spans="1:30" ht="16.5" customHeight="1">
      <c r="A59" s="819"/>
      <c r="B59" s="830"/>
      <c r="C59" s="1173" t="s">
        <v>429</v>
      </c>
      <c r="D59" s="1174" t="s">
        <v>471</v>
      </c>
      <c r="E59" s="1165"/>
      <c r="F59" s="1166"/>
      <c r="G59" s="1167"/>
      <c r="H59" s="1167"/>
      <c r="I59" s="1165"/>
      <c r="J59" s="1168"/>
      <c r="K59" s="1168"/>
      <c r="L59" s="1165"/>
      <c r="M59" s="1165"/>
      <c r="N59" s="1165"/>
      <c r="O59" s="1169"/>
      <c r="P59" s="1165"/>
      <c r="Q59" s="1165"/>
      <c r="R59" s="1170"/>
      <c r="S59" s="1171"/>
      <c r="T59" s="1171"/>
      <c r="U59" s="1172"/>
      <c r="AC59" s="1172"/>
      <c r="AD59" s="1154"/>
    </row>
    <row r="60" spans="1:30" ht="16.5" customHeight="1">
      <c r="A60" s="819"/>
      <c r="B60" s="830"/>
      <c r="C60" s="1173"/>
      <c r="D60" s="1164"/>
      <c r="E60" s="1165"/>
      <c r="F60" s="1166"/>
      <c r="G60" s="1167"/>
      <c r="H60" s="1167"/>
      <c r="I60" s="1165"/>
      <c r="J60" s="1168"/>
      <c r="K60" s="1168"/>
      <c r="L60" s="1165"/>
      <c r="M60" s="1165"/>
      <c r="N60" s="1165"/>
      <c r="O60" s="1169"/>
      <c r="P60" s="1165"/>
      <c r="Q60" s="1165"/>
      <c r="R60" s="1165"/>
      <c r="S60" s="1170"/>
      <c r="T60" s="1171"/>
      <c r="AD60" s="1154"/>
    </row>
    <row r="61" spans="2:30" s="819" customFormat="1" ht="16.5" customHeight="1">
      <c r="B61" s="830"/>
      <c r="C61" s="924"/>
      <c r="D61" s="1175" t="s">
        <v>5</v>
      </c>
      <c r="E61" s="1035" t="s">
        <v>430</v>
      </c>
      <c r="F61" s="1035" t="s">
        <v>431</v>
      </c>
      <c r="G61" s="1176" t="s">
        <v>472</v>
      </c>
      <c r="H61" s="1036"/>
      <c r="I61" s="1035"/>
      <c r="J61" s="865"/>
      <c r="K61" s="1177" t="s">
        <v>473</v>
      </c>
      <c r="L61" s="865"/>
      <c r="M61" s="865"/>
      <c r="O61" s="1177" t="s">
        <v>474</v>
      </c>
      <c r="P61" s="1178"/>
      <c r="Q61" s="1179"/>
      <c r="R61" s="1180"/>
      <c r="S61" s="831"/>
      <c r="T61" s="865"/>
      <c r="U61" s="865"/>
      <c r="V61" s="865"/>
      <c r="W61" s="865"/>
      <c r="X61" s="831"/>
      <c r="Y61" s="831"/>
      <c r="Z61" s="831"/>
      <c r="AA61" s="831"/>
      <c r="AB61" s="831"/>
      <c r="AC61" s="1181" t="s">
        <v>475</v>
      </c>
      <c r="AD61" s="1154"/>
    </row>
    <row r="62" spans="2:30" s="819" customFormat="1" ht="16.5" customHeight="1">
      <c r="B62" s="830"/>
      <c r="C62" s="924"/>
      <c r="D62" s="1035" t="s">
        <v>432</v>
      </c>
      <c r="E62" s="1182">
        <v>267</v>
      </c>
      <c r="F62" s="1183">
        <v>500</v>
      </c>
      <c r="G62" s="1184">
        <f>E62*$F$20*$L$21/100</f>
        <v>487178.4528</v>
      </c>
      <c r="H62" s="1184"/>
      <c r="I62" s="1184"/>
      <c r="J62" s="913"/>
      <c r="K62" s="1185">
        <v>863006</v>
      </c>
      <c r="L62" s="913"/>
      <c r="M62" s="1186" t="str">
        <f>"(DTE "&amp;DATO!$G$14&amp;DATO!$H$14&amp;")"</f>
        <v>(DTE 0912)</v>
      </c>
      <c r="R62" s="1180"/>
      <c r="S62" s="831"/>
      <c r="T62" s="865"/>
      <c r="U62" s="865"/>
      <c r="V62" s="865"/>
      <c r="W62" s="865"/>
      <c r="X62" s="831"/>
      <c r="Y62" s="831"/>
      <c r="Z62" s="831"/>
      <c r="AA62" s="831"/>
      <c r="AB62" s="1187"/>
      <c r="AC62" s="934">
        <f>K62+G62</f>
        <v>1350184.4528</v>
      </c>
      <c r="AD62" s="1154"/>
    </row>
    <row r="63" spans="2:30" s="819" customFormat="1" ht="16.5" customHeight="1">
      <c r="B63" s="830"/>
      <c r="C63" s="924"/>
      <c r="D63" s="1035" t="s">
        <v>433</v>
      </c>
      <c r="E63" s="1182">
        <f>3*3.6</f>
        <v>10.8</v>
      </c>
      <c r="F63" s="1183">
        <v>500</v>
      </c>
      <c r="G63" s="1184">
        <f>E63*$F$20*$L$21/100</f>
        <v>19706.09472</v>
      </c>
      <c r="H63" s="820"/>
      <c r="I63" s="1188"/>
      <c r="J63" s="913"/>
      <c r="K63" s="1184">
        <v>48868</v>
      </c>
      <c r="L63" s="913"/>
      <c r="M63" s="1186" t="str">
        <f>"(DTE "&amp;DATO!$G$14&amp;DATO!$H$14&amp;")"</f>
        <v>(DTE 0912)</v>
      </c>
      <c r="O63" s="1189"/>
      <c r="P63" s="865"/>
      <c r="Q63" s="1180"/>
      <c r="R63" s="1180"/>
      <c r="S63" s="831"/>
      <c r="T63" s="865"/>
      <c r="U63" s="865"/>
      <c r="V63" s="865"/>
      <c r="W63" s="865"/>
      <c r="X63" s="831"/>
      <c r="Y63" s="831"/>
      <c r="Z63" s="831"/>
      <c r="AA63" s="831"/>
      <c r="AB63" s="831"/>
      <c r="AC63" s="934">
        <f>K63+G63</f>
        <v>68574.09472</v>
      </c>
      <c r="AD63" s="1154"/>
    </row>
    <row r="64" spans="2:30" s="819" customFormat="1" ht="16.5" customHeight="1">
      <c r="B64" s="830"/>
      <c r="C64" s="924"/>
      <c r="E64" s="929"/>
      <c r="F64" s="1035"/>
      <c r="G64" s="1036"/>
      <c r="H64" s="865"/>
      <c r="I64" s="1035"/>
      <c r="J64" s="1035"/>
      <c r="K64" s="865"/>
      <c r="L64" s="934"/>
      <c r="M64" s="1179"/>
      <c r="N64" s="1179"/>
      <c r="O64" s="1185">
        <v>0</v>
      </c>
      <c r="P64" s="913"/>
      <c r="Q64" s="1186" t="str">
        <f>"(DTE "&amp;DATO!$G$14&amp;DATO!$H$14&amp;")"</f>
        <v>(DTE 0912)</v>
      </c>
      <c r="R64" s="1180"/>
      <c r="S64" s="831"/>
      <c r="T64" s="865"/>
      <c r="U64" s="865"/>
      <c r="V64" s="865"/>
      <c r="W64" s="865"/>
      <c r="X64" s="831"/>
      <c r="Y64" s="831"/>
      <c r="Z64" s="831"/>
      <c r="AA64" s="831"/>
      <c r="AB64" s="831"/>
      <c r="AC64" s="1190">
        <f>+O64</f>
        <v>0</v>
      </c>
      <c r="AD64" s="1154"/>
    </row>
    <row r="65" spans="2:30" s="819" customFormat="1" ht="10.5" customHeight="1" thickBot="1">
      <c r="B65" s="830"/>
      <c r="C65" s="924"/>
      <c r="E65" s="929"/>
      <c r="F65" s="1035"/>
      <c r="G65" s="1036"/>
      <c r="H65" s="865"/>
      <c r="I65" s="1035"/>
      <c r="J65" s="1035"/>
      <c r="K65" s="865"/>
      <c r="L65" s="934"/>
      <c r="M65" s="1179"/>
      <c r="N65" s="1179"/>
      <c r="O65" s="1185"/>
      <c r="P65" s="913"/>
      <c r="Q65" s="1186"/>
      <c r="R65" s="1180"/>
      <c r="S65" s="831"/>
      <c r="T65" s="865"/>
      <c r="U65" s="865"/>
      <c r="V65" s="865"/>
      <c r="W65" s="865"/>
      <c r="X65" s="831"/>
      <c r="Y65" s="831"/>
      <c r="Z65" s="831"/>
      <c r="AA65" s="831"/>
      <c r="AB65" s="831"/>
      <c r="AC65" s="934"/>
      <c r="AD65" s="1154"/>
    </row>
    <row r="66" spans="1:30" ht="21" customHeight="1" thickBot="1" thickTop="1">
      <c r="A66" s="819"/>
      <c r="B66" s="830"/>
      <c r="C66" s="924"/>
      <c r="D66" s="1168"/>
      <c r="E66" s="929"/>
      <c r="F66" s="1035"/>
      <c r="G66" s="1035"/>
      <c r="H66" s="1036"/>
      <c r="J66" s="1035"/>
      <c r="L66" s="1191"/>
      <c r="M66" s="1179"/>
      <c r="N66" s="1179"/>
      <c r="O66" s="1180"/>
      <c r="P66" s="1180"/>
      <c r="Q66" s="1180"/>
      <c r="R66" s="1180"/>
      <c r="S66" s="1180"/>
      <c r="AB66" s="1192" t="s">
        <v>434</v>
      </c>
      <c r="AC66" s="1193">
        <f>SUM(AC62:AC64)</f>
        <v>1418758.54752</v>
      </c>
      <c r="AD66" s="1154"/>
    </row>
    <row r="67" spans="1:30" ht="16.5" customHeight="1" thickBot="1" thickTop="1">
      <c r="A67" s="819"/>
      <c r="B67" s="830"/>
      <c r="C67" s="924"/>
      <c r="D67" s="1168"/>
      <c r="E67" s="929"/>
      <c r="F67" s="1035"/>
      <c r="G67" s="1035"/>
      <c r="H67" s="1036"/>
      <c r="J67" s="1035"/>
      <c r="L67" s="1191"/>
      <c r="M67" s="1179"/>
      <c r="N67" s="1179"/>
      <c r="O67" s="1180"/>
      <c r="P67" s="1180"/>
      <c r="Q67" s="1180"/>
      <c r="R67" s="1180"/>
      <c r="S67" s="1180"/>
      <c r="AC67" s="923"/>
      <c r="AD67" s="1154"/>
    </row>
    <row r="68" spans="1:30" ht="21" customHeight="1" thickBot="1" thickTop="1">
      <c r="A68" s="819"/>
      <c r="B68" s="830"/>
      <c r="C68" s="924"/>
      <c r="D68" s="1168"/>
      <c r="E68" s="929"/>
      <c r="F68" s="1035"/>
      <c r="G68" s="1035"/>
      <c r="H68" s="1036"/>
      <c r="J68" s="1035"/>
      <c r="L68" s="1191"/>
      <c r="M68" s="1179"/>
      <c r="N68" s="1179"/>
      <c r="O68" s="1180"/>
      <c r="P68" s="1180"/>
      <c r="Q68" s="1180"/>
      <c r="R68" s="1180"/>
      <c r="S68" s="1180"/>
      <c r="AB68" s="1192" t="s">
        <v>435</v>
      </c>
      <c r="AC68" s="1193">
        <v>1146250.74864</v>
      </c>
      <c r="AD68" s="1154"/>
    </row>
    <row r="69" spans="2:30" ht="16.5" customHeight="1" thickTop="1">
      <c r="B69" s="830"/>
      <c r="C69" s="1173" t="s">
        <v>436</v>
      </c>
      <c r="D69" s="1194" t="s">
        <v>437</v>
      </c>
      <c r="E69" s="1035"/>
      <c r="F69" s="1195"/>
      <c r="G69" s="1034"/>
      <c r="H69" s="1168"/>
      <c r="I69" s="1168"/>
      <c r="J69" s="1168"/>
      <c r="K69" s="1035"/>
      <c r="L69" s="1035"/>
      <c r="M69" s="1168"/>
      <c r="N69" s="1035"/>
      <c r="O69" s="1168"/>
      <c r="P69" s="1168"/>
      <c r="Q69" s="1168"/>
      <c r="R69" s="1168"/>
      <c r="S69" s="1168"/>
      <c r="T69" s="1168"/>
      <c r="U69" s="1168"/>
      <c r="AC69" s="1168"/>
      <c r="AD69" s="1154"/>
    </row>
    <row r="70" spans="2:30" s="819" customFormat="1" ht="16.5" customHeight="1">
      <c r="B70" s="830"/>
      <c r="C70" s="924"/>
      <c r="D70" s="1175" t="s">
        <v>438</v>
      </c>
      <c r="E70" s="1196">
        <f>10*K57*K26/AC66</f>
        <v>1980.4178562516126</v>
      </c>
      <c r="G70" s="1034"/>
      <c r="L70" s="1035"/>
      <c r="N70" s="1035"/>
      <c r="O70" s="1036"/>
      <c r="V70" s="865"/>
      <c r="W70" s="865"/>
      <c r="AD70" s="1154"/>
    </row>
    <row r="71" spans="2:30" s="819" customFormat="1" ht="16.5" customHeight="1">
      <c r="B71" s="830"/>
      <c r="C71" s="924"/>
      <c r="E71" s="1197"/>
      <c r="F71" s="938"/>
      <c r="G71" s="1034"/>
      <c r="J71" s="1034"/>
      <c r="K71" s="1054"/>
      <c r="L71" s="1035"/>
      <c r="M71" s="1035"/>
      <c r="N71" s="1035"/>
      <c r="O71" s="1036"/>
      <c r="P71" s="1035"/>
      <c r="Q71" s="1035"/>
      <c r="R71" s="1053"/>
      <c r="S71" s="1053"/>
      <c r="T71" s="1053"/>
      <c r="U71" s="1198"/>
      <c r="V71" s="865"/>
      <c r="W71" s="865"/>
      <c r="AC71" s="1198"/>
      <c r="AD71" s="1154"/>
    </row>
    <row r="72" spans="2:30" ht="16.5" customHeight="1">
      <c r="B72" s="830"/>
      <c r="C72" s="924"/>
      <c r="D72" s="1199" t="s">
        <v>439</v>
      </c>
      <c r="E72" s="1200"/>
      <c r="F72" s="938"/>
      <c r="G72" s="1034"/>
      <c r="H72" s="1168"/>
      <c r="I72" s="1168"/>
      <c r="N72" s="1035"/>
      <c r="O72" s="1036"/>
      <c r="P72" s="1035"/>
      <c r="Q72" s="1035"/>
      <c r="R72" s="1178"/>
      <c r="S72" s="1178"/>
      <c r="T72" s="1178"/>
      <c r="U72" s="1179"/>
      <c r="AC72" s="1179"/>
      <c r="AD72" s="1154"/>
    </row>
    <row r="73" spans="2:30" ht="16.5" customHeight="1" thickBot="1">
      <c r="B73" s="830"/>
      <c r="C73" s="924"/>
      <c r="D73" s="1199"/>
      <c r="E73" s="1200"/>
      <c r="F73" s="938"/>
      <c r="G73" s="1034"/>
      <c r="H73" s="1168"/>
      <c r="I73" s="1168"/>
      <c r="N73" s="1035"/>
      <c r="O73" s="1036"/>
      <c r="P73" s="1035"/>
      <c r="Q73" s="1035"/>
      <c r="R73" s="1178"/>
      <c r="S73" s="1178"/>
      <c r="T73" s="1178"/>
      <c r="U73" s="1179"/>
      <c r="AC73" s="1179"/>
      <c r="AD73" s="1154"/>
    </row>
    <row r="74" spans="2:30" s="1201" customFormat="1" ht="21" thickBot="1" thickTop="1">
      <c r="B74" s="1202"/>
      <c r="C74" s="1203"/>
      <c r="D74" s="1204"/>
      <c r="E74" s="1205"/>
      <c r="F74" s="1206"/>
      <c r="G74" s="1207"/>
      <c r="I74" s="865"/>
      <c r="J74" s="1208" t="s">
        <v>440</v>
      </c>
      <c r="K74" s="1209">
        <f>IF(E70&gt;3*K26,K26*3,E70)</f>
        <v>1980.4178562516126</v>
      </c>
      <c r="M74" s="1210"/>
      <c r="N74" s="1211" t="s">
        <v>476</v>
      </c>
      <c r="O74" s="1212"/>
      <c r="P74" s="1210"/>
      <c r="Q74" s="1210"/>
      <c r="R74" s="1213"/>
      <c r="S74" s="1213"/>
      <c r="T74" s="1213"/>
      <c r="U74" s="1214"/>
      <c r="V74" s="865"/>
      <c r="W74" s="865"/>
      <c r="AC74" s="1214"/>
      <c r="AD74" s="1215"/>
    </row>
    <row r="75" spans="2:30" ht="16.5" customHeight="1" thickBot="1" thickTop="1">
      <c r="B75" s="882"/>
      <c r="C75" s="884"/>
      <c r="D75" s="884"/>
      <c r="E75" s="884"/>
      <c r="F75" s="884"/>
      <c r="G75" s="884"/>
      <c r="H75" s="884"/>
      <c r="I75" s="884"/>
      <c r="J75" s="884"/>
      <c r="K75" s="884"/>
      <c r="L75" s="884"/>
      <c r="M75" s="884"/>
      <c r="N75" s="884"/>
      <c r="O75" s="884"/>
      <c r="P75" s="884"/>
      <c r="Q75" s="884"/>
      <c r="R75" s="884"/>
      <c r="S75" s="884"/>
      <c r="T75" s="884"/>
      <c r="U75" s="884"/>
      <c r="V75" s="1216"/>
      <c r="W75" s="1216"/>
      <c r="X75" s="1216"/>
      <c r="Y75" s="1216"/>
      <c r="Z75" s="1216"/>
      <c r="AA75" s="1216"/>
      <c r="AB75" s="1216"/>
      <c r="AC75" s="884"/>
      <c r="AD75" s="1217"/>
    </row>
    <row r="76" spans="2:23" ht="16.5" customHeight="1" thickTop="1">
      <c r="B76" s="919"/>
      <c r="C76" s="1218"/>
      <c r="W76" s="919"/>
    </row>
  </sheetData>
  <sheetProtection/>
  <mergeCells count="28">
    <mergeCell ref="F39:G39"/>
    <mergeCell ref="P39:Q39"/>
    <mergeCell ref="F40:G40"/>
    <mergeCell ref="P40:Q40"/>
    <mergeCell ref="F43:G43"/>
    <mergeCell ref="P43:Q43"/>
    <mergeCell ref="F44:G44"/>
    <mergeCell ref="P44:Q44"/>
    <mergeCell ref="F41:G41"/>
    <mergeCell ref="P41:Q41"/>
    <mergeCell ref="F42:G42"/>
    <mergeCell ref="P42:Q42"/>
    <mergeCell ref="F49:G49"/>
    <mergeCell ref="F50:G50"/>
    <mergeCell ref="P50:Q50"/>
    <mergeCell ref="F51:G51"/>
    <mergeCell ref="P51:Q51"/>
    <mergeCell ref="F45:G45"/>
    <mergeCell ref="P45:Q45"/>
    <mergeCell ref="F48:G48"/>
    <mergeCell ref="P48:Q48"/>
    <mergeCell ref="F54:G54"/>
    <mergeCell ref="P54:Q54"/>
    <mergeCell ref="F55:G55"/>
    <mergeCell ref="F52:G52"/>
    <mergeCell ref="P52:Q52"/>
    <mergeCell ref="F53:G53"/>
    <mergeCell ref="P53:Q53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39" r:id="rId2"/>
  <headerFooter alignWithMargins="0">
    <oddFooter>&amp;L&amp;"Times New Roman,Normal"&amp;8&amp;F-&amp;A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2"/>
  <sheetViews>
    <sheetView zoomScale="60" zoomScaleNormal="60" zoomScalePageLayoutView="0" workbookViewId="0" topLeftCell="A1">
      <selection activeCell="N51" sqref="N51"/>
    </sheetView>
  </sheetViews>
  <sheetFormatPr defaultColWidth="11.421875" defaultRowHeight="12.75"/>
  <cols>
    <col min="1" max="1" width="23.00390625" style="865" customWidth="1"/>
    <col min="2" max="2" width="11.8515625" style="865" customWidth="1"/>
    <col min="3" max="3" width="6.57421875" style="865" bestFit="1" customWidth="1"/>
    <col min="4" max="4" width="17.140625" style="865" customWidth="1"/>
    <col min="5" max="5" width="22.8515625" style="865" customWidth="1"/>
    <col min="6" max="6" width="16.57421875" style="865" customWidth="1"/>
    <col min="7" max="7" width="14.421875" style="865" customWidth="1"/>
    <col min="8" max="8" width="7.140625" style="865" hidden="1" customWidth="1"/>
    <col min="9" max="9" width="22.00390625" style="865" customWidth="1"/>
    <col min="10" max="10" width="21.57421875" style="865" bestFit="1" customWidth="1"/>
    <col min="11" max="11" width="18.7109375" style="865" customWidth="1"/>
    <col min="12" max="13" width="10.7109375" style="865" customWidth="1"/>
    <col min="14" max="14" width="9.7109375" style="865" customWidth="1"/>
    <col min="15" max="15" width="31.28125" style="865" customWidth="1"/>
    <col min="16" max="16" width="11.57421875" style="865" hidden="1" customWidth="1"/>
    <col min="17" max="17" width="14.8515625" style="865" hidden="1" customWidth="1"/>
    <col min="18" max="19" width="4.00390625" style="865" hidden="1" customWidth="1"/>
    <col min="20" max="20" width="13.7109375" style="865" hidden="1" customWidth="1"/>
    <col min="21" max="21" width="14.8515625" style="865" customWidth="1"/>
    <col min="22" max="22" width="20.7109375" style="865" customWidth="1"/>
    <col min="23" max="23" width="12.140625" style="865" customWidth="1"/>
    <col min="24" max="24" width="17.7109375" style="865" customWidth="1"/>
    <col min="25" max="25" width="12.8515625" style="865" customWidth="1"/>
    <col min="26" max="26" width="14.28125" style="865" customWidth="1"/>
    <col min="27" max="27" width="24.28125" style="865" customWidth="1"/>
    <col min="28" max="28" width="9.7109375" style="865" customWidth="1"/>
    <col min="29" max="29" width="17.28125" style="865" customWidth="1"/>
    <col min="30" max="30" width="25.7109375" style="865" customWidth="1"/>
    <col min="31" max="31" width="4.140625" style="865" customWidth="1"/>
    <col min="32" max="32" width="7.140625" style="865" customWidth="1"/>
    <col min="33" max="33" width="5.28125" style="865" customWidth="1"/>
    <col min="34" max="34" width="5.421875" style="865" customWidth="1"/>
    <col min="35" max="35" width="4.7109375" style="865" customWidth="1"/>
    <col min="36" max="36" width="5.28125" style="865" customWidth="1"/>
    <col min="37" max="38" width="13.28125" style="865" customWidth="1"/>
    <col min="39" max="39" width="6.57421875" style="865" customWidth="1"/>
    <col min="40" max="40" width="6.421875" style="865" customWidth="1"/>
    <col min="41" max="44" width="11.421875" style="865" customWidth="1"/>
    <col min="45" max="45" width="12.7109375" style="865" customWidth="1"/>
    <col min="46" max="48" width="11.421875" style="865" customWidth="1"/>
    <col min="49" max="49" width="21.00390625" style="865" customWidth="1"/>
    <col min="50" max="16384" width="11.421875" style="865" customWidth="1"/>
  </cols>
  <sheetData>
    <row r="1" spans="1:30" ht="13.5">
      <c r="A1" s="889"/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804"/>
      <c r="N1" s="804"/>
      <c r="O1" s="804"/>
      <c r="P1" s="804"/>
      <c r="Q1" s="804"/>
      <c r="R1" s="804"/>
      <c r="S1" s="804"/>
      <c r="T1" s="804"/>
      <c r="U1" s="804"/>
      <c r="V1" s="804"/>
      <c r="W1" s="890"/>
      <c r="AD1" s="1219"/>
    </row>
    <row r="2" spans="1:23" ht="27" customHeight="1">
      <c r="A2" s="889"/>
      <c r="B2" s="804"/>
      <c r="C2" s="804"/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</row>
    <row r="3" spans="1:30" s="894" customFormat="1" ht="30.75">
      <c r="A3" s="891"/>
      <c r="B3" s="892" t="str">
        <f>+'TOT-0912'!B2</f>
        <v>ANEXO IV al Memorándum  D.T.E.E.  N° 295 / 2014</v>
      </c>
      <c r="C3" s="893"/>
      <c r="D3" s="893"/>
      <c r="E3" s="893"/>
      <c r="F3" s="893"/>
      <c r="G3" s="893"/>
      <c r="H3" s="893"/>
      <c r="I3" s="893"/>
      <c r="J3" s="893"/>
      <c r="K3" s="893"/>
      <c r="L3" s="893"/>
      <c r="M3" s="893"/>
      <c r="N3" s="893"/>
      <c r="O3" s="893"/>
      <c r="P3" s="893"/>
      <c r="Q3" s="893"/>
      <c r="R3" s="893"/>
      <c r="S3" s="893"/>
      <c r="T3" s="893"/>
      <c r="U3" s="893"/>
      <c r="V3" s="893"/>
      <c r="W3" s="893"/>
      <c r="AB3" s="893"/>
      <c r="AC3" s="893"/>
      <c r="AD3" s="893"/>
    </row>
    <row r="4" spans="1:2" s="812" customFormat="1" ht="11.25">
      <c r="A4" s="1220" t="s">
        <v>2</v>
      </c>
      <c r="B4" s="1221"/>
    </row>
    <row r="5" spans="1:2" s="812" customFormat="1" ht="12" thickBot="1">
      <c r="A5" s="1220" t="s">
        <v>3</v>
      </c>
      <c r="B5" s="1220"/>
    </row>
    <row r="6" spans="1:23" ht="16.5" customHeight="1" thickTop="1">
      <c r="A6" s="804"/>
      <c r="B6" s="895"/>
      <c r="C6" s="896"/>
      <c r="D6" s="896"/>
      <c r="E6" s="897"/>
      <c r="F6" s="896"/>
      <c r="G6" s="896"/>
      <c r="H6" s="896"/>
      <c r="I6" s="896"/>
      <c r="J6" s="896"/>
      <c r="K6" s="896"/>
      <c r="L6" s="896"/>
      <c r="M6" s="896"/>
      <c r="N6" s="896"/>
      <c r="O6" s="896"/>
      <c r="P6" s="896"/>
      <c r="Q6" s="896"/>
      <c r="R6" s="896"/>
      <c r="S6" s="896"/>
      <c r="T6" s="896"/>
      <c r="U6" s="896"/>
      <c r="V6" s="896"/>
      <c r="W6" s="899"/>
    </row>
    <row r="7" spans="1:23" ht="20.25">
      <c r="A7" s="804"/>
      <c r="B7" s="900"/>
      <c r="C7" s="871"/>
      <c r="D7" s="901" t="s">
        <v>398</v>
      </c>
      <c r="E7" s="871"/>
      <c r="F7" s="871"/>
      <c r="G7" s="871"/>
      <c r="H7" s="871"/>
      <c r="I7" s="871"/>
      <c r="J7" s="871"/>
      <c r="K7" s="871"/>
      <c r="L7" s="871"/>
      <c r="M7" s="871"/>
      <c r="N7" s="871"/>
      <c r="O7" s="871"/>
      <c r="P7" s="902"/>
      <c r="Q7" s="902"/>
      <c r="R7" s="871"/>
      <c r="S7" s="871"/>
      <c r="T7" s="871"/>
      <c r="U7" s="871"/>
      <c r="V7" s="871"/>
      <c r="W7" s="903"/>
    </row>
    <row r="8" spans="1:23" ht="16.5" customHeight="1">
      <c r="A8" s="804"/>
      <c r="B8" s="900"/>
      <c r="C8" s="871"/>
      <c r="D8" s="871"/>
      <c r="E8" s="871"/>
      <c r="F8" s="871"/>
      <c r="G8" s="871"/>
      <c r="H8" s="871"/>
      <c r="I8" s="871"/>
      <c r="J8" s="871"/>
      <c r="K8" s="871"/>
      <c r="L8" s="871"/>
      <c r="M8" s="871"/>
      <c r="N8" s="871"/>
      <c r="O8" s="871"/>
      <c r="P8" s="871"/>
      <c r="Q8" s="871"/>
      <c r="R8" s="871"/>
      <c r="S8" s="871"/>
      <c r="T8" s="871"/>
      <c r="U8" s="871"/>
      <c r="V8" s="871"/>
      <c r="W8" s="903"/>
    </row>
    <row r="9" spans="2:23" s="904" customFormat="1" ht="20.25">
      <c r="B9" s="905"/>
      <c r="C9" s="906"/>
      <c r="D9" s="901" t="s">
        <v>399</v>
      </c>
      <c r="E9" s="906"/>
      <c r="F9" s="906"/>
      <c r="G9" s="906"/>
      <c r="H9" s="906"/>
      <c r="N9" s="906"/>
      <c r="O9" s="906"/>
      <c r="P9" s="907"/>
      <c r="Q9" s="907"/>
      <c r="R9" s="906"/>
      <c r="S9" s="906"/>
      <c r="T9" s="906"/>
      <c r="U9" s="906"/>
      <c r="V9" s="906"/>
      <c r="W9" s="908"/>
    </row>
    <row r="10" spans="1:23" ht="16.5" customHeight="1">
      <c r="A10" s="804"/>
      <c r="B10" s="900"/>
      <c r="C10" s="871"/>
      <c r="D10" s="871"/>
      <c r="E10" s="871"/>
      <c r="F10" s="871"/>
      <c r="G10" s="871"/>
      <c r="H10" s="871"/>
      <c r="I10" s="871"/>
      <c r="J10" s="871"/>
      <c r="K10" s="871"/>
      <c r="L10" s="871"/>
      <c r="M10" s="871"/>
      <c r="N10" s="871"/>
      <c r="O10" s="871"/>
      <c r="P10" s="871"/>
      <c r="Q10" s="871"/>
      <c r="R10" s="871"/>
      <c r="S10" s="871"/>
      <c r="T10" s="871"/>
      <c r="U10" s="871"/>
      <c r="V10" s="871"/>
      <c r="W10" s="903"/>
    </row>
    <row r="11" spans="2:23" s="904" customFormat="1" ht="20.25">
      <c r="B11" s="905"/>
      <c r="C11" s="906"/>
      <c r="D11" s="901" t="s">
        <v>502</v>
      </c>
      <c r="E11" s="906"/>
      <c r="F11" s="906"/>
      <c r="G11" s="906"/>
      <c r="H11" s="906"/>
      <c r="N11" s="906"/>
      <c r="O11" s="906"/>
      <c r="P11" s="907"/>
      <c r="Q11" s="907"/>
      <c r="R11" s="906"/>
      <c r="S11" s="906"/>
      <c r="T11" s="906"/>
      <c r="U11" s="906"/>
      <c r="V11" s="906"/>
      <c r="W11" s="908"/>
    </row>
    <row r="12" spans="1:23" ht="16.5" customHeight="1">
      <c r="A12" s="804"/>
      <c r="B12" s="900"/>
      <c r="C12" s="871"/>
      <c r="D12" s="871"/>
      <c r="E12" s="804"/>
      <c r="F12" s="804"/>
      <c r="G12" s="804"/>
      <c r="H12" s="804"/>
      <c r="I12" s="909"/>
      <c r="J12" s="909"/>
      <c r="K12" s="909"/>
      <c r="L12" s="909"/>
      <c r="M12" s="909"/>
      <c r="N12" s="909"/>
      <c r="O12" s="909"/>
      <c r="P12" s="909"/>
      <c r="Q12" s="909"/>
      <c r="R12" s="871"/>
      <c r="S12" s="871"/>
      <c r="T12" s="871"/>
      <c r="U12" s="871"/>
      <c r="V12" s="871"/>
      <c r="W12" s="903"/>
    </row>
    <row r="13" spans="2:23" s="904" customFormat="1" ht="19.5">
      <c r="B13" s="827" t="str">
        <f>'[4]TOT-0812'!B14</f>
        <v>Desde el 01 al 31 de agosto de 2012</v>
      </c>
      <c r="C13" s="910"/>
      <c r="D13" s="911"/>
      <c r="E13" s="911"/>
      <c r="F13" s="911"/>
      <c r="G13" s="911"/>
      <c r="H13" s="911"/>
      <c r="I13" s="912"/>
      <c r="J13" s="913"/>
      <c r="K13" s="912"/>
      <c r="L13" s="912"/>
      <c r="M13" s="912"/>
      <c r="N13" s="912"/>
      <c r="O13" s="912"/>
      <c r="P13" s="912"/>
      <c r="Q13" s="912"/>
      <c r="R13" s="912"/>
      <c r="S13" s="912"/>
      <c r="T13" s="912"/>
      <c r="U13" s="914"/>
      <c r="V13" s="914"/>
      <c r="W13" s="916"/>
    </row>
    <row r="14" spans="1:23" ht="16.5" customHeight="1">
      <c r="A14" s="804"/>
      <c r="B14" s="900"/>
      <c r="C14" s="871"/>
      <c r="D14" s="871"/>
      <c r="E14" s="872"/>
      <c r="F14" s="872"/>
      <c r="G14" s="871"/>
      <c r="H14" s="871"/>
      <c r="I14" s="871"/>
      <c r="J14" s="917"/>
      <c r="K14" s="871"/>
      <c r="L14" s="871"/>
      <c r="M14" s="871"/>
      <c r="N14" s="804"/>
      <c r="O14" s="804"/>
      <c r="P14" s="871"/>
      <c r="Q14" s="871"/>
      <c r="R14" s="871"/>
      <c r="S14" s="871"/>
      <c r="T14" s="871"/>
      <c r="U14" s="871"/>
      <c r="V14" s="871"/>
      <c r="W14" s="903"/>
    </row>
    <row r="15" spans="1:23" ht="16.5" customHeight="1">
      <c r="A15" s="804"/>
      <c r="B15" s="900"/>
      <c r="C15" s="871"/>
      <c r="D15" s="871"/>
      <c r="E15" s="872"/>
      <c r="F15" s="872"/>
      <c r="G15" s="871"/>
      <c r="H15" s="871"/>
      <c r="I15" s="918"/>
      <c r="J15" s="871"/>
      <c r="K15" s="919"/>
      <c r="M15" s="871"/>
      <c r="N15" s="804"/>
      <c r="O15" s="804"/>
      <c r="P15" s="871"/>
      <c r="Q15" s="871"/>
      <c r="R15" s="871"/>
      <c r="S15" s="871"/>
      <c r="T15" s="871"/>
      <c r="U15" s="871"/>
      <c r="V15" s="871"/>
      <c r="W15" s="903"/>
    </row>
    <row r="16" spans="1:23" ht="16.5" customHeight="1">
      <c r="A16" s="804"/>
      <c r="B16" s="900"/>
      <c r="C16" s="871"/>
      <c r="D16" s="871"/>
      <c r="E16" s="872"/>
      <c r="F16" s="872"/>
      <c r="G16" s="871"/>
      <c r="H16" s="871"/>
      <c r="I16" s="918"/>
      <c r="J16" s="871"/>
      <c r="K16" s="919"/>
      <c r="M16" s="871"/>
      <c r="N16" s="804"/>
      <c r="O16" s="804"/>
      <c r="P16" s="871"/>
      <c r="Q16" s="871"/>
      <c r="R16" s="871"/>
      <c r="S16" s="871"/>
      <c r="T16" s="871"/>
      <c r="U16" s="871"/>
      <c r="V16" s="871"/>
      <c r="W16" s="903"/>
    </row>
    <row r="17" spans="1:23" ht="16.5" customHeight="1" thickBot="1">
      <c r="A17" s="804"/>
      <c r="B17" s="900"/>
      <c r="C17" s="920" t="s">
        <v>401</v>
      </c>
      <c r="D17" s="921" t="s">
        <v>402</v>
      </c>
      <c r="E17" s="872"/>
      <c r="F17" s="872"/>
      <c r="G17" s="871"/>
      <c r="H17" s="871"/>
      <c r="I17" s="871"/>
      <c r="J17" s="917"/>
      <c r="K17" s="871"/>
      <c r="L17" s="871"/>
      <c r="M17" s="871"/>
      <c r="N17" s="804"/>
      <c r="O17" s="804"/>
      <c r="P17" s="871"/>
      <c r="Q17" s="871"/>
      <c r="R17" s="871"/>
      <c r="S17" s="871"/>
      <c r="T17" s="871"/>
      <c r="U17" s="871"/>
      <c r="V17" s="871"/>
      <c r="W17" s="903"/>
    </row>
    <row r="18" spans="2:23" s="819" customFormat="1" ht="16.5" customHeight="1" thickBot="1">
      <c r="B18" s="830"/>
      <c r="C18" s="831"/>
      <c r="D18" s="922"/>
      <c r="E18" s="930"/>
      <c r="F18" s="1184"/>
      <c r="G18" s="1186"/>
      <c r="H18" s="831"/>
      <c r="I18" s="831"/>
      <c r="J18" s="925"/>
      <c r="K18" s="831"/>
      <c r="L18" s="831"/>
      <c r="M18" s="831"/>
      <c r="N18" s="1222" t="s">
        <v>34</v>
      </c>
      <c r="P18" s="831"/>
      <c r="Q18" s="831"/>
      <c r="R18" s="831"/>
      <c r="S18" s="831"/>
      <c r="T18" s="831"/>
      <c r="U18" s="831"/>
      <c r="V18" s="831"/>
      <c r="W18" s="926"/>
    </row>
    <row r="19" spans="2:23" s="819" customFormat="1" ht="16.5" customHeight="1">
      <c r="B19" s="830"/>
      <c r="C19" s="831"/>
      <c r="D19" s="821"/>
      <c r="E19" s="930" t="s">
        <v>405</v>
      </c>
      <c r="F19" s="931">
        <v>0.025</v>
      </c>
      <c r="G19" s="928"/>
      <c r="H19" s="831"/>
      <c r="I19" s="935"/>
      <c r="J19" s="936"/>
      <c r="K19" s="1223" t="s">
        <v>441</v>
      </c>
      <c r="L19" s="1224"/>
      <c r="M19" s="1225">
        <v>138.215</v>
      </c>
      <c r="N19" s="1226">
        <v>200</v>
      </c>
      <c r="R19" s="831"/>
      <c r="S19" s="831"/>
      <c r="T19" s="831"/>
      <c r="U19" s="831"/>
      <c r="V19" s="831"/>
      <c r="W19" s="926"/>
    </row>
    <row r="20" spans="2:23" s="819" customFormat="1" ht="16.5" customHeight="1">
      <c r="B20" s="830"/>
      <c r="C20" s="831"/>
      <c r="D20" s="821"/>
      <c r="E20" s="922" t="s">
        <v>408</v>
      </c>
      <c r="F20" s="831">
        <f>MID(B13,16,2)*24</f>
        <v>744</v>
      </c>
      <c r="G20" s="831" t="s">
        <v>409</v>
      </c>
      <c r="H20" s="831"/>
      <c r="I20" s="831"/>
      <c r="J20" s="831"/>
      <c r="K20" s="1227" t="s">
        <v>69</v>
      </c>
      <c r="L20" s="1228"/>
      <c r="M20" s="1229" t="s">
        <v>336</v>
      </c>
      <c r="N20" s="1230">
        <v>100</v>
      </c>
      <c r="O20" s="831"/>
      <c r="P20" s="1231"/>
      <c r="Q20" s="831"/>
      <c r="R20" s="831"/>
      <c r="S20" s="831"/>
      <c r="T20" s="831"/>
      <c r="U20" s="831"/>
      <c r="V20" s="831"/>
      <c r="W20" s="926"/>
    </row>
    <row r="21" spans="2:23" s="819" customFormat="1" ht="16.5" customHeight="1" thickBot="1">
      <c r="B21" s="830"/>
      <c r="C21" s="831"/>
      <c r="D21" s="821"/>
      <c r="E21" s="922" t="s">
        <v>442</v>
      </c>
      <c r="F21" s="831">
        <v>0.697</v>
      </c>
      <c r="G21" s="819" t="s">
        <v>407</v>
      </c>
      <c r="H21" s="831"/>
      <c r="I21" s="831"/>
      <c r="J21" s="831"/>
      <c r="K21" s="1232" t="s">
        <v>443</v>
      </c>
      <c r="L21" s="1233"/>
      <c r="M21" s="1234">
        <v>110.573</v>
      </c>
      <c r="N21" s="1235">
        <v>40</v>
      </c>
      <c r="O21" s="831"/>
      <c r="P21" s="1231"/>
      <c r="Q21" s="831"/>
      <c r="R21" s="831"/>
      <c r="S21" s="831"/>
      <c r="T21" s="831"/>
      <c r="U21" s="831"/>
      <c r="V21" s="831"/>
      <c r="W21" s="926"/>
    </row>
    <row r="22" spans="2:23" s="819" customFormat="1" ht="16.5" customHeight="1">
      <c r="B22" s="830"/>
      <c r="C22" s="831"/>
      <c r="D22" s="831"/>
      <c r="E22" s="938"/>
      <c r="F22" s="831"/>
      <c r="G22" s="831"/>
      <c r="H22" s="831"/>
      <c r="I22" s="831"/>
      <c r="J22" s="831"/>
      <c r="K22" s="831"/>
      <c r="L22" s="831"/>
      <c r="M22" s="831"/>
      <c r="N22" s="831"/>
      <c r="O22" s="831"/>
      <c r="P22" s="831"/>
      <c r="Q22" s="831"/>
      <c r="R22" s="831"/>
      <c r="S22" s="831"/>
      <c r="T22" s="831"/>
      <c r="U22" s="831"/>
      <c r="V22" s="831"/>
      <c r="W22" s="926"/>
    </row>
    <row r="23" spans="1:23" ht="16.5" customHeight="1">
      <c r="A23" s="804"/>
      <c r="B23" s="900"/>
      <c r="C23" s="920" t="s">
        <v>411</v>
      </c>
      <c r="D23" s="939" t="s">
        <v>469</v>
      </c>
      <c r="I23" s="871"/>
      <c r="J23" s="819"/>
      <c r="O23" s="871"/>
      <c r="P23" s="871"/>
      <c r="Q23" s="871"/>
      <c r="R23" s="871"/>
      <c r="S23" s="871"/>
      <c r="T23" s="871"/>
      <c r="V23" s="871"/>
      <c r="W23" s="903"/>
    </row>
    <row r="24" spans="1:23" ht="10.5" customHeight="1" thickBot="1">
      <c r="A24" s="804"/>
      <c r="B24" s="900"/>
      <c r="C24" s="872"/>
      <c r="D24" s="939"/>
      <c r="I24" s="871"/>
      <c r="J24" s="819"/>
      <c r="O24" s="871"/>
      <c r="P24" s="871"/>
      <c r="Q24" s="871"/>
      <c r="R24" s="871"/>
      <c r="S24" s="871"/>
      <c r="T24" s="871"/>
      <c r="V24" s="871"/>
      <c r="W24" s="903"/>
    </row>
    <row r="25" spans="2:23" s="819" customFormat="1" ht="21" customHeight="1" thickBot="1" thickTop="1">
      <c r="B25" s="830"/>
      <c r="C25" s="924"/>
      <c r="D25" s="865"/>
      <c r="E25" s="865"/>
      <c r="F25" s="865"/>
      <c r="G25" s="865"/>
      <c r="H25" s="865"/>
      <c r="I25" s="940" t="s">
        <v>412</v>
      </c>
      <c r="J25" s="941">
        <f>+V73*F19</f>
        <v>27320.249900000003</v>
      </c>
      <c r="L25" s="865"/>
      <c r="S25" s="865"/>
      <c r="T25" s="865"/>
      <c r="U25" s="865"/>
      <c r="W25" s="926"/>
    </row>
    <row r="26" spans="2:23" s="819" customFormat="1" ht="11.25" customHeight="1" thickTop="1">
      <c r="B26" s="830"/>
      <c r="C26" s="924"/>
      <c r="D26" s="831"/>
      <c r="E26" s="938"/>
      <c r="F26" s="831"/>
      <c r="G26" s="831"/>
      <c r="H26" s="831"/>
      <c r="I26" s="831"/>
      <c r="J26" s="831"/>
      <c r="K26" s="831"/>
      <c r="L26" s="831"/>
      <c r="M26" s="831"/>
      <c r="N26" s="831"/>
      <c r="O26" s="831"/>
      <c r="P26" s="831"/>
      <c r="Q26" s="831"/>
      <c r="R26" s="831"/>
      <c r="S26" s="831"/>
      <c r="T26" s="831"/>
      <c r="U26" s="865"/>
      <c r="W26" s="926"/>
    </row>
    <row r="27" spans="1:23" ht="16.5" customHeight="1">
      <c r="A27" s="804"/>
      <c r="B27" s="900"/>
      <c r="C27" s="920" t="s">
        <v>413</v>
      </c>
      <c r="D27" s="939" t="s">
        <v>470</v>
      </c>
      <c r="E27" s="942"/>
      <c r="F27" s="871"/>
      <c r="G27" s="871"/>
      <c r="H27" s="871"/>
      <c r="I27" s="871"/>
      <c r="J27" s="871"/>
      <c r="K27" s="871"/>
      <c r="L27" s="871"/>
      <c r="M27" s="871"/>
      <c r="N27" s="871"/>
      <c r="O27" s="871"/>
      <c r="P27" s="871"/>
      <c r="Q27" s="871"/>
      <c r="R27" s="871"/>
      <c r="S27" s="871"/>
      <c r="T27" s="871"/>
      <c r="U27" s="871"/>
      <c r="V27" s="871"/>
      <c r="W27" s="903"/>
    </row>
    <row r="28" spans="1:23" ht="13.5" customHeight="1" thickBot="1">
      <c r="A28" s="819"/>
      <c r="B28" s="900"/>
      <c r="C28" s="924"/>
      <c r="D28" s="924"/>
      <c r="E28" s="1033"/>
      <c r="F28" s="938"/>
      <c r="G28" s="1034"/>
      <c r="H28" s="1034"/>
      <c r="I28" s="1035"/>
      <c r="J28" s="1035"/>
      <c r="K28" s="1035"/>
      <c r="L28" s="1035"/>
      <c r="M28" s="1035"/>
      <c r="N28" s="1035"/>
      <c r="O28" s="1036"/>
      <c r="P28" s="1035"/>
      <c r="Q28" s="1035"/>
      <c r="R28" s="1236"/>
      <c r="S28" s="1237"/>
      <c r="T28" s="1238"/>
      <c r="U28" s="1238"/>
      <c r="V28" s="1238"/>
      <c r="W28" s="1032"/>
    </row>
    <row r="29" spans="1:26" s="804" customFormat="1" ht="33.75" customHeight="1" thickBot="1" thickTop="1">
      <c r="A29" s="889"/>
      <c r="B29" s="1055"/>
      <c r="C29" s="1056" t="s">
        <v>28</v>
      </c>
      <c r="D29" s="1057" t="s">
        <v>58</v>
      </c>
      <c r="E29" s="1058" t="s">
        <v>59</v>
      </c>
      <c r="F29" s="1239" t="s">
        <v>60</v>
      </c>
      <c r="G29" s="964" t="s">
        <v>31</v>
      </c>
      <c r="H29" s="1059" t="s">
        <v>35</v>
      </c>
      <c r="I29" s="1058" t="s">
        <v>36</v>
      </c>
      <c r="J29" s="1058" t="s">
        <v>37</v>
      </c>
      <c r="K29" s="1057" t="s">
        <v>61</v>
      </c>
      <c r="L29" s="1057" t="s">
        <v>39</v>
      </c>
      <c r="M29" s="951" t="s">
        <v>420</v>
      </c>
      <c r="N29" s="1058" t="s">
        <v>42</v>
      </c>
      <c r="O29" s="1240" t="s">
        <v>62</v>
      </c>
      <c r="P29" s="1059" t="s">
        <v>422</v>
      </c>
      <c r="Q29" s="1061" t="s">
        <v>43</v>
      </c>
      <c r="R29" s="1062" t="s">
        <v>423</v>
      </c>
      <c r="S29" s="1063"/>
      <c r="T29" s="1064" t="s">
        <v>47</v>
      </c>
      <c r="U29" s="836" t="s">
        <v>49</v>
      </c>
      <c r="V29" s="964" t="s">
        <v>50</v>
      </c>
      <c r="W29" s="903"/>
      <c r="Y29" s="865"/>
      <c r="Z29" s="865"/>
    </row>
    <row r="30" spans="1:23" ht="16.5" customHeight="1" thickTop="1">
      <c r="A30" s="804"/>
      <c r="B30" s="900"/>
      <c r="C30" s="1068"/>
      <c r="D30" s="1068"/>
      <c r="E30" s="1068"/>
      <c r="F30" s="1068"/>
      <c r="G30" s="1241"/>
      <c r="H30" s="1242"/>
      <c r="I30" s="1068"/>
      <c r="J30" s="1068"/>
      <c r="K30" s="1068"/>
      <c r="L30" s="1068"/>
      <c r="M30" s="1068"/>
      <c r="N30" s="1070"/>
      <c r="O30" s="1243"/>
      <c r="P30" s="1244"/>
      <c r="Q30" s="1245"/>
      <c r="R30" s="1246"/>
      <c r="S30" s="1247"/>
      <c r="T30" s="1248"/>
      <c r="U30" s="1070"/>
      <c r="V30" s="1073"/>
      <c r="W30" s="903"/>
    </row>
    <row r="31" spans="1:23" ht="16.5" customHeight="1">
      <c r="A31" s="804"/>
      <c r="B31" s="900"/>
      <c r="C31" s="989" t="s">
        <v>418</v>
      </c>
      <c r="D31" s="362" t="s">
        <v>285</v>
      </c>
      <c r="E31" s="363" t="s">
        <v>286</v>
      </c>
      <c r="F31" s="364">
        <v>300</v>
      </c>
      <c r="G31" s="618" t="s">
        <v>82</v>
      </c>
      <c r="H31" s="1076">
        <f aca="true" t="shared" si="0" ref="H31:H37">F31*$F$21</f>
        <v>209.1</v>
      </c>
      <c r="I31" s="1095">
        <v>41159.319444444445</v>
      </c>
      <c r="J31" s="1095">
        <v>41159.74375</v>
      </c>
      <c r="K31" s="1080">
        <f aca="true" t="shared" si="1" ref="K31:K36">IF(D31="","",(J31-I31)*24)</f>
        <v>10.183333333348855</v>
      </c>
      <c r="L31" s="1081">
        <f aca="true" t="shared" si="2" ref="L31:L36">IF(D31="","",(J31-I31)*24*60)</f>
        <v>611.0000000009313</v>
      </c>
      <c r="M31" s="370" t="s">
        <v>259</v>
      </c>
      <c r="N31" s="1083" t="str">
        <f aca="true" t="shared" si="3" ref="N31:N36">IF(D31="","",IF(OR(M31="P",M31="RP"),"--","NO"))</f>
        <v>--</v>
      </c>
      <c r="O31" s="1249" t="str">
        <f aca="true" t="shared" si="4" ref="O31:O36">IF(D31="","","NO")</f>
        <v>NO</v>
      </c>
      <c r="P31" s="1250">
        <f aca="true" t="shared" si="5" ref="P31:P36">200*IF(O31="SI",1,0.1)*IF(M31="P",0.1,1)</f>
        <v>2</v>
      </c>
      <c r="Q31" s="1085">
        <f aca="true" t="shared" si="6" ref="Q31:Q36">IF(M31="P",H31*P31*ROUND(L31/60,2),"--")</f>
        <v>4257.276</v>
      </c>
      <c r="R31" s="1086" t="str">
        <f aca="true" t="shared" si="7" ref="R31:R36">IF(AND(M31="F",N31="NO"),H31*P31,"--")</f>
        <v>--</v>
      </c>
      <c r="S31" s="1087" t="str">
        <f aca="true" t="shared" si="8" ref="S31:S36">IF(M31="F",H31*P31*ROUND(L31/60,2),"--")</f>
        <v>--</v>
      </c>
      <c r="T31" s="1088" t="str">
        <f aca="true" t="shared" si="9" ref="T31:T36">IF(M31="RF",H31*P31*ROUND(L31/60,2),"--")</f>
        <v>--</v>
      </c>
      <c r="U31" s="1092" t="str">
        <f aca="true" t="shared" si="10" ref="U31:U36">IF(D31="","","SI")</f>
        <v>SI</v>
      </c>
      <c r="V31" s="1093">
        <f aca="true" t="shared" si="11" ref="V31:V37">IF(D31="","",SUM(Q31:T31)*IF(U31="SI",1,2))</f>
        <v>4257.276</v>
      </c>
      <c r="W31" s="1032"/>
    </row>
    <row r="32" spans="1:23" ht="16.5" customHeight="1">
      <c r="A32" s="804"/>
      <c r="B32" s="900"/>
      <c r="C32" s="989" t="s">
        <v>419</v>
      </c>
      <c r="D32" s="362" t="s">
        <v>285</v>
      </c>
      <c r="E32" s="363" t="s">
        <v>286</v>
      </c>
      <c r="F32" s="364">
        <v>300</v>
      </c>
      <c r="G32" s="618" t="s">
        <v>82</v>
      </c>
      <c r="H32" s="1076">
        <f t="shared" si="0"/>
        <v>209.1</v>
      </c>
      <c r="I32" s="1095">
        <v>41160.30625</v>
      </c>
      <c r="J32" s="1095">
        <v>41160.763194444444</v>
      </c>
      <c r="K32" s="1080">
        <f t="shared" si="1"/>
        <v>10.96666666661622</v>
      </c>
      <c r="L32" s="1081">
        <f t="shared" si="2"/>
        <v>657.9999999969732</v>
      </c>
      <c r="M32" s="370" t="s">
        <v>259</v>
      </c>
      <c r="N32" s="1083" t="str">
        <f t="shared" si="3"/>
        <v>--</v>
      </c>
      <c r="O32" s="1249" t="str">
        <f t="shared" si="4"/>
        <v>NO</v>
      </c>
      <c r="P32" s="1250">
        <f t="shared" si="5"/>
        <v>2</v>
      </c>
      <c r="Q32" s="1085">
        <f t="shared" si="6"/>
        <v>4587.654</v>
      </c>
      <c r="R32" s="1086" t="str">
        <f t="shared" si="7"/>
        <v>--</v>
      </c>
      <c r="S32" s="1087" t="str">
        <f t="shared" si="8"/>
        <v>--</v>
      </c>
      <c r="T32" s="1088" t="str">
        <f t="shared" si="9"/>
        <v>--</v>
      </c>
      <c r="U32" s="1092" t="str">
        <f t="shared" si="10"/>
        <v>SI</v>
      </c>
      <c r="V32" s="1093">
        <f t="shared" si="11"/>
        <v>4587.654</v>
      </c>
      <c r="W32" s="1032"/>
    </row>
    <row r="33" spans="1:23" ht="16.5" customHeight="1">
      <c r="A33" s="804"/>
      <c r="B33" s="900"/>
      <c r="C33" s="989" t="s">
        <v>425</v>
      </c>
      <c r="D33" s="362" t="s">
        <v>285</v>
      </c>
      <c r="E33" s="363" t="s">
        <v>286</v>
      </c>
      <c r="F33" s="364">
        <v>300</v>
      </c>
      <c r="G33" s="618" t="s">
        <v>82</v>
      </c>
      <c r="H33" s="1076">
        <f t="shared" si="0"/>
        <v>209.1</v>
      </c>
      <c r="I33" s="1095">
        <v>41161.30694444444</v>
      </c>
      <c r="J33" s="1095">
        <v>41161.66111111111</v>
      </c>
      <c r="K33" s="1080">
        <f t="shared" si="1"/>
        <v>8.500000000116415</v>
      </c>
      <c r="L33" s="1081">
        <f t="shared" si="2"/>
        <v>510.0000000069849</v>
      </c>
      <c r="M33" s="370" t="s">
        <v>259</v>
      </c>
      <c r="N33" s="1083" t="str">
        <f t="shared" si="3"/>
        <v>--</v>
      </c>
      <c r="O33" s="1249" t="str">
        <f t="shared" si="4"/>
        <v>NO</v>
      </c>
      <c r="P33" s="1250">
        <f t="shared" si="5"/>
        <v>2</v>
      </c>
      <c r="Q33" s="1085">
        <f t="shared" si="6"/>
        <v>3554.7</v>
      </c>
      <c r="R33" s="1086" t="str">
        <f t="shared" si="7"/>
        <v>--</v>
      </c>
      <c r="S33" s="1087" t="str">
        <f t="shared" si="8"/>
        <v>--</v>
      </c>
      <c r="T33" s="1088" t="str">
        <f t="shared" si="9"/>
        <v>--</v>
      </c>
      <c r="U33" s="1092" t="str">
        <f t="shared" si="10"/>
        <v>SI</v>
      </c>
      <c r="V33" s="1093">
        <f t="shared" si="11"/>
        <v>3554.7</v>
      </c>
      <c r="W33" s="1032"/>
    </row>
    <row r="34" spans="1:23" ht="16.5" customHeight="1">
      <c r="A34" s="804"/>
      <c r="B34" s="900"/>
      <c r="C34" s="989" t="s">
        <v>426</v>
      </c>
      <c r="D34" s="362" t="s">
        <v>287</v>
      </c>
      <c r="E34" s="363" t="s">
        <v>288</v>
      </c>
      <c r="F34" s="364">
        <v>300</v>
      </c>
      <c r="G34" s="618" t="s">
        <v>82</v>
      </c>
      <c r="H34" s="1076">
        <f t="shared" si="0"/>
        <v>209.1</v>
      </c>
      <c r="I34" s="1095">
        <v>41176.311111111114</v>
      </c>
      <c r="J34" s="1095">
        <v>41176.38888888889</v>
      </c>
      <c r="K34" s="1080">
        <f t="shared" si="1"/>
        <v>1.866666666639503</v>
      </c>
      <c r="L34" s="1081">
        <f t="shared" si="2"/>
        <v>111.99999999837019</v>
      </c>
      <c r="M34" s="370" t="s">
        <v>259</v>
      </c>
      <c r="N34" s="1083" t="str">
        <f t="shared" si="3"/>
        <v>--</v>
      </c>
      <c r="O34" s="1249" t="str">
        <f t="shared" si="4"/>
        <v>NO</v>
      </c>
      <c r="P34" s="1250">
        <f t="shared" si="5"/>
        <v>2</v>
      </c>
      <c r="Q34" s="1085">
        <f t="shared" si="6"/>
        <v>782.034</v>
      </c>
      <c r="R34" s="1086" t="str">
        <f t="shared" si="7"/>
        <v>--</v>
      </c>
      <c r="S34" s="1087" t="str">
        <f t="shared" si="8"/>
        <v>--</v>
      </c>
      <c r="T34" s="1088" t="str">
        <f t="shared" si="9"/>
        <v>--</v>
      </c>
      <c r="U34" s="1092" t="str">
        <f t="shared" si="10"/>
        <v>SI</v>
      </c>
      <c r="V34" s="1093">
        <f t="shared" si="11"/>
        <v>782.034</v>
      </c>
      <c r="W34" s="1032"/>
    </row>
    <row r="35" spans="1:23" ht="16.5" customHeight="1">
      <c r="A35" s="804"/>
      <c r="B35" s="900"/>
      <c r="C35" s="989" t="s">
        <v>427</v>
      </c>
      <c r="D35" s="362" t="s">
        <v>287</v>
      </c>
      <c r="E35" s="363" t="s">
        <v>335</v>
      </c>
      <c r="F35" s="364">
        <v>300</v>
      </c>
      <c r="G35" s="618" t="s">
        <v>82</v>
      </c>
      <c r="H35" s="1076">
        <f t="shared" si="0"/>
        <v>209.1</v>
      </c>
      <c r="I35" s="1095">
        <v>41180.30972222222</v>
      </c>
      <c r="J35" s="1095">
        <v>41180.71527777778</v>
      </c>
      <c r="K35" s="1080">
        <f t="shared" si="1"/>
        <v>9.73333333345363</v>
      </c>
      <c r="L35" s="1081">
        <f t="shared" si="2"/>
        <v>584.0000000072177</v>
      </c>
      <c r="M35" s="370" t="s">
        <v>259</v>
      </c>
      <c r="N35" s="1083" t="str">
        <f t="shared" si="3"/>
        <v>--</v>
      </c>
      <c r="O35" s="1249" t="str">
        <f t="shared" si="4"/>
        <v>NO</v>
      </c>
      <c r="P35" s="1250">
        <f t="shared" si="5"/>
        <v>2</v>
      </c>
      <c r="Q35" s="1085">
        <f t="shared" si="6"/>
        <v>4069.0860000000002</v>
      </c>
      <c r="R35" s="1086" t="str">
        <f t="shared" si="7"/>
        <v>--</v>
      </c>
      <c r="S35" s="1087" t="str">
        <f t="shared" si="8"/>
        <v>--</v>
      </c>
      <c r="T35" s="1088" t="str">
        <f t="shared" si="9"/>
        <v>--</v>
      </c>
      <c r="U35" s="1092" t="str">
        <f t="shared" si="10"/>
        <v>SI</v>
      </c>
      <c r="V35" s="1093">
        <f t="shared" si="11"/>
        <v>4069.0860000000002</v>
      </c>
      <c r="W35" s="1032"/>
    </row>
    <row r="36" spans="1:23" ht="16.5" customHeight="1">
      <c r="A36" s="804"/>
      <c r="B36" s="900"/>
      <c r="C36" s="989" t="s">
        <v>444</v>
      </c>
      <c r="D36" s="1074" t="s">
        <v>287</v>
      </c>
      <c r="E36" s="1075" t="s">
        <v>335</v>
      </c>
      <c r="F36" s="1251">
        <v>300</v>
      </c>
      <c r="G36" s="1252" t="s">
        <v>82</v>
      </c>
      <c r="H36" s="1076">
        <f t="shared" si="0"/>
        <v>209.1</v>
      </c>
      <c r="I36" s="1095">
        <v>41181.282638888886</v>
      </c>
      <c r="J36" s="1095">
        <v>41181.70763888889</v>
      </c>
      <c r="K36" s="1080">
        <f t="shared" si="1"/>
        <v>10.20000000006985</v>
      </c>
      <c r="L36" s="1081">
        <f t="shared" si="2"/>
        <v>612.000000004191</v>
      </c>
      <c r="M36" s="370" t="s">
        <v>259</v>
      </c>
      <c r="N36" s="1083" t="str">
        <f t="shared" si="3"/>
        <v>--</v>
      </c>
      <c r="O36" s="1249" t="str">
        <f t="shared" si="4"/>
        <v>NO</v>
      </c>
      <c r="P36" s="1250">
        <f t="shared" si="5"/>
        <v>2</v>
      </c>
      <c r="Q36" s="1085">
        <f t="shared" si="6"/>
        <v>4265.639999999999</v>
      </c>
      <c r="R36" s="1086" t="str">
        <f t="shared" si="7"/>
        <v>--</v>
      </c>
      <c r="S36" s="1087" t="str">
        <f t="shared" si="8"/>
        <v>--</v>
      </c>
      <c r="T36" s="1088" t="str">
        <f t="shared" si="9"/>
        <v>--</v>
      </c>
      <c r="U36" s="1092" t="str">
        <f t="shared" si="10"/>
        <v>SI</v>
      </c>
      <c r="V36" s="1093">
        <f t="shared" si="11"/>
        <v>4265.639999999999</v>
      </c>
      <c r="W36" s="1032"/>
    </row>
    <row r="37" spans="1:23" ht="16.5" customHeight="1">
      <c r="A37" s="804"/>
      <c r="B37" s="900"/>
      <c r="C37" s="1321" t="s">
        <v>481</v>
      </c>
      <c r="D37" s="1287" t="s">
        <v>287</v>
      </c>
      <c r="E37" s="1325" t="s">
        <v>335</v>
      </c>
      <c r="F37" s="1326">
        <v>300</v>
      </c>
      <c r="G37" s="1327" t="s">
        <v>82</v>
      </c>
      <c r="H37" s="1076">
        <f t="shared" si="0"/>
        <v>209.1</v>
      </c>
      <c r="I37" s="1095">
        <v>41182.27638888889</v>
      </c>
      <c r="J37" s="1095">
        <v>41182.71041666667</v>
      </c>
      <c r="K37" s="1080">
        <f>IF(D37="","",(J37-I37)*24)</f>
        <v>10.416666666744277</v>
      </c>
      <c r="L37" s="1081">
        <f>IF(D37="","",(J37-I37)*24*60)</f>
        <v>625.0000000046566</v>
      </c>
      <c r="M37" s="370" t="s">
        <v>259</v>
      </c>
      <c r="N37" s="1083" t="str">
        <f>IF(D37="","",IF(OR(M37="P",M37="RP"),"--","NO"))</f>
        <v>--</v>
      </c>
      <c r="O37" s="1249" t="str">
        <f>IF(D37="","","NO")</f>
        <v>NO</v>
      </c>
      <c r="P37" s="1250">
        <f>200*IF(O37="SI",1,0.1)*IF(M37="P",0.1,1)</f>
        <v>2</v>
      </c>
      <c r="Q37" s="1085">
        <f>IF(M37="P",H37*P37*ROUND(L37/60,2),"--")</f>
        <v>4357.644</v>
      </c>
      <c r="R37" s="1086" t="str">
        <f>IF(AND(M37="F",N37="NO"),H37*P37,"--")</f>
        <v>--</v>
      </c>
      <c r="S37" s="1087" t="str">
        <f>IF(M37="F",H37*P37*ROUND(L37/60,2),"--")</f>
        <v>--</v>
      </c>
      <c r="T37" s="1088" t="str">
        <f>IF(M37="RF",H37*P37*ROUND(L37/60,2),"--")</f>
        <v>--</v>
      </c>
      <c r="U37" s="1092" t="str">
        <f>IF(D37="","","SI")</f>
        <v>SI</v>
      </c>
      <c r="V37" s="1093">
        <f t="shared" si="11"/>
        <v>4357.644</v>
      </c>
      <c r="W37" s="1032"/>
    </row>
    <row r="38" spans="1:23" ht="16.5" customHeight="1" thickBot="1">
      <c r="A38" s="819"/>
      <c r="B38" s="900"/>
      <c r="C38" s="1096"/>
      <c r="D38" s="1097"/>
      <c r="E38" s="1098"/>
      <c r="F38" s="1253"/>
      <c r="G38" s="1254"/>
      <c r="H38" s="1255"/>
      <c r="I38" s="1100"/>
      <c r="J38" s="1101"/>
      <c r="K38" s="1102"/>
      <c r="L38" s="1103"/>
      <c r="M38" s="1104"/>
      <c r="N38" s="1018"/>
      <c r="O38" s="1256"/>
      <c r="P38" s="1257"/>
      <c r="Q38" s="1258"/>
      <c r="R38" s="1259"/>
      <c r="S38" s="1260"/>
      <c r="T38" s="1261"/>
      <c r="U38" s="1108"/>
      <c r="V38" s="1109"/>
      <c r="W38" s="1032"/>
    </row>
    <row r="39" spans="1:23" ht="16.5" customHeight="1" thickBot="1" thickTop="1">
      <c r="A39" s="819"/>
      <c r="B39" s="900"/>
      <c r="C39" s="1110"/>
      <c r="D39" s="942"/>
      <c r="E39" s="942"/>
      <c r="F39" s="1111"/>
      <c r="G39" s="1112"/>
      <c r="H39" s="1113"/>
      <c r="I39" s="1114"/>
      <c r="J39" s="1115"/>
      <c r="K39" s="1116"/>
      <c r="L39" s="1117"/>
      <c r="M39" s="1113"/>
      <c r="N39" s="1118"/>
      <c r="O39" s="1119"/>
      <c r="P39" s="1120"/>
      <c r="Q39" s="1158"/>
      <c r="R39" s="1162"/>
      <c r="S39" s="1162"/>
      <c r="T39" s="1162"/>
      <c r="U39" s="1159"/>
      <c r="V39" s="1124">
        <f>SUM(V30:V38)</f>
        <v>25874.034</v>
      </c>
      <c r="W39" s="1032"/>
    </row>
    <row r="40" spans="1:23" ht="16.5" customHeight="1" thickBot="1" thickTop="1">
      <c r="A40" s="819"/>
      <c r="B40" s="900"/>
      <c r="C40" s="1110"/>
      <c r="D40" s="942"/>
      <c r="E40" s="942"/>
      <c r="F40" s="1111"/>
      <c r="G40" s="1112"/>
      <c r="H40" s="1113"/>
      <c r="I40" s="1114"/>
      <c r="L40" s="1117"/>
      <c r="M40" s="1113"/>
      <c r="N40" s="1160"/>
      <c r="O40" s="1161"/>
      <c r="P40" s="1120"/>
      <c r="Q40" s="1158"/>
      <c r="R40" s="1162"/>
      <c r="S40" s="1162"/>
      <c r="T40" s="1162"/>
      <c r="U40" s="1159"/>
      <c r="V40" s="1159"/>
      <c r="W40" s="1032"/>
    </row>
    <row r="41" spans="2:23" s="804" customFormat="1" ht="33.75" customHeight="1" thickBot="1" thickTop="1">
      <c r="B41" s="900"/>
      <c r="C41" s="835" t="s">
        <v>28</v>
      </c>
      <c r="D41" s="952" t="s">
        <v>58</v>
      </c>
      <c r="E41" s="1796" t="s">
        <v>59</v>
      </c>
      <c r="F41" s="1806"/>
      <c r="G41" s="836" t="s">
        <v>31</v>
      </c>
      <c r="H41" s="1059" t="s">
        <v>35</v>
      </c>
      <c r="I41" s="949" t="s">
        <v>36</v>
      </c>
      <c r="J41" s="1126" t="s">
        <v>37</v>
      </c>
      <c r="K41" s="1262" t="s">
        <v>38</v>
      </c>
      <c r="L41" s="1262" t="s">
        <v>39</v>
      </c>
      <c r="M41" s="951" t="s">
        <v>254</v>
      </c>
      <c r="N41" s="1796" t="s">
        <v>42</v>
      </c>
      <c r="O41" s="1797"/>
      <c r="P41" s="948" t="s">
        <v>34</v>
      </c>
      <c r="Q41" s="1263" t="s">
        <v>71</v>
      </c>
      <c r="R41" s="1264" t="s">
        <v>72</v>
      </c>
      <c r="S41" s="1265"/>
      <c r="T41" s="1266" t="s">
        <v>47</v>
      </c>
      <c r="U41" s="836" t="s">
        <v>49</v>
      </c>
      <c r="V41" s="964" t="s">
        <v>50</v>
      </c>
      <c r="W41" s="1267"/>
    </row>
    <row r="42" spans="2:23" s="804" customFormat="1" ht="16.5" customHeight="1" thickTop="1">
      <c r="B42" s="900"/>
      <c r="C42" s="966"/>
      <c r="D42" s="1268"/>
      <c r="E42" s="1807"/>
      <c r="F42" s="1808"/>
      <c r="G42" s="1268"/>
      <c r="H42" s="1269"/>
      <c r="I42" s="1268"/>
      <c r="J42" s="1268"/>
      <c r="K42" s="1268"/>
      <c r="L42" s="1268"/>
      <c r="M42" s="1268"/>
      <c r="N42" s="1809"/>
      <c r="O42" s="1810"/>
      <c r="P42" s="1270"/>
      <c r="Q42" s="1271"/>
      <c r="R42" s="1272"/>
      <c r="S42" s="1273"/>
      <c r="T42" s="1088"/>
      <c r="U42" s="1268"/>
      <c r="V42" s="1274"/>
      <c r="W42" s="1267"/>
    </row>
    <row r="43" spans="2:23" s="804" customFormat="1" ht="16.5" customHeight="1">
      <c r="B43" s="900"/>
      <c r="C43" s="989" t="s">
        <v>418</v>
      </c>
      <c r="D43" s="1275" t="s">
        <v>287</v>
      </c>
      <c r="E43" s="1811" t="s">
        <v>342</v>
      </c>
      <c r="F43" s="1812"/>
      <c r="G43" s="1276">
        <v>500</v>
      </c>
      <c r="H43" s="1277">
        <f aca="true" t="shared" si="12" ref="H43:H55">IF(G43=500,$M$19,IF(G43=220,$M$20,$M$21))</f>
        <v>138.215</v>
      </c>
      <c r="I43" s="1278">
        <v>41167.34444444445</v>
      </c>
      <c r="J43" s="1279">
        <v>41167.572222222225</v>
      </c>
      <c r="K43" s="1142">
        <f aca="true" t="shared" si="13" ref="K43:K55">IF(D43="","",(J43-I43)*24)</f>
        <v>5.466666666674428</v>
      </c>
      <c r="L43" s="994">
        <f aca="true" t="shared" si="14" ref="L43:L55">IF(D43="","",ROUND((J43-I43)*24*60,0))</f>
        <v>328</v>
      </c>
      <c r="M43" s="178" t="s">
        <v>259</v>
      </c>
      <c r="N43" s="1786" t="str">
        <f aca="true" t="shared" si="15" ref="N43:N56">IF(D43="","",IF(OR(M43="P",M43="RP"),"--","NO"))</f>
        <v>--</v>
      </c>
      <c r="O43" s="1787"/>
      <c r="P43" s="1280">
        <f aca="true" t="shared" si="16" ref="P43:P55">IF(G43=500,$N$19,IF(G43=220,$N$20,$N$21))</f>
        <v>200</v>
      </c>
      <c r="Q43" s="1281">
        <f aca="true" t="shared" si="17" ref="Q43:Q55">IF(M43="P",H43*P43*ROUND(L43/60,2)*0.1,"--")</f>
        <v>15120.721</v>
      </c>
      <c r="R43" s="1272" t="str">
        <f aca="true" t="shared" si="18" ref="R43:R55">IF(AND(M43="F",N43="NO"),H43*P43,"--")</f>
        <v>--</v>
      </c>
      <c r="S43" s="1273" t="str">
        <f aca="true" t="shared" si="19" ref="S43:S55">IF(M43="F",H43*P43*ROUND(L43/60,2),"--")</f>
        <v>--</v>
      </c>
      <c r="T43" s="1088" t="str">
        <f aca="true" t="shared" si="20" ref="T43:T55">IF(M43="RF",H43*P43*ROUND(L43/60,2),"--")</f>
        <v>--</v>
      </c>
      <c r="U43" s="1282" t="str">
        <f aca="true" t="shared" si="21" ref="U43:U55">IF(D43="","","SI")</f>
        <v>SI</v>
      </c>
      <c r="V43" s="1153">
        <f aca="true" t="shared" si="22" ref="V43:V55">IF(D43="","",SUM(Q43:T43)*IF(U43="SI",1,2))</f>
        <v>15120.721</v>
      </c>
      <c r="W43" s="1267"/>
    </row>
    <row r="44" spans="2:23" s="804" customFormat="1" ht="16.5" customHeight="1">
      <c r="B44" s="900"/>
      <c r="C44" s="989" t="s">
        <v>419</v>
      </c>
      <c r="D44" s="1275"/>
      <c r="E44" s="1811"/>
      <c r="F44" s="1813"/>
      <c r="G44" s="1276"/>
      <c r="H44" s="1277">
        <f t="shared" si="12"/>
        <v>110.573</v>
      </c>
      <c r="I44" s="1278"/>
      <c r="J44" s="1279"/>
      <c r="K44" s="1142">
        <f t="shared" si="13"/>
      </c>
      <c r="L44" s="994">
        <f t="shared" si="14"/>
      </c>
      <c r="M44" s="178"/>
      <c r="N44" s="1786">
        <f t="shared" si="15"/>
      </c>
      <c r="O44" s="1787"/>
      <c r="P44" s="1280">
        <f t="shared" si="16"/>
        <v>40</v>
      </c>
      <c r="Q44" s="1281" t="str">
        <f t="shared" si="17"/>
        <v>--</v>
      </c>
      <c r="R44" s="1272" t="str">
        <f t="shared" si="18"/>
        <v>--</v>
      </c>
      <c r="S44" s="1273" t="str">
        <f t="shared" si="19"/>
        <v>--</v>
      </c>
      <c r="T44" s="1088" t="str">
        <f t="shared" si="20"/>
        <v>--</v>
      </c>
      <c r="U44" s="1282">
        <f t="shared" si="21"/>
      </c>
      <c r="V44" s="1153">
        <f t="shared" si="22"/>
      </c>
      <c r="W44" s="1267"/>
    </row>
    <row r="45" spans="2:23" s="804" customFormat="1" ht="16.5" customHeight="1">
      <c r="B45" s="900"/>
      <c r="C45" s="989" t="s">
        <v>425</v>
      </c>
      <c r="D45" s="1275"/>
      <c r="E45" s="1811"/>
      <c r="F45" s="1813"/>
      <c r="G45" s="1276"/>
      <c r="H45" s="1277">
        <f t="shared" si="12"/>
        <v>110.573</v>
      </c>
      <c r="I45" s="1278"/>
      <c r="J45" s="1279"/>
      <c r="K45" s="1142">
        <f t="shared" si="13"/>
      </c>
      <c r="L45" s="994">
        <f t="shared" si="14"/>
      </c>
      <c r="M45" s="178"/>
      <c r="N45" s="1786">
        <f t="shared" si="15"/>
      </c>
      <c r="O45" s="1787"/>
      <c r="P45" s="1280">
        <f t="shared" si="16"/>
        <v>40</v>
      </c>
      <c r="Q45" s="1281" t="str">
        <f t="shared" si="17"/>
        <v>--</v>
      </c>
      <c r="R45" s="1272" t="str">
        <f t="shared" si="18"/>
        <v>--</v>
      </c>
      <c r="S45" s="1273" t="str">
        <f t="shared" si="19"/>
        <v>--</v>
      </c>
      <c r="T45" s="1088" t="str">
        <f t="shared" si="20"/>
        <v>--</v>
      </c>
      <c r="U45" s="1282">
        <f t="shared" si="21"/>
      </c>
      <c r="V45" s="1153">
        <f t="shared" si="22"/>
      </c>
      <c r="W45" s="1267"/>
    </row>
    <row r="46" spans="2:23" s="804" customFormat="1" ht="16.5" customHeight="1">
      <c r="B46" s="900"/>
      <c r="C46" s="989" t="s">
        <v>426</v>
      </c>
      <c r="D46" s="1275"/>
      <c r="E46" s="1811"/>
      <c r="F46" s="1813"/>
      <c r="G46" s="1276"/>
      <c r="H46" s="1277">
        <f t="shared" si="12"/>
        <v>110.573</v>
      </c>
      <c r="I46" s="1278"/>
      <c r="J46" s="1279"/>
      <c r="K46" s="1142">
        <f t="shared" si="13"/>
      </c>
      <c r="L46" s="994">
        <f t="shared" si="14"/>
      </c>
      <c r="M46" s="178"/>
      <c r="N46" s="1786">
        <f t="shared" si="15"/>
      </c>
      <c r="O46" s="1787"/>
      <c r="P46" s="1280">
        <f t="shared" si="16"/>
        <v>40</v>
      </c>
      <c r="Q46" s="1281" t="str">
        <f t="shared" si="17"/>
        <v>--</v>
      </c>
      <c r="R46" s="1272" t="str">
        <f t="shared" si="18"/>
        <v>--</v>
      </c>
      <c r="S46" s="1273" t="str">
        <f t="shared" si="19"/>
        <v>--</v>
      </c>
      <c r="T46" s="1088" t="str">
        <f t="shared" si="20"/>
        <v>--</v>
      </c>
      <c r="U46" s="1282">
        <f t="shared" si="21"/>
      </c>
      <c r="V46" s="1153">
        <f t="shared" si="22"/>
      </c>
      <c r="W46" s="1267"/>
    </row>
    <row r="47" spans="2:23" s="804" customFormat="1" ht="16.5" customHeight="1">
      <c r="B47" s="900"/>
      <c r="C47" s="989" t="s">
        <v>427</v>
      </c>
      <c r="D47" s="1275"/>
      <c r="E47" s="1811"/>
      <c r="F47" s="1813"/>
      <c r="G47" s="1276"/>
      <c r="H47" s="1277">
        <f t="shared" si="12"/>
        <v>110.573</v>
      </c>
      <c r="I47" s="1278"/>
      <c r="J47" s="1279"/>
      <c r="K47" s="1142">
        <f t="shared" si="13"/>
      </c>
      <c r="L47" s="994">
        <f t="shared" si="14"/>
      </c>
      <c r="M47" s="178"/>
      <c r="N47" s="1786">
        <f t="shared" si="15"/>
      </c>
      <c r="O47" s="1787"/>
      <c r="P47" s="1280">
        <f t="shared" si="16"/>
        <v>40</v>
      </c>
      <c r="Q47" s="1281" t="str">
        <f t="shared" si="17"/>
        <v>--</v>
      </c>
      <c r="R47" s="1272" t="str">
        <f t="shared" si="18"/>
        <v>--</v>
      </c>
      <c r="S47" s="1273" t="str">
        <f t="shared" si="19"/>
        <v>--</v>
      </c>
      <c r="T47" s="1088" t="str">
        <f t="shared" si="20"/>
        <v>--</v>
      </c>
      <c r="U47" s="1282">
        <f t="shared" si="21"/>
      </c>
      <c r="V47" s="1153">
        <f t="shared" si="22"/>
      </c>
      <c r="W47" s="1267"/>
    </row>
    <row r="48" spans="2:23" s="804" customFormat="1" ht="16.5" customHeight="1">
      <c r="B48" s="900"/>
      <c r="C48" s="989" t="s">
        <v>444</v>
      </c>
      <c r="D48" s="1275"/>
      <c r="E48" s="1811"/>
      <c r="F48" s="1813"/>
      <c r="G48" s="1276"/>
      <c r="H48" s="1277">
        <f t="shared" si="12"/>
        <v>110.573</v>
      </c>
      <c r="I48" s="1278"/>
      <c r="J48" s="1279"/>
      <c r="K48" s="1142">
        <f t="shared" si="13"/>
      </c>
      <c r="L48" s="994">
        <f t="shared" si="14"/>
      </c>
      <c r="M48" s="178"/>
      <c r="N48" s="1786">
        <f t="shared" si="15"/>
      </c>
      <c r="O48" s="1787"/>
      <c r="P48" s="1280">
        <f t="shared" si="16"/>
        <v>40</v>
      </c>
      <c r="Q48" s="1281" t="str">
        <f t="shared" si="17"/>
        <v>--</v>
      </c>
      <c r="R48" s="1272" t="str">
        <f t="shared" si="18"/>
        <v>--</v>
      </c>
      <c r="S48" s="1273" t="str">
        <f t="shared" si="19"/>
        <v>--</v>
      </c>
      <c r="T48" s="1088" t="str">
        <f t="shared" si="20"/>
        <v>--</v>
      </c>
      <c r="U48" s="1282">
        <f t="shared" si="21"/>
      </c>
      <c r="V48" s="1153">
        <f t="shared" si="22"/>
      </c>
      <c r="W48" s="1267"/>
    </row>
    <row r="49" spans="2:23" s="804" customFormat="1" ht="16.5" customHeight="1">
      <c r="B49" s="900"/>
      <c r="C49" s="989" t="s">
        <v>445</v>
      </c>
      <c r="D49" s="1275"/>
      <c r="E49" s="1811"/>
      <c r="F49" s="1813"/>
      <c r="G49" s="1276"/>
      <c r="H49" s="1277">
        <f t="shared" si="12"/>
        <v>110.573</v>
      </c>
      <c r="I49" s="1278"/>
      <c r="J49" s="1279"/>
      <c r="K49" s="1142">
        <f t="shared" si="13"/>
      </c>
      <c r="L49" s="994">
        <f t="shared" si="14"/>
      </c>
      <c r="M49" s="995"/>
      <c r="N49" s="1786">
        <f t="shared" si="15"/>
      </c>
      <c r="O49" s="1787"/>
      <c r="P49" s="1280">
        <f t="shared" si="16"/>
        <v>40</v>
      </c>
      <c r="Q49" s="1281" t="str">
        <f t="shared" si="17"/>
        <v>--</v>
      </c>
      <c r="R49" s="1272" t="str">
        <f t="shared" si="18"/>
        <v>--</v>
      </c>
      <c r="S49" s="1273" t="str">
        <f t="shared" si="19"/>
        <v>--</v>
      </c>
      <c r="T49" s="1088" t="str">
        <f t="shared" si="20"/>
        <v>--</v>
      </c>
      <c r="U49" s="1282">
        <f t="shared" si="21"/>
      </c>
      <c r="V49" s="1153">
        <f t="shared" si="22"/>
      </c>
      <c r="W49" s="1267"/>
    </row>
    <row r="50" spans="2:23" s="804" customFormat="1" ht="16.5" customHeight="1">
      <c r="B50" s="900"/>
      <c r="C50" s="989" t="s">
        <v>446</v>
      </c>
      <c r="D50" s="1275"/>
      <c r="E50" s="1811"/>
      <c r="F50" s="1813"/>
      <c r="G50" s="1276"/>
      <c r="H50" s="1277">
        <f t="shared" si="12"/>
        <v>110.573</v>
      </c>
      <c r="I50" s="1278"/>
      <c r="J50" s="1279"/>
      <c r="K50" s="1142">
        <f t="shared" si="13"/>
      </c>
      <c r="L50" s="994">
        <f t="shared" si="14"/>
      </c>
      <c r="M50" s="995"/>
      <c r="N50" s="1786">
        <f t="shared" si="15"/>
      </c>
      <c r="O50" s="1787"/>
      <c r="P50" s="1280">
        <f t="shared" si="16"/>
        <v>40</v>
      </c>
      <c r="Q50" s="1281" t="str">
        <f t="shared" si="17"/>
        <v>--</v>
      </c>
      <c r="R50" s="1272" t="str">
        <f t="shared" si="18"/>
        <v>--</v>
      </c>
      <c r="S50" s="1273" t="str">
        <f t="shared" si="19"/>
        <v>--</v>
      </c>
      <c r="T50" s="1088" t="str">
        <f t="shared" si="20"/>
        <v>--</v>
      </c>
      <c r="U50" s="1282">
        <f t="shared" si="21"/>
      </c>
      <c r="V50" s="1153">
        <f t="shared" si="22"/>
      </c>
      <c r="W50" s="1267"/>
    </row>
    <row r="51" spans="2:23" s="804" customFormat="1" ht="16.5" customHeight="1">
      <c r="B51" s="900"/>
      <c r="C51" s="989" t="s">
        <v>447</v>
      </c>
      <c r="D51" s="1275"/>
      <c r="E51" s="1811"/>
      <c r="F51" s="1813"/>
      <c r="G51" s="1276"/>
      <c r="H51" s="1277">
        <f t="shared" si="12"/>
        <v>110.573</v>
      </c>
      <c r="I51" s="1278"/>
      <c r="J51" s="1279"/>
      <c r="K51" s="1142">
        <f t="shared" si="13"/>
      </c>
      <c r="L51" s="994">
        <f t="shared" si="14"/>
      </c>
      <c r="M51" s="995"/>
      <c r="N51" s="1786">
        <f t="shared" si="15"/>
      </c>
      <c r="O51" s="1787"/>
      <c r="P51" s="1280">
        <f t="shared" si="16"/>
        <v>40</v>
      </c>
      <c r="Q51" s="1281" t="str">
        <f t="shared" si="17"/>
        <v>--</v>
      </c>
      <c r="R51" s="1272" t="str">
        <f t="shared" si="18"/>
        <v>--</v>
      </c>
      <c r="S51" s="1273" t="str">
        <f t="shared" si="19"/>
        <v>--</v>
      </c>
      <c r="T51" s="1088" t="str">
        <f t="shared" si="20"/>
        <v>--</v>
      </c>
      <c r="U51" s="1282">
        <f t="shared" si="21"/>
      </c>
      <c r="V51" s="1153">
        <f t="shared" si="22"/>
      </c>
      <c r="W51" s="1267"/>
    </row>
    <row r="52" spans="2:23" s="804" customFormat="1" ht="16.5" customHeight="1">
      <c r="B52" s="900"/>
      <c r="C52" s="989" t="s">
        <v>448</v>
      </c>
      <c r="D52" s="1275"/>
      <c r="E52" s="1811"/>
      <c r="F52" s="1813"/>
      <c r="G52" s="1276"/>
      <c r="H52" s="1277">
        <f t="shared" si="12"/>
        <v>110.573</v>
      </c>
      <c r="I52" s="1278"/>
      <c r="J52" s="1279"/>
      <c r="K52" s="1142">
        <f t="shared" si="13"/>
      </c>
      <c r="L52" s="994">
        <f t="shared" si="14"/>
      </c>
      <c r="M52" s="995"/>
      <c r="N52" s="1786">
        <f t="shared" si="15"/>
      </c>
      <c r="O52" s="1787"/>
      <c r="P52" s="1280">
        <f t="shared" si="16"/>
        <v>40</v>
      </c>
      <c r="Q52" s="1281" t="str">
        <f t="shared" si="17"/>
        <v>--</v>
      </c>
      <c r="R52" s="1272" t="str">
        <f t="shared" si="18"/>
        <v>--</v>
      </c>
      <c r="S52" s="1273" t="str">
        <f t="shared" si="19"/>
        <v>--</v>
      </c>
      <c r="T52" s="1088" t="str">
        <f t="shared" si="20"/>
        <v>--</v>
      </c>
      <c r="U52" s="1282">
        <f t="shared" si="21"/>
      </c>
      <c r="V52" s="1153">
        <f t="shared" si="22"/>
      </c>
      <c r="W52" s="1267"/>
    </row>
    <row r="53" spans="2:23" s="804" customFormat="1" ht="16.5" customHeight="1">
      <c r="B53" s="900"/>
      <c r="C53" s="989" t="s">
        <v>449</v>
      </c>
      <c r="D53" s="1275"/>
      <c r="E53" s="1811"/>
      <c r="F53" s="1813"/>
      <c r="G53" s="1276"/>
      <c r="H53" s="1277">
        <f t="shared" si="12"/>
        <v>110.573</v>
      </c>
      <c r="I53" s="1278"/>
      <c r="J53" s="1279"/>
      <c r="K53" s="1142">
        <f t="shared" si="13"/>
      </c>
      <c r="L53" s="994">
        <f t="shared" si="14"/>
      </c>
      <c r="M53" s="995"/>
      <c r="N53" s="1786">
        <f t="shared" si="15"/>
      </c>
      <c r="O53" s="1787"/>
      <c r="P53" s="1280">
        <f t="shared" si="16"/>
        <v>40</v>
      </c>
      <c r="Q53" s="1281" t="str">
        <f t="shared" si="17"/>
        <v>--</v>
      </c>
      <c r="R53" s="1272" t="str">
        <f t="shared" si="18"/>
        <v>--</v>
      </c>
      <c r="S53" s="1273" t="str">
        <f t="shared" si="19"/>
        <v>--</v>
      </c>
      <c r="T53" s="1088" t="str">
        <f t="shared" si="20"/>
        <v>--</v>
      </c>
      <c r="U53" s="1282">
        <f t="shared" si="21"/>
      </c>
      <c r="V53" s="1153">
        <f t="shared" si="22"/>
      </c>
      <c r="W53" s="1267"/>
    </row>
    <row r="54" spans="2:23" s="804" customFormat="1" ht="16.5" customHeight="1">
      <c r="B54" s="900"/>
      <c r="C54" s="1283" t="s">
        <v>450</v>
      </c>
      <c r="D54" s="1074"/>
      <c r="E54" s="1811"/>
      <c r="F54" s="1813"/>
      <c r="G54" s="1276"/>
      <c r="H54" s="1277">
        <f t="shared" si="12"/>
        <v>110.573</v>
      </c>
      <c r="I54" s="1284"/>
      <c r="J54" s="1285"/>
      <c r="K54" s="1286">
        <f t="shared" si="13"/>
      </c>
      <c r="L54" s="994">
        <f t="shared" si="14"/>
      </c>
      <c r="M54" s="995"/>
      <c r="N54" s="1786">
        <f t="shared" si="15"/>
      </c>
      <c r="O54" s="1787"/>
      <c r="P54" s="1280">
        <f t="shared" si="16"/>
        <v>40</v>
      </c>
      <c r="Q54" s="1281" t="str">
        <f t="shared" si="17"/>
        <v>--</v>
      </c>
      <c r="R54" s="1272" t="str">
        <f t="shared" si="18"/>
        <v>--</v>
      </c>
      <c r="S54" s="1273" t="str">
        <f t="shared" si="19"/>
        <v>--</v>
      </c>
      <c r="T54" s="1088" t="str">
        <f t="shared" si="20"/>
        <v>--</v>
      </c>
      <c r="U54" s="1282">
        <f t="shared" si="21"/>
      </c>
      <c r="V54" s="1153">
        <f t="shared" si="22"/>
      </c>
      <c r="W54" s="1267"/>
    </row>
    <row r="55" spans="2:23" s="804" customFormat="1" ht="16.5" customHeight="1">
      <c r="B55" s="900"/>
      <c r="C55" s="1283" t="s">
        <v>451</v>
      </c>
      <c r="D55" s="1074"/>
      <c r="E55" s="1811"/>
      <c r="F55" s="1813"/>
      <c r="G55" s="1276"/>
      <c r="H55" s="1277">
        <f t="shared" si="12"/>
        <v>110.573</v>
      </c>
      <c r="I55" s="1284"/>
      <c r="J55" s="1285"/>
      <c r="K55" s="1142">
        <f t="shared" si="13"/>
      </c>
      <c r="L55" s="994">
        <f t="shared" si="14"/>
      </c>
      <c r="M55" s="995"/>
      <c r="N55" s="1786">
        <f t="shared" si="15"/>
      </c>
      <c r="O55" s="1787"/>
      <c r="P55" s="1280">
        <f t="shared" si="16"/>
        <v>40</v>
      </c>
      <c r="Q55" s="1281" t="str">
        <f t="shared" si="17"/>
        <v>--</v>
      </c>
      <c r="R55" s="1272" t="str">
        <f t="shared" si="18"/>
        <v>--</v>
      </c>
      <c r="S55" s="1273" t="str">
        <f t="shared" si="19"/>
        <v>--</v>
      </c>
      <c r="T55" s="1088" t="str">
        <f t="shared" si="20"/>
        <v>--</v>
      </c>
      <c r="U55" s="1282">
        <f t="shared" si="21"/>
      </c>
      <c r="V55" s="1153">
        <f t="shared" si="22"/>
      </c>
      <c r="W55" s="1267"/>
    </row>
    <row r="56" spans="2:23" s="804" customFormat="1" ht="16.5" customHeight="1">
      <c r="B56" s="900"/>
      <c r="C56" s="1283" t="s">
        <v>452</v>
      </c>
      <c r="D56" s="1287"/>
      <c r="E56" s="1811"/>
      <c r="F56" s="1813"/>
      <c r="G56" s="1288"/>
      <c r="H56" s="1289"/>
      <c r="I56" s="1284"/>
      <c r="J56" s="1285"/>
      <c r="K56" s="1286"/>
      <c r="L56" s="1290"/>
      <c r="M56" s="1144"/>
      <c r="N56" s="1786">
        <f t="shared" si="15"/>
      </c>
      <c r="O56" s="1787"/>
      <c r="P56" s="1291"/>
      <c r="Q56" s="1292"/>
      <c r="R56" s="1293"/>
      <c r="S56" s="1294"/>
      <c r="T56" s="1295"/>
      <c r="U56" s="1296"/>
      <c r="V56" s="1297"/>
      <c r="W56" s="1267"/>
    </row>
    <row r="57" spans="2:28" s="804" customFormat="1" ht="16.5" customHeight="1" thickBot="1">
      <c r="B57" s="900"/>
      <c r="C57" s="1096"/>
      <c r="D57" s="1298"/>
      <c r="E57" s="1814"/>
      <c r="F57" s="1815"/>
      <c r="G57" s="1299"/>
      <c r="H57" s="1300"/>
      <c r="I57" s="1301"/>
      <c r="J57" s="1302"/>
      <c r="K57" s="1303"/>
      <c r="L57" s="1304"/>
      <c r="M57" s="1105"/>
      <c r="N57" s="1792"/>
      <c r="O57" s="1793"/>
      <c r="P57" s="1305"/>
      <c r="Q57" s="1306"/>
      <c r="R57" s="1307"/>
      <c r="S57" s="1308"/>
      <c r="T57" s="1309"/>
      <c r="U57" s="1310"/>
      <c r="V57" s="1311"/>
      <c r="W57" s="1267"/>
      <c r="X57" s="865"/>
      <c r="Y57" s="865"/>
      <c r="Z57" s="865"/>
      <c r="AA57" s="865"/>
      <c r="AB57" s="865"/>
    </row>
    <row r="58" spans="1:23" ht="17.25" thickBot="1" thickTop="1">
      <c r="A58" s="819"/>
      <c r="B58" s="830"/>
      <c r="C58" s="924"/>
      <c r="D58" s="1164"/>
      <c r="E58" s="1165"/>
      <c r="F58" s="1166"/>
      <c r="G58" s="1167"/>
      <c r="H58" s="1167"/>
      <c r="I58" s="1165"/>
      <c r="J58" s="1168"/>
      <c r="K58" s="1168"/>
      <c r="L58" s="1165"/>
      <c r="M58" s="1165"/>
      <c r="N58" s="1165"/>
      <c r="O58" s="1169"/>
      <c r="P58" s="1165"/>
      <c r="Q58" s="1165"/>
      <c r="R58" s="1170"/>
      <c r="S58" s="1171"/>
      <c r="T58" s="1171"/>
      <c r="U58" s="1172"/>
      <c r="V58" s="1124">
        <f>SUM(V43:V57)</f>
        <v>15120.721</v>
      </c>
      <c r="W58" s="1154"/>
    </row>
    <row r="59" spans="1:23" ht="21" customHeight="1" thickBot="1" thickTop="1">
      <c r="A59" s="819"/>
      <c r="B59" s="830"/>
      <c r="C59" s="924"/>
      <c r="D59" s="1164"/>
      <c r="E59" s="1165"/>
      <c r="F59" s="1166"/>
      <c r="G59" s="1167"/>
      <c r="H59" s="1167"/>
      <c r="I59" s="940" t="s">
        <v>428</v>
      </c>
      <c r="J59" s="941">
        <f>+V58+V39</f>
        <v>40994.755</v>
      </c>
      <c r="L59" s="1165"/>
      <c r="M59" s="1165"/>
      <c r="N59" s="1165"/>
      <c r="O59" s="1169"/>
      <c r="P59" s="1165"/>
      <c r="Q59" s="1165"/>
      <c r="R59" s="1170"/>
      <c r="S59" s="1171"/>
      <c r="T59" s="1171"/>
      <c r="U59" s="1172"/>
      <c r="W59" s="1154"/>
    </row>
    <row r="60" spans="1:23" ht="13.5" customHeight="1" thickTop="1">
      <c r="A60" s="819"/>
      <c r="B60" s="830"/>
      <c r="C60" s="924"/>
      <c r="D60" s="1164"/>
      <c r="E60" s="1165"/>
      <c r="F60" s="1166"/>
      <c r="G60" s="1167"/>
      <c r="H60" s="1167"/>
      <c r="I60" s="1165"/>
      <c r="J60" s="1168"/>
      <c r="K60" s="1168"/>
      <c r="L60" s="1165"/>
      <c r="M60" s="1165"/>
      <c r="N60" s="1165"/>
      <c r="O60" s="1169"/>
      <c r="P60" s="1165"/>
      <c r="Q60" s="1165"/>
      <c r="R60" s="1170"/>
      <c r="S60" s="1171"/>
      <c r="T60" s="1171"/>
      <c r="U60" s="1172"/>
      <c r="W60" s="1154"/>
    </row>
    <row r="61" spans="1:23" ht="16.5" customHeight="1">
      <c r="A61" s="819"/>
      <c r="B61" s="830"/>
      <c r="C61" s="1173" t="s">
        <v>429</v>
      </c>
      <c r="D61" s="1174" t="s">
        <v>471</v>
      </c>
      <c r="E61" s="1165"/>
      <c r="F61" s="1166"/>
      <c r="G61" s="1167"/>
      <c r="H61" s="1167"/>
      <c r="I61" s="1165"/>
      <c r="J61" s="1168"/>
      <c r="K61" s="1168"/>
      <c r="L61" s="1165"/>
      <c r="M61" s="1165"/>
      <c r="N61" s="1165"/>
      <c r="O61" s="1169"/>
      <c r="P61" s="1165"/>
      <c r="Q61" s="1165"/>
      <c r="R61" s="1170"/>
      <c r="S61" s="1171"/>
      <c r="T61" s="1171"/>
      <c r="U61" s="1172"/>
      <c r="W61" s="1154"/>
    </row>
    <row r="62" spans="1:23" ht="16.5" customHeight="1">
      <c r="A62" s="819"/>
      <c r="B62" s="830"/>
      <c r="C62" s="1173"/>
      <c r="D62" s="1164"/>
      <c r="E62" s="1165"/>
      <c r="F62" s="1166"/>
      <c r="G62" s="1167"/>
      <c r="H62" s="1167"/>
      <c r="I62" s="1165"/>
      <c r="J62" s="1168"/>
      <c r="K62" s="1168"/>
      <c r="L62" s="1165"/>
      <c r="M62" s="1165"/>
      <c r="N62" s="1165"/>
      <c r="O62" s="1169"/>
      <c r="P62" s="1165"/>
      <c r="Q62" s="1165"/>
      <c r="R62" s="1165"/>
      <c r="S62" s="1170"/>
      <c r="T62" s="1171"/>
      <c r="W62" s="1154"/>
    </row>
    <row r="63" spans="2:23" s="819" customFormat="1" ht="16.5" customHeight="1">
      <c r="B63" s="830"/>
      <c r="C63" s="924"/>
      <c r="D63" s="1175" t="s">
        <v>453</v>
      </c>
      <c r="E63" s="1035" t="s">
        <v>454</v>
      </c>
      <c r="F63" s="1035" t="s">
        <v>431</v>
      </c>
      <c r="G63" s="1176" t="s">
        <v>477</v>
      </c>
      <c r="H63" s="865"/>
      <c r="I63" s="1312"/>
      <c r="J63" s="820" t="s">
        <v>455</v>
      </c>
      <c r="K63" s="820"/>
      <c r="L63" s="1035" t="s">
        <v>431</v>
      </c>
      <c r="M63" s="865" t="s">
        <v>456</v>
      </c>
      <c r="O63" s="1176" t="s">
        <v>478</v>
      </c>
      <c r="P63" s="865"/>
      <c r="Q63" s="1180"/>
      <c r="R63" s="1180"/>
      <c r="S63" s="831"/>
      <c r="T63" s="865"/>
      <c r="U63" s="865"/>
      <c r="V63" s="865"/>
      <c r="W63" s="1154"/>
    </row>
    <row r="64" spans="2:23" s="819" customFormat="1" ht="16.5" customHeight="1">
      <c r="B64" s="830"/>
      <c r="C64" s="924"/>
      <c r="D64" s="1313" t="s">
        <v>457</v>
      </c>
      <c r="E64" s="1313">
        <v>300</v>
      </c>
      <c r="F64" s="1314">
        <v>500</v>
      </c>
      <c r="G64" s="1816">
        <f>+E64*$F$20*$F$21</f>
        <v>155570.4</v>
      </c>
      <c r="H64" s="1816"/>
      <c r="I64" s="1816"/>
      <c r="J64" s="1316" t="s">
        <v>458</v>
      </c>
      <c r="K64" s="1316"/>
      <c r="L64" s="1313">
        <v>500</v>
      </c>
      <c r="M64" s="1313">
        <v>2</v>
      </c>
      <c r="O64" s="1816">
        <f>+M64*$F$20*$M$19</f>
        <v>205663.92</v>
      </c>
      <c r="P64" s="1816"/>
      <c r="Q64" s="1816"/>
      <c r="R64" s="1816"/>
      <c r="S64" s="1816"/>
      <c r="T64" s="1816"/>
      <c r="U64" s="1816"/>
      <c r="V64" s="865"/>
      <c r="W64" s="1154"/>
    </row>
    <row r="65" spans="2:23" s="819" customFormat="1" ht="16.5" customHeight="1">
      <c r="B65" s="830"/>
      <c r="C65" s="924"/>
      <c r="D65" s="1313" t="s">
        <v>459</v>
      </c>
      <c r="E65" s="1046">
        <v>300</v>
      </c>
      <c r="F65" s="1314">
        <v>500</v>
      </c>
      <c r="G65" s="1816">
        <f>+E65*$F$20*$F$21</f>
        <v>155570.4</v>
      </c>
      <c r="H65" s="1816"/>
      <c r="I65" s="1816"/>
      <c r="J65" s="1316" t="s">
        <v>458</v>
      </c>
      <c r="K65" s="1316"/>
      <c r="L65" s="1313">
        <v>132</v>
      </c>
      <c r="M65" s="1313">
        <v>9</v>
      </c>
      <c r="O65" s="1816">
        <f>+M65*$F$20*$M$21</f>
        <v>740396.808</v>
      </c>
      <c r="P65" s="1816"/>
      <c r="Q65" s="1816"/>
      <c r="R65" s="1816"/>
      <c r="S65" s="1816"/>
      <c r="T65" s="1816"/>
      <c r="U65" s="1816"/>
      <c r="V65" s="865"/>
      <c r="W65" s="1154"/>
    </row>
    <row r="66" spans="2:23" s="819" customFormat="1" ht="16.5" customHeight="1">
      <c r="B66" s="830"/>
      <c r="C66" s="924"/>
      <c r="D66" s="1317" t="s">
        <v>460</v>
      </c>
      <c r="E66" s="1046">
        <v>300</v>
      </c>
      <c r="F66" s="1314">
        <v>500</v>
      </c>
      <c r="G66" s="1816">
        <f>+E66*$F$20*$F$21</f>
        <v>155570.4</v>
      </c>
      <c r="H66" s="1816"/>
      <c r="I66" s="1816"/>
      <c r="J66" s="1316" t="s">
        <v>461</v>
      </c>
      <c r="K66" s="1316"/>
      <c r="L66" s="1313">
        <v>132</v>
      </c>
      <c r="M66" s="1313">
        <v>8</v>
      </c>
      <c r="O66" s="1816">
        <f>+M66*$F$20*$M$21</f>
        <v>658130.4959999999</v>
      </c>
      <c r="P66" s="1816"/>
      <c r="Q66" s="1816"/>
      <c r="R66" s="1816"/>
      <c r="S66" s="1816"/>
      <c r="T66" s="1816"/>
      <c r="U66" s="1816"/>
      <c r="V66" s="865"/>
      <c r="W66" s="1154"/>
    </row>
    <row r="67" spans="1:23" ht="16.5" customHeight="1">
      <c r="A67" s="819"/>
      <c r="B67" s="830"/>
      <c r="C67" s="924"/>
      <c r="D67" s="1317" t="s">
        <v>462</v>
      </c>
      <c r="E67" s="1046">
        <v>300</v>
      </c>
      <c r="F67" s="1314">
        <v>500</v>
      </c>
      <c r="G67" s="1816">
        <f>+E67*$F$20*$F$21</f>
        <v>155570.4</v>
      </c>
      <c r="H67" s="1816"/>
      <c r="I67" s="1816"/>
      <c r="J67" s="1316" t="s">
        <v>463</v>
      </c>
      <c r="K67" s="1316"/>
      <c r="L67" s="1313">
        <v>132</v>
      </c>
      <c r="M67" s="1313">
        <v>5</v>
      </c>
      <c r="O67" s="1817">
        <f>+M67*$F$20*$M$21</f>
        <v>411331.56</v>
      </c>
      <c r="P67" s="1817"/>
      <c r="Q67" s="1817"/>
      <c r="R67" s="1817"/>
      <c r="S67" s="1817"/>
      <c r="T67" s="1817"/>
      <c r="U67" s="1817"/>
      <c r="W67" s="1154"/>
    </row>
    <row r="68" spans="1:23" ht="16.5" customHeight="1">
      <c r="A68" s="819"/>
      <c r="B68" s="830"/>
      <c r="C68" s="924"/>
      <c r="D68" s="1317" t="s">
        <v>464</v>
      </c>
      <c r="E68" s="1046">
        <v>600</v>
      </c>
      <c r="F68" s="1314">
        <v>500</v>
      </c>
      <c r="G68" s="1817">
        <f>+E68*$F$20*$F$21</f>
        <v>311140.8</v>
      </c>
      <c r="H68" s="1817"/>
      <c r="I68" s="1817"/>
      <c r="M68" s="1313"/>
      <c r="O68" s="1816">
        <f>SUM(O64:P67)</f>
        <v>2015522.784</v>
      </c>
      <c r="P68" s="1816"/>
      <c r="Q68" s="1816"/>
      <c r="R68" s="1816"/>
      <c r="S68" s="1816"/>
      <c r="T68" s="1816"/>
      <c r="U68" s="1816"/>
      <c r="W68" s="1154"/>
    </row>
    <row r="69" spans="1:23" ht="16.5" customHeight="1">
      <c r="A69" s="819"/>
      <c r="B69" s="830"/>
      <c r="C69" s="924"/>
      <c r="D69" s="1317"/>
      <c r="E69" s="1046"/>
      <c r="F69" s="1314"/>
      <c r="G69" s="1816">
        <f>SUM(G64:G68)</f>
        <v>933422.3999999999</v>
      </c>
      <c r="H69" s="1816"/>
      <c r="I69" s="1816"/>
      <c r="M69" s="1313"/>
      <c r="N69" s="1312"/>
      <c r="O69" s="1312"/>
      <c r="P69" s="1318"/>
      <c r="Q69" s="1318"/>
      <c r="R69" s="1318"/>
      <c r="S69" s="1318"/>
      <c r="W69" s="1154"/>
    </row>
    <row r="70" spans="1:23" ht="16.5" customHeight="1">
      <c r="A70" s="819"/>
      <c r="B70" s="830"/>
      <c r="C70" s="924"/>
      <c r="D70" s="1317"/>
      <c r="E70" s="1046"/>
      <c r="F70" s="1314"/>
      <c r="G70" s="1315"/>
      <c r="H70" s="1315"/>
      <c r="I70" s="1315"/>
      <c r="M70" s="1313"/>
      <c r="N70" s="1312"/>
      <c r="O70" s="1312"/>
      <c r="P70" s="1318"/>
      <c r="Q70" s="1318"/>
      <c r="R70" s="1318"/>
      <c r="S70" s="1318"/>
      <c r="W70" s="1154"/>
    </row>
    <row r="71" spans="1:23" ht="16.5" customHeight="1">
      <c r="A71" s="819"/>
      <c r="B71" s="830"/>
      <c r="D71" s="1782" t="s">
        <v>465</v>
      </c>
      <c r="E71" s="1046" t="s">
        <v>466</v>
      </c>
      <c r="F71" s="1319">
        <v>12355.34</v>
      </c>
      <c r="G71" s="1315"/>
      <c r="H71" s="1315"/>
      <c r="I71" s="1315"/>
      <c r="M71" s="1313"/>
      <c r="N71" s="1312"/>
      <c r="O71" s="1312"/>
      <c r="P71" s="1318"/>
      <c r="Q71" s="1318"/>
      <c r="R71" s="1318"/>
      <c r="S71" s="1318"/>
      <c r="W71" s="1154"/>
    </row>
    <row r="72" spans="1:23" ht="16.5" customHeight="1" thickBot="1">
      <c r="A72" s="819"/>
      <c r="B72" s="830"/>
      <c r="C72" s="924"/>
      <c r="D72" s="1175"/>
      <c r="E72" s="1188"/>
      <c r="F72" s="1188"/>
      <c r="G72" s="1035"/>
      <c r="I72" s="1178"/>
      <c r="J72" s="1176"/>
      <c r="L72" s="1177"/>
      <c r="M72" s="1178"/>
      <c r="N72" s="1179"/>
      <c r="O72" s="1180"/>
      <c r="P72" s="1180"/>
      <c r="Q72" s="1180"/>
      <c r="R72" s="1180"/>
      <c r="S72" s="1180"/>
      <c r="W72" s="1154"/>
    </row>
    <row r="73" spans="1:23" ht="21" customHeight="1" thickBot="1" thickTop="1">
      <c r="A73" s="819"/>
      <c r="B73" s="830"/>
      <c r="C73" s="924"/>
      <c r="D73" s="1035"/>
      <c r="E73" s="1320"/>
      <c r="F73" s="1320"/>
      <c r="G73" s="1183"/>
      <c r="H73" s="913"/>
      <c r="I73" s="940" t="s">
        <v>434</v>
      </c>
      <c r="J73" s="941">
        <f>+G69+O68+F71</f>
        <v>2961300.5239999997</v>
      </c>
      <c r="L73" s="1185"/>
      <c r="M73" s="913"/>
      <c r="N73" s="1186"/>
      <c r="O73" s="1318"/>
      <c r="P73" s="1318"/>
      <c r="Q73" s="1318"/>
      <c r="R73" s="1318"/>
      <c r="S73" s="1318"/>
      <c r="U73" s="940" t="s">
        <v>467</v>
      </c>
      <c r="V73" s="941">
        <v>1092809.996</v>
      </c>
      <c r="W73" s="1154"/>
    </row>
    <row r="74" spans="1:23" ht="16.5" customHeight="1" thickTop="1">
      <c r="A74" s="819"/>
      <c r="B74" s="830"/>
      <c r="C74" s="924"/>
      <c r="D74" s="1168"/>
      <c r="E74" s="929"/>
      <c r="F74" s="1035"/>
      <c r="G74" s="1035"/>
      <c r="H74" s="1036"/>
      <c r="J74" s="1035"/>
      <c r="L74" s="1191"/>
      <c r="M74" s="1179"/>
      <c r="N74" s="1179"/>
      <c r="O74" s="1180"/>
      <c r="P74" s="1180"/>
      <c r="Q74" s="1180"/>
      <c r="R74" s="1180"/>
      <c r="S74" s="1180"/>
      <c r="W74" s="1154"/>
    </row>
    <row r="75" spans="2:23" ht="16.5" customHeight="1">
      <c r="B75" s="830"/>
      <c r="C75" s="1173" t="s">
        <v>436</v>
      </c>
      <c r="D75" s="1194" t="s">
        <v>437</v>
      </c>
      <c r="E75" s="1035"/>
      <c r="F75" s="1195"/>
      <c r="G75" s="1034"/>
      <c r="H75" s="1168"/>
      <c r="I75" s="1168"/>
      <c r="J75" s="1168"/>
      <c r="K75" s="1035"/>
      <c r="L75" s="1035"/>
      <c r="M75" s="1168"/>
      <c r="N75" s="1035"/>
      <c r="O75" s="1168"/>
      <c r="P75" s="1168"/>
      <c r="Q75" s="1168"/>
      <c r="R75" s="1168"/>
      <c r="S75" s="1168"/>
      <c r="T75" s="1168"/>
      <c r="U75" s="1168"/>
      <c r="W75" s="1154"/>
    </row>
    <row r="76" spans="2:23" s="819" customFormat="1" ht="16.5" customHeight="1">
      <c r="B76" s="830"/>
      <c r="C76" s="924"/>
      <c r="D76" s="1175" t="s">
        <v>438</v>
      </c>
      <c r="E76" s="1196">
        <f>10*J59*J25/J73</f>
        <v>3782.077982671085</v>
      </c>
      <c r="G76" s="1034"/>
      <c r="L76" s="1035"/>
      <c r="N76" s="1035"/>
      <c r="O76" s="1036"/>
      <c r="V76" s="865"/>
      <c r="W76" s="1154"/>
    </row>
    <row r="77" spans="2:23" s="819" customFormat="1" ht="12.75" customHeight="1">
      <c r="B77" s="830"/>
      <c r="C77" s="924"/>
      <c r="E77" s="1197"/>
      <c r="F77" s="938"/>
      <c r="G77" s="1034"/>
      <c r="J77" s="1034"/>
      <c r="K77" s="1054"/>
      <c r="L77" s="1035"/>
      <c r="M77" s="1035"/>
      <c r="N77" s="1035"/>
      <c r="O77" s="1036"/>
      <c r="P77" s="1035"/>
      <c r="Q77" s="1035"/>
      <c r="R77" s="1053"/>
      <c r="S77" s="1053"/>
      <c r="T77" s="1053"/>
      <c r="U77" s="1198"/>
      <c r="V77" s="865"/>
      <c r="W77" s="1154"/>
    </row>
    <row r="78" spans="2:23" ht="16.5" customHeight="1">
      <c r="B78" s="830"/>
      <c r="C78" s="924"/>
      <c r="D78" s="1199" t="s">
        <v>468</v>
      </c>
      <c r="E78" s="1200"/>
      <c r="F78" s="938"/>
      <c r="G78" s="1034"/>
      <c r="H78" s="1168"/>
      <c r="I78" s="1168"/>
      <c r="N78" s="1035"/>
      <c r="O78" s="1036"/>
      <c r="P78" s="1035"/>
      <c r="Q78" s="1035"/>
      <c r="R78" s="1178"/>
      <c r="S78" s="1178"/>
      <c r="T78" s="1178"/>
      <c r="U78" s="1179"/>
      <c r="W78" s="1154"/>
    </row>
    <row r="79" spans="2:23" ht="13.5" customHeight="1" thickBot="1">
      <c r="B79" s="830"/>
      <c r="C79" s="924"/>
      <c r="D79" s="1199"/>
      <c r="E79" s="1200"/>
      <c r="F79" s="938"/>
      <c r="G79" s="1034"/>
      <c r="H79" s="1168"/>
      <c r="I79" s="1168"/>
      <c r="N79" s="1035"/>
      <c r="O79" s="1036"/>
      <c r="P79" s="1035"/>
      <c r="Q79" s="1035"/>
      <c r="R79" s="1178"/>
      <c r="S79" s="1178"/>
      <c r="T79" s="1178"/>
      <c r="U79" s="1179"/>
      <c r="W79" s="1154"/>
    </row>
    <row r="80" spans="2:23" s="1201" customFormat="1" ht="21" thickBot="1" thickTop="1">
      <c r="B80" s="1202"/>
      <c r="C80" s="1203"/>
      <c r="D80" s="1204"/>
      <c r="E80" s="1205"/>
      <c r="F80" s="1206"/>
      <c r="G80" s="1207"/>
      <c r="I80" s="1208" t="s">
        <v>440</v>
      </c>
      <c r="J80" s="1209">
        <f>IF(E76&gt;3*J25,J25*3,E76)</f>
        <v>3782.077982671085</v>
      </c>
      <c r="M80" s="1211" t="s">
        <v>479</v>
      </c>
      <c r="N80" s="1211"/>
      <c r="O80" s="1212"/>
      <c r="P80" s="1210"/>
      <c r="Q80" s="1210"/>
      <c r="R80" s="1213"/>
      <c r="S80" s="1213"/>
      <c r="T80" s="1213"/>
      <c r="U80" s="1214"/>
      <c r="V80" s="865"/>
      <c r="W80" s="1215"/>
    </row>
    <row r="81" spans="2:23" ht="16.5" customHeight="1" thickBot="1" thickTop="1">
      <c r="B81" s="882"/>
      <c r="C81" s="884"/>
      <c r="D81" s="884"/>
      <c r="E81" s="884"/>
      <c r="F81" s="884"/>
      <c r="G81" s="884"/>
      <c r="H81" s="884"/>
      <c r="I81" s="884"/>
      <c r="J81" s="884"/>
      <c r="K81" s="884"/>
      <c r="L81" s="884"/>
      <c r="M81" s="884"/>
      <c r="N81" s="884"/>
      <c r="O81" s="884"/>
      <c r="P81" s="884"/>
      <c r="Q81" s="884"/>
      <c r="R81" s="884"/>
      <c r="S81" s="884"/>
      <c r="T81" s="884"/>
      <c r="U81" s="884"/>
      <c r="V81" s="1216"/>
      <c r="W81" s="1217"/>
    </row>
    <row r="82" spans="2:23" ht="16.5" customHeight="1" thickTop="1">
      <c r="B82" s="919"/>
      <c r="C82" s="1218"/>
      <c r="W82" s="919"/>
    </row>
  </sheetData>
  <sheetProtection/>
  <mergeCells count="45">
    <mergeCell ref="G65:I65"/>
    <mergeCell ref="O65:U65"/>
    <mergeCell ref="G66:I66"/>
    <mergeCell ref="O66:U66"/>
    <mergeCell ref="G69:I69"/>
    <mergeCell ref="G67:I67"/>
    <mergeCell ref="O67:U67"/>
    <mergeCell ref="G68:I68"/>
    <mergeCell ref="O68:U68"/>
    <mergeCell ref="E56:F56"/>
    <mergeCell ref="N56:O56"/>
    <mergeCell ref="E57:F57"/>
    <mergeCell ref="N57:O57"/>
    <mergeCell ref="G64:I64"/>
    <mergeCell ref="O64:U64"/>
    <mergeCell ref="E53:F53"/>
    <mergeCell ref="N53:O53"/>
    <mergeCell ref="E54:F54"/>
    <mergeCell ref="N54:O54"/>
    <mergeCell ref="E55:F55"/>
    <mergeCell ref="N55:O55"/>
    <mergeCell ref="E50:F50"/>
    <mergeCell ref="N50:O50"/>
    <mergeCell ref="E51:F51"/>
    <mergeCell ref="N51:O51"/>
    <mergeCell ref="E52:F52"/>
    <mergeCell ref="N52:O52"/>
    <mergeCell ref="E47:F47"/>
    <mergeCell ref="N47:O47"/>
    <mergeCell ref="E48:F48"/>
    <mergeCell ref="N48:O48"/>
    <mergeCell ref="E49:F49"/>
    <mergeCell ref="N49:O49"/>
    <mergeCell ref="E44:F44"/>
    <mergeCell ref="N44:O44"/>
    <mergeCell ref="E45:F45"/>
    <mergeCell ref="N45:O45"/>
    <mergeCell ref="E46:F46"/>
    <mergeCell ref="N46:O46"/>
    <mergeCell ref="E41:F41"/>
    <mergeCell ref="N41:O41"/>
    <mergeCell ref="E42:F42"/>
    <mergeCell ref="N42:O42"/>
    <mergeCell ref="E43:F43"/>
    <mergeCell ref="N43:O43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36" r:id="rId2"/>
  <headerFooter alignWithMargins="0">
    <oddFooter>&amp;L&amp;"Times New Roman,Normal"&amp;8&amp;F-&amp;A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AG69"/>
  <sheetViews>
    <sheetView zoomScale="50" zoomScaleNormal="50" zoomScalePageLayoutView="0" workbookViewId="0" topLeftCell="A1">
      <selection activeCell="N51" sqref="N51"/>
    </sheetView>
  </sheetViews>
  <sheetFormatPr defaultColWidth="11.421875" defaultRowHeight="12.75"/>
  <cols>
    <col min="1" max="1" width="22.00390625" style="9" customWidth="1"/>
    <col min="2" max="2" width="13.00390625" style="9" customWidth="1"/>
    <col min="3" max="3" width="4.7109375" style="9" customWidth="1"/>
    <col min="4" max="4" width="30.7109375" style="9" customWidth="1"/>
    <col min="5" max="5" width="20.7109375" style="9" customWidth="1"/>
    <col min="6" max="6" width="15.00390625" style="9" customWidth="1"/>
    <col min="7" max="7" width="14.7109375" style="9" customWidth="1"/>
    <col min="8" max="8" width="8.7109375" style="9" hidden="1" customWidth="1"/>
    <col min="9" max="9" width="12.7109375" style="9" hidden="1" customWidth="1"/>
    <col min="10" max="10" width="21.00390625" style="9" customWidth="1"/>
    <col min="11" max="11" width="20.7109375" style="9" customWidth="1"/>
    <col min="12" max="13" width="10.7109375" style="9" customWidth="1"/>
    <col min="14" max="14" width="9.7109375" style="9" customWidth="1"/>
    <col min="15" max="15" width="10.57421875" style="9" customWidth="1"/>
    <col min="16" max="16" width="8.421875" style="9" customWidth="1"/>
    <col min="17" max="17" width="7.7109375" style="9" customWidth="1"/>
    <col min="18" max="18" width="14.7109375" style="9" hidden="1" customWidth="1"/>
    <col min="19" max="19" width="12.140625" style="9" hidden="1" customWidth="1"/>
    <col min="20" max="27" width="8.421875" style="9" hidden="1" customWidth="1"/>
    <col min="28" max="28" width="11.140625" style="9" customWidth="1"/>
    <col min="29" max="29" width="19.57421875" style="9" customWidth="1"/>
    <col min="30" max="30" width="14.7109375" style="9" customWidth="1"/>
    <col min="31" max="31" width="4.140625" style="9" customWidth="1"/>
    <col min="32" max="32" width="7.140625" style="9" customWidth="1"/>
    <col min="33" max="33" width="5.28125" style="9" customWidth="1"/>
    <col min="34" max="34" width="5.421875" style="9" customWidth="1"/>
    <col min="35" max="35" width="4.7109375" style="9" customWidth="1"/>
    <col min="36" max="36" width="5.28125" style="9" customWidth="1"/>
    <col min="37" max="38" width="13.28125" style="9" customWidth="1"/>
    <col min="39" max="39" width="6.57421875" style="9" customWidth="1"/>
    <col min="40" max="40" width="6.421875" style="9" customWidth="1"/>
    <col min="41" max="44" width="11.421875" style="9" customWidth="1"/>
    <col min="45" max="45" width="12.7109375" style="9" customWidth="1"/>
    <col min="46" max="48" width="11.421875" style="9" customWidth="1"/>
    <col min="49" max="49" width="21.00390625" style="9" customWidth="1"/>
    <col min="50" max="16384" width="11.421875" style="9" customWidth="1"/>
  </cols>
  <sheetData>
    <row r="1" spans="1:30" ht="13.5">
      <c r="A1" s="89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AD1" s="5"/>
    </row>
    <row r="2" spans="1:23" ht="27" customHeight="1">
      <c r="A2" s="8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30" s="1332" customFormat="1" ht="30.75">
      <c r="A3" s="1329"/>
      <c r="B3" s="1330" t="str">
        <f>'TOT-0912'!B2</f>
        <v>ANEXO IV al Memorándum  D.T.E.E.  N° 295 / 2014</v>
      </c>
      <c r="C3" s="1331"/>
      <c r="D3" s="1331"/>
      <c r="E3" s="1331"/>
      <c r="F3" s="1331"/>
      <c r="G3" s="1331"/>
      <c r="H3" s="1331"/>
      <c r="I3" s="1331"/>
      <c r="J3" s="1331"/>
      <c r="K3" s="1331"/>
      <c r="L3" s="1331"/>
      <c r="M3" s="1331"/>
      <c r="N3" s="1331"/>
      <c r="O3" s="1331"/>
      <c r="P3" s="1331"/>
      <c r="Q3" s="1331"/>
      <c r="R3" s="1331"/>
      <c r="S3" s="1331"/>
      <c r="T3" s="1331"/>
      <c r="U3" s="1331"/>
      <c r="V3" s="1331"/>
      <c r="W3" s="1331"/>
      <c r="AB3" s="1331"/>
      <c r="AC3" s="1331"/>
      <c r="AD3" s="1331"/>
    </row>
    <row r="4" spans="1:2" s="14" customFormat="1" ht="11.25">
      <c r="A4" s="1333" t="s">
        <v>2</v>
      </c>
      <c r="B4" s="275"/>
    </row>
    <row r="5" spans="1:2" s="14" customFormat="1" ht="12" thickBot="1">
      <c r="A5" s="1333" t="s">
        <v>3</v>
      </c>
      <c r="B5" s="1333"/>
    </row>
    <row r="6" spans="1:30" ht="16.5" customHeight="1" thickTop="1">
      <c r="A6" s="8"/>
      <c r="B6" s="91"/>
      <c r="C6" s="92"/>
      <c r="D6" s="92"/>
      <c r="E6" s="93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1334"/>
      <c r="X6" s="1334"/>
      <c r="Y6" s="1334"/>
      <c r="Z6" s="1334"/>
      <c r="AA6" s="1334"/>
      <c r="AB6" s="1334"/>
      <c r="AC6" s="1334"/>
      <c r="AD6" s="94"/>
    </row>
    <row r="7" spans="1:30" ht="20.25">
      <c r="A7" s="8"/>
      <c r="B7" s="55"/>
      <c r="C7" s="11"/>
      <c r="D7" s="96" t="s">
        <v>398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335"/>
      <c r="Q7" s="1335"/>
      <c r="R7" s="11"/>
      <c r="S7" s="11"/>
      <c r="T7" s="11"/>
      <c r="U7" s="11"/>
      <c r="V7" s="11"/>
      <c r="AD7" s="99"/>
    </row>
    <row r="8" spans="1:30" ht="16.5" customHeight="1">
      <c r="A8" s="8"/>
      <c r="B8" s="55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AD8" s="99"/>
    </row>
    <row r="9" spans="2:30" s="34" customFormat="1" ht="20.25">
      <c r="B9" s="43"/>
      <c r="C9" s="42"/>
      <c r="D9" s="96" t="s">
        <v>399</v>
      </c>
      <c r="E9" s="42"/>
      <c r="F9" s="42"/>
      <c r="G9" s="42"/>
      <c r="H9" s="42"/>
      <c r="N9" s="42"/>
      <c r="O9" s="42"/>
      <c r="P9" s="1336"/>
      <c r="Q9" s="1336"/>
      <c r="R9" s="42"/>
      <c r="S9" s="42"/>
      <c r="T9" s="42"/>
      <c r="U9" s="42"/>
      <c r="V9" s="42"/>
      <c r="W9" s="9"/>
      <c r="X9" s="42"/>
      <c r="Y9" s="42"/>
      <c r="Z9" s="42"/>
      <c r="AA9" s="42"/>
      <c r="AB9" s="42"/>
      <c r="AC9" s="9"/>
      <c r="AD9" s="1337"/>
    </row>
    <row r="10" spans="1:30" ht="16.5" customHeight="1">
      <c r="A10" s="8"/>
      <c r="B10" s="55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AD10" s="99"/>
    </row>
    <row r="11" spans="2:30" s="34" customFormat="1" ht="20.25">
      <c r="B11" s="43"/>
      <c r="C11" s="42"/>
      <c r="D11" s="96" t="s">
        <v>501</v>
      </c>
      <c r="E11" s="42"/>
      <c r="F11" s="42"/>
      <c r="G11" s="42"/>
      <c r="H11" s="42"/>
      <c r="N11" s="42"/>
      <c r="O11" s="42"/>
      <c r="P11" s="1336"/>
      <c r="Q11" s="1336"/>
      <c r="R11" s="42"/>
      <c r="S11" s="42"/>
      <c r="T11" s="42"/>
      <c r="U11" s="42"/>
      <c r="V11" s="42"/>
      <c r="W11" s="9"/>
      <c r="X11" s="42"/>
      <c r="Y11" s="42"/>
      <c r="Z11" s="42"/>
      <c r="AA11" s="42"/>
      <c r="AB11" s="42"/>
      <c r="AC11" s="9"/>
      <c r="AD11" s="1337"/>
    </row>
    <row r="12" spans="1:30" ht="16.5" customHeight="1">
      <c r="A12" s="8"/>
      <c r="B12" s="55"/>
      <c r="C12" s="11"/>
      <c r="D12" s="11"/>
      <c r="E12" s="8"/>
      <c r="F12" s="8"/>
      <c r="G12" s="8"/>
      <c r="H12" s="8"/>
      <c r="I12" s="100"/>
      <c r="J12" s="100"/>
      <c r="K12" s="100"/>
      <c r="L12" s="100"/>
      <c r="M12" s="100"/>
      <c r="N12" s="100"/>
      <c r="O12" s="100"/>
      <c r="P12" s="100"/>
      <c r="Q12" s="100"/>
      <c r="R12" s="11"/>
      <c r="S12" s="11"/>
      <c r="T12" s="11"/>
      <c r="U12" s="11"/>
      <c r="V12" s="11"/>
      <c r="AD12" s="99"/>
    </row>
    <row r="13" spans="2:30" s="34" customFormat="1" ht="19.5">
      <c r="B13" s="35" t="str">
        <f>'TOT-0912'!B14</f>
        <v>Desde el 01 al 30 de septiembre de 2012</v>
      </c>
      <c r="C13" s="36"/>
      <c r="D13" s="39"/>
      <c r="E13" s="39"/>
      <c r="F13" s="39"/>
      <c r="G13" s="39"/>
      <c r="H13" s="39"/>
      <c r="I13" s="40"/>
      <c r="J13" s="25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1338"/>
      <c r="V13" s="1338"/>
      <c r="W13" s="9"/>
      <c r="X13" s="1339"/>
      <c r="Y13" s="1339"/>
      <c r="Z13" s="1339"/>
      <c r="AA13" s="1339"/>
      <c r="AB13" s="1338"/>
      <c r="AC13" s="25"/>
      <c r="AD13" s="41"/>
    </row>
    <row r="14" spans="1:30" ht="16.5" customHeight="1">
      <c r="A14" s="8"/>
      <c r="B14" s="55"/>
      <c r="C14" s="11"/>
      <c r="D14" s="11"/>
      <c r="E14" s="85"/>
      <c r="F14" s="85"/>
      <c r="G14" s="11"/>
      <c r="H14" s="11"/>
      <c r="I14" s="11"/>
      <c r="J14" s="1340"/>
      <c r="K14" s="11"/>
      <c r="L14" s="11"/>
      <c r="M14" s="11"/>
      <c r="N14" s="8"/>
      <c r="O14" s="8"/>
      <c r="P14" s="11"/>
      <c r="Q14" s="11"/>
      <c r="R14" s="11"/>
      <c r="S14" s="11"/>
      <c r="T14" s="11"/>
      <c r="U14" s="11"/>
      <c r="V14" s="11"/>
      <c r="AD14" s="99"/>
    </row>
    <row r="15" spans="1:30" ht="16.5" customHeight="1">
      <c r="A15" s="8"/>
      <c r="B15" s="55"/>
      <c r="C15" s="11"/>
      <c r="D15" s="11"/>
      <c r="E15" s="85"/>
      <c r="F15" s="85"/>
      <c r="G15" s="11"/>
      <c r="H15" s="11"/>
      <c r="I15" s="1341"/>
      <c r="J15" s="11"/>
      <c r="K15" s="248"/>
      <c r="M15" s="11"/>
      <c r="N15" s="8"/>
      <c r="O15" s="8"/>
      <c r="P15" s="11"/>
      <c r="Q15" s="11"/>
      <c r="R15" s="11"/>
      <c r="S15" s="11"/>
      <c r="T15" s="11"/>
      <c r="U15" s="11"/>
      <c r="V15" s="11"/>
      <c r="AD15" s="99"/>
    </row>
    <row r="16" spans="1:30" ht="16.5" customHeight="1">
      <c r="A16" s="8"/>
      <c r="B16" s="55"/>
      <c r="C16" s="11"/>
      <c r="D16" s="11"/>
      <c r="E16" s="85"/>
      <c r="F16" s="85"/>
      <c r="G16" s="11"/>
      <c r="H16" s="11"/>
      <c r="I16" s="1341"/>
      <c r="J16" s="11"/>
      <c r="K16" s="248"/>
      <c r="M16" s="11"/>
      <c r="N16" s="8"/>
      <c r="O16" s="8"/>
      <c r="P16" s="11"/>
      <c r="Q16" s="11"/>
      <c r="R16" s="11"/>
      <c r="S16" s="11"/>
      <c r="T16" s="11"/>
      <c r="U16" s="11"/>
      <c r="V16" s="11"/>
      <c r="AD16" s="99"/>
    </row>
    <row r="17" spans="1:30" ht="16.5" customHeight="1">
      <c r="A17" s="8"/>
      <c r="B17" s="55"/>
      <c r="C17" s="73" t="s">
        <v>401</v>
      </c>
      <c r="D17" s="4" t="s">
        <v>402</v>
      </c>
      <c r="E17" s="85"/>
      <c r="F17" s="85"/>
      <c r="G17" s="11"/>
      <c r="H17" s="11"/>
      <c r="I17" s="11"/>
      <c r="J17" s="1340"/>
      <c r="K17" s="11"/>
      <c r="L17" s="11"/>
      <c r="M17" s="11"/>
      <c r="N17" s="8"/>
      <c r="O17" s="8"/>
      <c r="P17" s="11"/>
      <c r="Q17" s="11"/>
      <c r="R17" s="11"/>
      <c r="S17" s="11"/>
      <c r="T17" s="11"/>
      <c r="U17" s="11"/>
      <c r="V17" s="11"/>
      <c r="AD17" s="99"/>
    </row>
    <row r="18" spans="2:30" s="27" customFormat="1" ht="16.5" customHeight="1">
      <c r="B18" s="1342"/>
      <c r="C18" s="29"/>
      <c r="D18" s="1343"/>
      <c r="E18" s="1344"/>
      <c r="F18" s="1345"/>
      <c r="G18" s="29"/>
      <c r="H18" s="29"/>
      <c r="I18" s="29"/>
      <c r="J18" s="1346"/>
      <c r="K18" s="29"/>
      <c r="L18" s="29"/>
      <c r="M18" s="29"/>
      <c r="P18" s="29"/>
      <c r="Q18" s="29"/>
      <c r="R18" s="29"/>
      <c r="S18" s="29"/>
      <c r="T18" s="29"/>
      <c r="U18" s="29"/>
      <c r="V18" s="29"/>
      <c r="W18" s="9"/>
      <c r="AD18" s="1347"/>
    </row>
    <row r="19" spans="2:30" s="27" customFormat="1" ht="16.5" customHeight="1">
      <c r="B19" s="1342"/>
      <c r="C19" s="29"/>
      <c r="D19" s="1348" t="s">
        <v>403</v>
      </c>
      <c r="F19" s="1349">
        <v>253.422</v>
      </c>
      <c r="G19" s="1348" t="s">
        <v>404</v>
      </c>
      <c r="H19" s="29"/>
      <c r="I19" s="29"/>
      <c r="J19" s="1350"/>
      <c r="K19" s="1351" t="s">
        <v>405</v>
      </c>
      <c r="L19" s="1352">
        <v>0.04</v>
      </c>
      <c r="R19" s="29"/>
      <c r="S19" s="29"/>
      <c r="T19" s="29"/>
      <c r="U19" s="29"/>
      <c r="V19" s="29"/>
      <c r="W19" s="9"/>
      <c r="AD19" s="1347"/>
    </row>
    <row r="20" spans="2:30" s="27" customFormat="1" ht="16.5" customHeight="1">
      <c r="B20" s="1342"/>
      <c r="C20" s="29"/>
      <c r="D20" s="1348" t="s">
        <v>406</v>
      </c>
      <c r="F20" s="1353">
        <v>0.697</v>
      </c>
      <c r="G20" s="1348" t="s">
        <v>407</v>
      </c>
      <c r="H20" s="29"/>
      <c r="I20" s="29"/>
      <c r="J20" s="29"/>
      <c r="K20" s="1343" t="s">
        <v>408</v>
      </c>
      <c r="L20" s="29">
        <f>MID(B13,16,2)*24</f>
        <v>720</v>
      </c>
      <c r="M20" s="29" t="s">
        <v>409</v>
      </c>
      <c r="N20" s="29"/>
      <c r="O20" s="29"/>
      <c r="P20" s="1354"/>
      <c r="Q20" s="29"/>
      <c r="R20" s="29"/>
      <c r="S20" s="29"/>
      <c r="T20" s="29"/>
      <c r="U20" s="29"/>
      <c r="V20" s="29"/>
      <c r="W20" s="9"/>
      <c r="AD20" s="1347"/>
    </row>
    <row r="21" spans="2:30" s="27" customFormat="1" ht="16.5" customHeight="1">
      <c r="B21" s="1342"/>
      <c r="C21" s="29"/>
      <c r="D21" s="1348"/>
      <c r="F21" s="1353"/>
      <c r="G21" s="1348"/>
      <c r="H21" s="29"/>
      <c r="I21" s="29"/>
      <c r="J21" s="29"/>
      <c r="K21" s="107"/>
      <c r="L21" s="108"/>
      <c r="M21" s="29"/>
      <c r="N21" s="29"/>
      <c r="O21" s="29"/>
      <c r="P21" s="1354"/>
      <c r="Q21" s="29"/>
      <c r="R21" s="29"/>
      <c r="S21" s="29"/>
      <c r="T21" s="29"/>
      <c r="U21" s="29"/>
      <c r="V21" s="29"/>
      <c r="W21" s="9"/>
      <c r="AD21" s="1347"/>
    </row>
    <row r="22" spans="2:30" s="27" customFormat="1" ht="16.5" customHeight="1">
      <c r="B22" s="1342"/>
      <c r="C22" s="29"/>
      <c r="D22" s="1348"/>
      <c r="F22" s="1353"/>
      <c r="G22" s="1348"/>
      <c r="H22" s="29"/>
      <c r="I22" s="29"/>
      <c r="J22" s="29"/>
      <c r="K22" s="107"/>
      <c r="L22" s="108"/>
      <c r="M22" s="29"/>
      <c r="N22" s="29"/>
      <c r="O22" s="29"/>
      <c r="P22" s="1354"/>
      <c r="Q22" s="29"/>
      <c r="R22" s="29"/>
      <c r="S22" s="29"/>
      <c r="T22" s="29"/>
      <c r="U22" s="29"/>
      <c r="V22" s="29"/>
      <c r="W22" s="9"/>
      <c r="AD22" s="1347"/>
    </row>
    <row r="23" spans="2:30" s="27" customFormat="1" ht="8.25" customHeight="1">
      <c r="B23" s="1342"/>
      <c r="C23" s="29"/>
      <c r="D23" s="29"/>
      <c r="E23" s="1355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9"/>
      <c r="AD23" s="1347"/>
    </row>
    <row r="24" spans="1:30" ht="16.5" customHeight="1">
      <c r="A24" s="8"/>
      <c r="B24" s="55"/>
      <c r="C24" s="73" t="s">
        <v>411</v>
      </c>
      <c r="D24" s="28" t="s">
        <v>469</v>
      </c>
      <c r="I24" s="11"/>
      <c r="J24" s="27"/>
      <c r="O24" s="11"/>
      <c r="P24" s="11"/>
      <c r="Q24" s="11"/>
      <c r="R24" s="11"/>
      <c r="S24" s="11"/>
      <c r="T24" s="11"/>
      <c r="V24" s="11"/>
      <c r="X24" s="11"/>
      <c r="Y24" s="11"/>
      <c r="Z24" s="11"/>
      <c r="AA24" s="11"/>
      <c r="AB24" s="11"/>
      <c r="AC24" s="11"/>
      <c r="AD24" s="99"/>
    </row>
    <row r="25" spans="1:30" ht="10.5" customHeight="1" thickBot="1">
      <c r="A25" s="8"/>
      <c r="B25" s="55"/>
      <c r="C25" s="85"/>
      <c r="D25" s="28"/>
      <c r="I25" s="11"/>
      <c r="J25" s="27"/>
      <c r="O25" s="11"/>
      <c r="P25" s="11"/>
      <c r="Q25" s="11"/>
      <c r="R25" s="11"/>
      <c r="S25" s="11"/>
      <c r="T25" s="11"/>
      <c r="V25" s="11"/>
      <c r="X25" s="11"/>
      <c r="Y25" s="11"/>
      <c r="Z25" s="11"/>
      <c r="AA25" s="11"/>
      <c r="AB25" s="11"/>
      <c r="AC25" s="11"/>
      <c r="AD25" s="99"/>
    </row>
    <row r="26" spans="2:30" s="27" customFormat="1" ht="16.5" customHeight="1" thickBot="1" thickTop="1">
      <c r="B26" s="1342"/>
      <c r="C26" s="1345"/>
      <c r="D26" s="9"/>
      <c r="E26" s="9"/>
      <c r="F26" s="9"/>
      <c r="G26" s="9"/>
      <c r="H26" s="9"/>
      <c r="I26" s="9"/>
      <c r="J26" s="1356" t="s">
        <v>412</v>
      </c>
      <c r="K26" s="1357">
        <f>L19*AC59</f>
        <v>39889.439743999996</v>
      </c>
      <c r="L26" s="9"/>
      <c r="S26" s="9"/>
      <c r="T26" s="9"/>
      <c r="U26" s="9"/>
      <c r="W26" s="9"/>
      <c r="AD26" s="1347"/>
    </row>
    <row r="27" spans="2:30" s="27" customFormat="1" ht="11.25" customHeight="1" thickTop="1">
      <c r="B27" s="1342"/>
      <c r="C27" s="1345"/>
      <c r="D27" s="29"/>
      <c r="E27" s="1355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9"/>
      <c r="W27" s="9"/>
      <c r="AD27" s="1347"/>
    </row>
    <row r="28" spans="1:30" ht="16.5" customHeight="1">
      <c r="A28" s="8"/>
      <c r="B28" s="55"/>
      <c r="C28" s="73" t="s">
        <v>413</v>
      </c>
      <c r="D28" s="28" t="s">
        <v>470</v>
      </c>
      <c r="E28" s="233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AD28" s="99"/>
    </row>
    <row r="29" spans="1:30" ht="21.75" customHeight="1" thickBot="1">
      <c r="A29" s="8"/>
      <c r="B29" s="55"/>
      <c r="C29" s="11"/>
      <c r="D29" s="11"/>
      <c r="E29" s="233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AD29" s="99"/>
    </row>
    <row r="30" spans="2:31" s="8" customFormat="1" ht="33.75" customHeight="1" thickBot="1" thickTop="1">
      <c r="B30" s="55"/>
      <c r="C30" s="111" t="s">
        <v>28</v>
      </c>
      <c r="D30" s="943" t="s">
        <v>5</v>
      </c>
      <c r="E30" s="1358" t="s">
        <v>31</v>
      </c>
      <c r="F30" s="1359" t="s">
        <v>32</v>
      </c>
      <c r="G30" s="115" t="s">
        <v>33</v>
      </c>
      <c r="H30" s="1360" t="s">
        <v>34</v>
      </c>
      <c r="I30" s="485" t="s">
        <v>35</v>
      </c>
      <c r="J30" s="112" t="s">
        <v>36</v>
      </c>
      <c r="K30" s="118" t="s">
        <v>37</v>
      </c>
      <c r="L30" s="119" t="s">
        <v>38</v>
      </c>
      <c r="M30" s="114" t="s">
        <v>39</v>
      </c>
      <c r="N30" s="119" t="s">
        <v>414</v>
      </c>
      <c r="O30" s="119" t="s">
        <v>40</v>
      </c>
      <c r="P30" s="118" t="s">
        <v>41</v>
      </c>
      <c r="Q30" s="112" t="s">
        <v>42</v>
      </c>
      <c r="R30" s="1361" t="s">
        <v>43</v>
      </c>
      <c r="S30" s="1362" t="s">
        <v>44</v>
      </c>
      <c r="T30" s="1363" t="s">
        <v>415</v>
      </c>
      <c r="U30" s="1364"/>
      <c r="V30" s="1365"/>
      <c r="W30" s="1366" t="s">
        <v>416</v>
      </c>
      <c r="X30" s="1367"/>
      <c r="Y30" s="1368"/>
      <c r="Z30" s="1369" t="s">
        <v>47</v>
      </c>
      <c r="AA30" s="1370" t="s">
        <v>417</v>
      </c>
      <c r="AB30" s="1371" t="s">
        <v>49</v>
      </c>
      <c r="AC30" s="325" t="s">
        <v>50</v>
      </c>
      <c r="AD30" s="131"/>
      <c r="AE30" s="9"/>
    </row>
    <row r="31" spans="1:30" ht="16.5" customHeight="1" thickTop="1">
      <c r="A31" s="8"/>
      <c r="B31" s="55"/>
      <c r="C31" s="152"/>
      <c r="D31" s="1372"/>
      <c r="E31" s="1373"/>
      <c r="F31" s="1374"/>
      <c r="G31" s="1375"/>
      <c r="H31" s="1376"/>
      <c r="I31" s="1377"/>
      <c r="J31" s="1378"/>
      <c r="K31" s="1379"/>
      <c r="L31" s="152"/>
      <c r="M31" s="152"/>
      <c r="N31" s="1380"/>
      <c r="O31" s="1380"/>
      <c r="P31" s="152"/>
      <c r="Q31" s="1381"/>
      <c r="R31" s="1382"/>
      <c r="S31" s="1383"/>
      <c r="T31" s="1384"/>
      <c r="U31" s="1385"/>
      <c r="V31" s="1386"/>
      <c r="W31" s="1387"/>
      <c r="X31" s="1388"/>
      <c r="Y31" s="1389"/>
      <c r="Z31" s="1390"/>
      <c r="AA31" s="1391"/>
      <c r="AB31" s="1392"/>
      <c r="AC31" s="1393"/>
      <c r="AD31" s="99"/>
    </row>
    <row r="32" spans="1:30" ht="16.5" customHeight="1">
      <c r="A32" s="8"/>
      <c r="B32" s="55"/>
      <c r="C32" s="989" t="s">
        <v>418</v>
      </c>
      <c r="D32" s="194" t="s">
        <v>267</v>
      </c>
      <c r="E32" s="195">
        <v>500</v>
      </c>
      <c r="F32" s="196">
        <v>354</v>
      </c>
      <c r="G32" s="1394" t="s">
        <v>483</v>
      </c>
      <c r="H32" s="1395">
        <f>IF(G32="A",200,IF(G32="B",60,20))</f>
        <v>200</v>
      </c>
      <c r="I32" s="1396">
        <f>IF(F32&gt;100,F32,100)*$F$19/100</f>
        <v>897.1138799999999</v>
      </c>
      <c r="J32" s="174">
        <v>41175.29375</v>
      </c>
      <c r="K32" s="175">
        <v>41175.40347222222</v>
      </c>
      <c r="L32" s="1397">
        <f>IF(D32="","",(K32-J32)*24)</f>
        <v>2.633333333360497</v>
      </c>
      <c r="M32" s="511">
        <f>IF(D32="","",ROUND((K32-J32)*24*60,0))</f>
        <v>158</v>
      </c>
      <c r="N32" s="591" t="s">
        <v>259</v>
      </c>
      <c r="O32" s="274" t="str">
        <f>IF(D32="","","--")</f>
        <v>--</v>
      </c>
      <c r="P32" s="180" t="str">
        <f>IF(D32="","","NO")</f>
        <v>NO</v>
      </c>
      <c r="Q32" s="180" t="str">
        <f>IF(D32="","",IF(OR(N32="P",N32="RP"),"--","NO"))</f>
        <v>--</v>
      </c>
      <c r="R32" s="1398">
        <f>IF(N32="P",+I32*H32*ROUND(M32/60,2)/100,"--")</f>
        <v>4718.819008799999</v>
      </c>
      <c r="S32" s="1399" t="str">
        <f>IF(N32="RP",I32*H32*ROUND(M32/60,2)*0.01*O32/100,"--")</f>
        <v>--</v>
      </c>
      <c r="T32" s="1400" t="str">
        <f>IF(AND(N32="F",Q32="NO"),IF(P32="SI",1.2,1)*I32*H32,"--")</f>
        <v>--</v>
      </c>
      <c r="U32" s="1401" t="str">
        <f>IF(AND(M32&gt;10,N32="F"),IF(M32&lt;=300,ROUND(M32/60,2),5)*I32*H32*IF(P32="SI",1.2,1),"--")</f>
        <v>--</v>
      </c>
      <c r="V32" s="1402" t="str">
        <f>IF(AND(N32="F",M32&gt;300),IF(P32="SI",1.2,1)*(ROUND(M32/60,2)-5)*I32*H32*0.1,"--")</f>
        <v>--</v>
      </c>
      <c r="W32" s="1403" t="str">
        <f>IF(AND(N32="R",Q32="NO"),IF(P32="SI",1.2,1)*I32*H32*O32/100,"--")</f>
        <v>--</v>
      </c>
      <c r="X32" s="1404" t="str">
        <f>IF(AND(M32&gt;10,N32="R"),IF(M32&lt;=300,ROUND(M32/60,2),5)*I32*H32*O32/100*IF(P32="SI",1.2,1),"--")</f>
        <v>--</v>
      </c>
      <c r="Y32" s="1405" t="str">
        <f>IF(AND(N32="R",M32&gt;300),IF(P32="SI",1.2,1)*(ROUND(M32/60,2)-5)*I32*H32*O32/100*0.1,"--")</f>
        <v>--</v>
      </c>
      <c r="Z32" s="1406" t="str">
        <f>IF(N32="RF",IF(P32="SI",1.2,1)*ROUND(M32/60,2)*I32*H32*0.1,"--")</f>
        <v>--</v>
      </c>
      <c r="AA32" s="1407" t="str">
        <f>IF(N32="RR",IF(P32="SI",1.2,1)*ROUND(M32/60,2)*I32*H32*O32/100*0.1,"--")</f>
        <v>--</v>
      </c>
      <c r="AB32" s="1408" t="str">
        <f>IF(D32="","","SI")</f>
        <v>SI</v>
      </c>
      <c r="AC32" s="192">
        <f>IF(D32="","",SUM(R32:AA32)*IF(AB32="SI",1,2))</f>
        <v>4718.819008799999</v>
      </c>
      <c r="AD32" s="99"/>
    </row>
    <row r="33" spans="1:30" ht="16.5" customHeight="1">
      <c r="A33" s="8"/>
      <c r="B33" s="55"/>
      <c r="C33" s="989" t="s">
        <v>419</v>
      </c>
      <c r="D33" s="152"/>
      <c r="E33" s="1409"/>
      <c r="F33" s="1410"/>
      <c r="G33" s="1394"/>
      <c r="H33" s="1395">
        <f>IF(G33="A",200,IF(G33="B",60,20))</f>
        <v>20</v>
      </c>
      <c r="I33" s="1396">
        <f>IF(F33&gt;100,F33,100)*$F$19/100</f>
        <v>253.422</v>
      </c>
      <c r="J33" s="174"/>
      <c r="K33" s="175"/>
      <c r="L33" s="1397">
        <f>IF(D33="","",(K33-J33)*24)</f>
      </c>
      <c r="M33" s="511">
        <f>IF(D33="","",ROUND((K33-J33)*24*60,0))</f>
      </c>
      <c r="N33" s="591"/>
      <c r="O33" s="274">
        <f>IF(D33="","","--")</f>
      </c>
      <c r="P33" s="180">
        <f>IF(D33="","","NO")</f>
      </c>
      <c r="Q33" s="180">
        <f>IF(D33="","",IF(OR(N33="P",N33="RP"),"--","NO"))</f>
      </c>
      <c r="R33" s="1398" t="str">
        <f>IF(N33="P",+I33*H33*ROUND(M33/60,2)/100,"--")</f>
        <v>--</v>
      </c>
      <c r="S33" s="1399" t="str">
        <f>IF(N33="RP",I33*H33*ROUND(M33/60,2)*0.01*O33/100,"--")</f>
        <v>--</v>
      </c>
      <c r="T33" s="1400" t="str">
        <f>IF(AND(N33="F",Q33="NO"),IF(P33="SI",1.2,1)*I33*H33,"--")</f>
        <v>--</v>
      </c>
      <c r="U33" s="1401" t="str">
        <f>IF(AND(M33&gt;10,N33="F"),IF(M33&lt;=300,ROUND(M33/60,2),5)*I33*H33*IF(P33="SI",1.2,1),"--")</f>
        <v>--</v>
      </c>
      <c r="V33" s="1402" t="str">
        <f>IF(AND(N33="F",M33&gt;300),IF(P33="SI",1.2,1)*(ROUND(M33/60,2)-5)*I33*H33*0.1,"--")</f>
        <v>--</v>
      </c>
      <c r="W33" s="1403" t="str">
        <f>IF(AND(N33="R",Q33="NO"),IF(P33="SI",1.2,1)*I33*H33*O33/100,"--")</f>
        <v>--</v>
      </c>
      <c r="X33" s="1404" t="str">
        <f>IF(AND(M33&gt;10,N33="R"),IF(M33&lt;=300,ROUND(M33/60,2),5)*I33*H33*O33/100*IF(P33="SI",1.2,1),"--")</f>
        <v>--</v>
      </c>
      <c r="Y33" s="1405" t="str">
        <f>IF(AND(N33="R",M33&gt;300),IF(P33="SI",1.2,1)*(ROUND(M33/60,2)-5)*I33*H33*O33/100*0.1,"--")</f>
        <v>--</v>
      </c>
      <c r="Z33" s="1406" t="str">
        <f>IF(N33="RF",IF(P33="SI",1.2,1)*ROUND(M33/60,2)*I33*H33*0.1,"--")</f>
        <v>--</v>
      </c>
      <c r="AA33" s="1407" t="str">
        <f>IF(N33="RR",IF(P33="SI",1.2,1)*ROUND(M33/60,2)*I33*H33*O33/100*0.1,"--")</f>
        <v>--</v>
      </c>
      <c r="AB33" s="1408">
        <f>IF(D33="","","SI")</f>
      </c>
      <c r="AC33" s="192">
        <f>IF(D33="","",SUM(R33:AA33)*IF(AB33="SI",1,2))</f>
      </c>
      <c r="AD33" s="99"/>
    </row>
    <row r="34" spans="1:30" ht="16.5" customHeight="1">
      <c r="A34" s="8"/>
      <c r="B34" s="55"/>
      <c r="C34" s="989" t="s">
        <v>425</v>
      </c>
      <c r="D34" s="152"/>
      <c r="E34" s="1409"/>
      <c r="F34" s="1410"/>
      <c r="G34" s="1394"/>
      <c r="H34" s="1395">
        <f>IF(G34="A",200,IF(G34="B",60,20))</f>
        <v>20</v>
      </c>
      <c r="I34" s="1396">
        <f>IF(F34&gt;100,F34,100)*$F$19/100</f>
        <v>253.422</v>
      </c>
      <c r="J34" s="197"/>
      <c r="K34" s="198"/>
      <c r="L34" s="1397">
        <f>IF(D34="","",(K34-J34)*24)</f>
      </c>
      <c r="M34" s="511">
        <f>IF(D34="","",ROUND((K34-J34)*24*60,0))</f>
      </c>
      <c r="N34" s="591"/>
      <c r="O34" s="274">
        <f>IF(D34="","","--")</f>
      </c>
      <c r="P34" s="180">
        <f>IF(D34="","","NO")</f>
      </c>
      <c r="Q34" s="180">
        <f>IF(D34="","",IF(OR(N34="P",N34="RP"),"--","NO"))</f>
      </c>
      <c r="R34" s="1398" t="str">
        <f>IF(N34="P",+I34*H34*ROUND(M34/60,2)/100,"--")</f>
        <v>--</v>
      </c>
      <c r="S34" s="1399" t="str">
        <f>IF(N34="RP",I34*H34*ROUND(M34/60,2)*0.01*O34/100,"--")</f>
        <v>--</v>
      </c>
      <c r="T34" s="1400" t="str">
        <f>IF(AND(N34="F",Q34="NO"),IF(P34="SI",1.2,1)*I34*H34,"--")</f>
        <v>--</v>
      </c>
      <c r="U34" s="1401" t="str">
        <f>IF(AND(M34&gt;10,N34="F"),IF(M34&lt;=300,ROUND(M34/60,2),5)*I34*H34*IF(P34="SI",1.2,1),"--")</f>
        <v>--</v>
      </c>
      <c r="V34" s="1402" t="str">
        <f>IF(AND(N34="F",M34&gt;300),IF(P34="SI",1.2,1)*(ROUND(M34/60,2)-5)*I34*H34*0.1,"--")</f>
        <v>--</v>
      </c>
      <c r="W34" s="1403" t="str">
        <f>IF(AND(N34="R",Q34="NO"),IF(P34="SI",1.2,1)*I34*H34*O34/100,"--")</f>
        <v>--</v>
      </c>
      <c r="X34" s="1404" t="str">
        <f>IF(AND(M34&gt;10,N34="R"),IF(M34&lt;=300,ROUND(M34/60,2),5)*I34*H34*O34/100*IF(P34="SI",1.2,1),"--")</f>
        <v>--</v>
      </c>
      <c r="Y34" s="1405" t="str">
        <f>IF(AND(N34="R",M34&gt;300),IF(P34="SI",1.2,1)*(ROUND(M34/60,2)-5)*I34*H34*O34/100*0.1,"--")</f>
        <v>--</v>
      </c>
      <c r="Z34" s="1406" t="str">
        <f>IF(N34="RF",IF(P34="SI",1.2,1)*ROUND(M34/60,2)*I34*H34*0.1,"--")</f>
        <v>--</v>
      </c>
      <c r="AA34" s="1407" t="str">
        <f>IF(N34="RR",IF(P34="SI",1.2,1)*ROUND(M34/60,2)*I34*H34*O34/100*0.1,"--")</f>
        <v>--</v>
      </c>
      <c r="AB34" s="1408">
        <f>IF(D34="","","SI")</f>
      </c>
      <c r="AC34" s="192">
        <f>IF(D34="","",SUM(R34:AA34)*IF(AB34="SI",1,2))</f>
      </c>
      <c r="AD34" s="99"/>
    </row>
    <row r="35" spans="1:30" ht="16.5" customHeight="1">
      <c r="A35" s="8"/>
      <c r="B35" s="55"/>
      <c r="C35" s="989" t="s">
        <v>426</v>
      </c>
      <c r="D35" s="152"/>
      <c r="E35" s="1409"/>
      <c r="F35" s="1410"/>
      <c r="G35" s="1394"/>
      <c r="H35" s="1395">
        <f>IF(G35="A",200,IF(G35="B",60,20))</f>
        <v>20</v>
      </c>
      <c r="I35" s="1396">
        <f>IF(F35&gt;100,F35,100)*$F$19/100</f>
        <v>253.422</v>
      </c>
      <c r="J35" s="1411"/>
      <c r="K35" s="1412"/>
      <c r="L35" s="1397">
        <f>IF(D35="","",(K35-J35)*24)</f>
      </c>
      <c r="M35" s="511">
        <f>IF(D35="","",ROUND((K35-J35)*24*60,0))</f>
      </c>
      <c r="N35" s="591"/>
      <c r="O35" s="274">
        <f>IF(D35="","","--")</f>
      </c>
      <c r="P35" s="180">
        <f>IF(D35="","","NO")</f>
      </c>
      <c r="Q35" s="180">
        <f>IF(D35="","",IF(OR(N35="P",N35="RP"),"--","NO"))</f>
      </c>
      <c r="R35" s="1398" t="str">
        <f>IF(N35="P",+I35*H35*ROUND(M35/60,2)/100,"--")</f>
        <v>--</v>
      </c>
      <c r="S35" s="1399" t="str">
        <f>IF(N35="RP",I35*H35*ROUND(M35/60,2)*0.01*O35/100,"--")</f>
        <v>--</v>
      </c>
      <c r="T35" s="1400" t="str">
        <f>IF(AND(N35="F",Q35="NO"),IF(P35="SI",1.2,1)*I35*H35,"--")</f>
        <v>--</v>
      </c>
      <c r="U35" s="1401" t="str">
        <f>IF(AND(M35&gt;10,N35="F"),IF(M35&lt;=300,ROUND(M35/60,2),5)*I35*H35*IF(P35="SI",1.2,1),"--")</f>
        <v>--</v>
      </c>
      <c r="V35" s="1402" t="str">
        <f>IF(AND(N35="F",M35&gt;300),IF(P35="SI",1.2,1)*(ROUND(M35/60,2)-5)*I35*H35*0.1,"--")</f>
        <v>--</v>
      </c>
      <c r="W35" s="1403" t="str">
        <f>IF(AND(N35="R",Q35="NO"),IF(P35="SI",1.2,1)*I35*H35*O35/100,"--")</f>
        <v>--</v>
      </c>
      <c r="X35" s="1404" t="str">
        <f>IF(AND(M35&gt;10,N35="R"),IF(M35&lt;=300,ROUND(M35/60,2),5)*I35*H35*O35/100*IF(P35="SI",1.2,1),"--")</f>
        <v>--</v>
      </c>
      <c r="Y35" s="1405" t="str">
        <f>IF(AND(N35="R",M35&gt;300),IF(P35="SI",1.2,1)*(ROUND(M35/60,2)-5)*I35*H35*O35/100*0.1,"--")</f>
        <v>--</v>
      </c>
      <c r="Z35" s="1406" t="str">
        <f>IF(N35="RF",IF(P35="SI",1.2,1)*ROUND(M35/60,2)*I35*H35*0.1,"--")</f>
        <v>--</v>
      </c>
      <c r="AA35" s="1407" t="str">
        <f>IF(N35="RR",IF(P35="SI",1.2,1)*ROUND(M35/60,2)*I35*H35*O35/100*0.1,"--")</f>
        <v>--</v>
      </c>
      <c r="AB35" s="1408">
        <f>IF(D35="","","SI")</f>
      </c>
      <c r="AC35" s="192">
        <f>IF(D35="","",SUM(R35:AA35)*IF(AB35="SI",1,2))</f>
      </c>
      <c r="AD35" s="99"/>
    </row>
    <row r="36" spans="1:30" ht="16.5" customHeight="1" thickBot="1">
      <c r="A36" s="27"/>
      <c r="B36" s="55"/>
      <c r="C36" s="1413"/>
      <c r="D36" s="1414"/>
      <c r="E36" s="1415"/>
      <c r="F36" s="1416"/>
      <c r="G36" s="1417"/>
      <c r="H36" s="1418"/>
      <c r="I36" s="1419"/>
      <c r="J36" s="1420"/>
      <c r="K36" s="1420"/>
      <c r="L36" s="214"/>
      <c r="M36" s="214"/>
      <c r="N36" s="214"/>
      <c r="O36" s="1421"/>
      <c r="P36" s="214"/>
      <c r="Q36" s="214"/>
      <c r="R36" s="1422"/>
      <c r="S36" s="1423"/>
      <c r="T36" s="1424"/>
      <c r="U36" s="1425"/>
      <c r="V36" s="1426"/>
      <c r="W36" s="1427"/>
      <c r="X36" s="1428"/>
      <c r="Y36" s="1429"/>
      <c r="Z36" s="1430"/>
      <c r="AA36" s="1431"/>
      <c r="AB36" s="1432"/>
      <c r="AC36" s="1433"/>
      <c r="AD36" s="1434"/>
    </row>
    <row r="37" spans="1:30" ht="16.5" customHeight="1" thickBot="1" thickTop="1">
      <c r="A37" s="27"/>
      <c r="B37" s="55"/>
      <c r="C37" s="1345"/>
      <c r="D37" s="1345"/>
      <c r="E37" s="1435"/>
      <c r="F37" s="1355"/>
      <c r="G37" s="1436"/>
      <c r="H37" s="1436"/>
      <c r="I37" s="1437"/>
      <c r="J37" s="1437"/>
      <c r="K37" s="1437"/>
      <c r="L37" s="1437"/>
      <c r="M37" s="1437"/>
      <c r="N37" s="1437"/>
      <c r="O37" s="1438"/>
      <c r="P37" s="1437"/>
      <c r="Q37" s="1437"/>
      <c r="R37" s="1439">
        <f aca="true" t="shared" si="0" ref="R37:AA37">SUM(R31:R36)</f>
        <v>4718.819008799999</v>
      </c>
      <c r="S37" s="1440">
        <f t="shared" si="0"/>
        <v>0</v>
      </c>
      <c r="T37" s="1441">
        <f t="shared" si="0"/>
        <v>0</v>
      </c>
      <c r="U37" s="1441">
        <f t="shared" si="0"/>
        <v>0</v>
      </c>
      <c r="V37" s="1441">
        <f t="shared" si="0"/>
        <v>0</v>
      </c>
      <c r="W37" s="1442">
        <f t="shared" si="0"/>
        <v>0</v>
      </c>
      <c r="X37" s="1442">
        <f t="shared" si="0"/>
        <v>0</v>
      </c>
      <c r="Y37" s="1442">
        <f t="shared" si="0"/>
        <v>0</v>
      </c>
      <c r="Z37" s="1443">
        <f t="shared" si="0"/>
        <v>0</v>
      </c>
      <c r="AA37" s="1444">
        <f t="shared" si="0"/>
        <v>0</v>
      </c>
      <c r="AB37" s="1445"/>
      <c r="AC37" s="1446">
        <f>SUM(AC31:AC36)</f>
        <v>4718.819008799999</v>
      </c>
      <c r="AD37" s="1434"/>
    </row>
    <row r="38" spans="1:30" ht="13.5" customHeight="1" thickBot="1" thickTop="1">
      <c r="A38" s="27"/>
      <c r="B38" s="55"/>
      <c r="C38" s="1345"/>
      <c r="D38" s="1345"/>
      <c r="E38" s="1435"/>
      <c r="F38" s="1355"/>
      <c r="G38" s="1436"/>
      <c r="H38" s="1436"/>
      <c r="I38" s="1437"/>
      <c r="J38" s="1437"/>
      <c r="K38" s="1437"/>
      <c r="L38" s="1437"/>
      <c r="M38" s="1437"/>
      <c r="N38" s="1437"/>
      <c r="O38" s="1438"/>
      <c r="P38" s="1437"/>
      <c r="Q38" s="1437"/>
      <c r="R38" s="1447"/>
      <c r="S38" s="1448"/>
      <c r="T38" s="1449"/>
      <c r="U38" s="1449"/>
      <c r="V38" s="1449"/>
      <c r="W38" s="1447"/>
      <c r="X38" s="1447"/>
      <c r="Y38" s="1447"/>
      <c r="Z38" s="1447"/>
      <c r="AA38" s="1447"/>
      <c r="AB38" s="1450"/>
      <c r="AC38" s="1451"/>
      <c r="AD38" s="1434"/>
    </row>
    <row r="39" spans="1:33" s="8" customFormat="1" ht="33.75" customHeight="1" thickBot="1" thickTop="1">
      <c r="A39" s="89"/>
      <c r="B39" s="292"/>
      <c r="C39" s="321" t="s">
        <v>28</v>
      </c>
      <c r="D39" s="322" t="s">
        <v>58</v>
      </c>
      <c r="E39" s="323" t="s">
        <v>59</v>
      </c>
      <c r="F39" s="324" t="s">
        <v>60</v>
      </c>
      <c r="G39" s="325" t="s">
        <v>31</v>
      </c>
      <c r="H39" s="326" t="s">
        <v>35</v>
      </c>
      <c r="I39" s="1452"/>
      <c r="J39" s="323" t="s">
        <v>36</v>
      </c>
      <c r="K39" s="323" t="s">
        <v>37</v>
      </c>
      <c r="L39" s="322" t="s">
        <v>61</v>
      </c>
      <c r="M39" s="322" t="s">
        <v>39</v>
      </c>
      <c r="N39" s="119" t="s">
        <v>420</v>
      </c>
      <c r="O39" s="323" t="s">
        <v>42</v>
      </c>
      <c r="P39" s="1453" t="s">
        <v>62</v>
      </c>
      <c r="Q39" s="1454"/>
      <c r="R39" s="326" t="s">
        <v>422</v>
      </c>
      <c r="S39" s="1455" t="s">
        <v>43</v>
      </c>
      <c r="T39" s="1456" t="s">
        <v>423</v>
      </c>
      <c r="U39" s="1457"/>
      <c r="V39" s="1458" t="s">
        <v>47</v>
      </c>
      <c r="W39" s="1459"/>
      <c r="X39" s="1460"/>
      <c r="Y39" s="1460"/>
      <c r="Z39" s="1460"/>
      <c r="AA39" s="1461"/>
      <c r="AB39" s="130" t="s">
        <v>49</v>
      </c>
      <c r="AC39" s="325" t="s">
        <v>50</v>
      </c>
      <c r="AD39" s="99"/>
      <c r="AF39" s="9"/>
      <c r="AG39" s="9"/>
    </row>
    <row r="40" spans="1:30" ht="16.5" customHeight="1" thickTop="1">
      <c r="A40" s="8"/>
      <c r="B40" s="55"/>
      <c r="C40" s="152"/>
      <c r="D40" s="259"/>
      <c r="E40" s="259"/>
      <c r="F40" s="259"/>
      <c r="G40" s="1462"/>
      <c r="H40" s="1463"/>
      <c r="I40" s="1464"/>
      <c r="J40" s="259"/>
      <c r="K40" s="259"/>
      <c r="L40" s="259"/>
      <c r="M40" s="259"/>
      <c r="N40" s="259"/>
      <c r="O40" s="1465"/>
      <c r="P40" s="1466"/>
      <c r="Q40" s="1467"/>
      <c r="R40" s="1468"/>
      <c r="S40" s="1469"/>
      <c r="T40" s="1470"/>
      <c r="U40" s="1471"/>
      <c r="V40" s="1472"/>
      <c r="W40" s="1473"/>
      <c r="X40" s="1474"/>
      <c r="Y40" s="1474"/>
      <c r="Z40" s="1474"/>
      <c r="AA40" s="1475"/>
      <c r="AB40" s="1465"/>
      <c r="AC40" s="1476"/>
      <c r="AD40" s="99"/>
    </row>
    <row r="41" spans="1:30" ht="16.5" customHeight="1">
      <c r="A41" s="8"/>
      <c r="B41" s="55"/>
      <c r="C41" s="989" t="s">
        <v>418</v>
      </c>
      <c r="D41" s="362" t="s">
        <v>289</v>
      </c>
      <c r="E41" s="363" t="s">
        <v>290</v>
      </c>
      <c r="F41" s="364">
        <v>450</v>
      </c>
      <c r="G41" s="618" t="s">
        <v>81</v>
      </c>
      <c r="H41" s="1477">
        <f>F41*$F$20</f>
        <v>313.65</v>
      </c>
      <c r="I41" s="1478"/>
      <c r="J41" s="367">
        <v>41175.291666666664</v>
      </c>
      <c r="K41" s="367">
        <v>41175.40347222222</v>
      </c>
      <c r="L41" s="368">
        <f>IF(D41="","",(K41-J41)*24)</f>
        <v>2.6833333333488554</v>
      </c>
      <c r="M41" s="369">
        <f>IF(D41="","",(K41-J41)*24*60)</f>
        <v>161.00000000093132</v>
      </c>
      <c r="N41" s="1479" t="s">
        <v>259</v>
      </c>
      <c r="O41" s="371" t="str">
        <f>IF(D41="","",IF(OR(N41="P",N41="RP"),"--","NO"))</f>
        <v>--</v>
      </c>
      <c r="P41" s="1480" t="str">
        <f>IF(D41="","","NO")</f>
        <v>NO</v>
      </c>
      <c r="Q41" s="1481"/>
      <c r="R41" s="1482">
        <f>200*IF(P41="SI",1,0.1)*IF(N41="P",0.1,1)</f>
        <v>2</v>
      </c>
      <c r="S41" s="1483">
        <f>IF(N41="P",H41*R41*ROUND(M41/60,2),"--")</f>
        <v>1681.164</v>
      </c>
      <c r="T41" s="1484" t="str">
        <f>IF(AND(N41="F",O41="NO"),H41*R41,"--")</f>
        <v>--</v>
      </c>
      <c r="U41" s="1485" t="str">
        <f>IF(N41="F",H41*R41*ROUND(M41/60,2),"--")</f>
        <v>--</v>
      </c>
      <c r="V41" s="503" t="str">
        <f>IF(N41="RF",H41*R41*ROUND(M41/60,2),"--")</f>
        <v>--</v>
      </c>
      <c r="W41" s="1486"/>
      <c r="X41" s="1487"/>
      <c r="Y41" s="1487"/>
      <c r="Z41" s="1487"/>
      <c r="AA41" s="1488"/>
      <c r="AB41" s="381" t="str">
        <f>IF(D41="","","SI")</f>
        <v>SI</v>
      </c>
      <c r="AC41" s="445">
        <f>IF(D41="","",SUM(S41:V41)*IF(AB41="SI",1,2))</f>
        <v>1681.164</v>
      </c>
      <c r="AD41" s="99"/>
    </row>
    <row r="42" spans="1:30" ht="16.5" customHeight="1">
      <c r="A42" s="8"/>
      <c r="B42" s="55"/>
      <c r="C42" s="989" t="s">
        <v>419</v>
      </c>
      <c r="D42" s="362"/>
      <c r="E42" s="363"/>
      <c r="F42" s="364"/>
      <c r="G42" s="618"/>
      <c r="H42" s="1477">
        <f>F42*$F$20</f>
        <v>0</v>
      </c>
      <c r="I42" s="1478"/>
      <c r="J42" s="367"/>
      <c r="K42" s="367"/>
      <c r="L42" s="368">
        <f>IF(D42="","",(K42-J42)*24)</f>
      </c>
      <c r="M42" s="369">
        <f>IF(D42="","",(K42-J42)*24*60)</f>
      </c>
      <c r="N42" s="1479"/>
      <c r="O42" s="371">
        <f>IF(D42="","",IF(OR(N42="P",N42="RP"),"--","NO"))</f>
      </c>
      <c r="P42" s="1480">
        <f>IF(D42="","","NO")</f>
      </c>
      <c r="Q42" s="1481"/>
      <c r="R42" s="1482">
        <f>200*IF(P42="SI",1,0.1)*IF(N42="P",0.1,1)</f>
        <v>20</v>
      </c>
      <c r="S42" s="1483" t="str">
        <f>IF(N42="P",H42*R42*ROUND(M42/60,2),"--")</f>
        <v>--</v>
      </c>
      <c r="T42" s="1484" t="str">
        <f>IF(AND(N42="F",O42="NO"),H42*R42,"--")</f>
        <v>--</v>
      </c>
      <c r="U42" s="1485" t="str">
        <f>IF(N42="F",H42*R42*ROUND(M42/60,2),"--")</f>
        <v>--</v>
      </c>
      <c r="V42" s="503" t="str">
        <f>IF(N42="RF",H42*R42*ROUND(M42/60,2),"--")</f>
        <v>--</v>
      </c>
      <c r="W42" s="1486"/>
      <c r="X42" s="1487"/>
      <c r="Y42" s="1487"/>
      <c r="Z42" s="1487"/>
      <c r="AA42" s="1488"/>
      <c r="AB42" s="381">
        <f>IF(D42="","","SI")</f>
      </c>
      <c r="AC42" s="445">
        <f>IF(D42="","",SUM(S42:V42)*IF(AB42="SI",1,2))</f>
      </c>
      <c r="AD42" s="99"/>
    </row>
    <row r="43" spans="1:30" ht="16.5" customHeight="1">
      <c r="A43" s="8"/>
      <c r="B43" s="55"/>
      <c r="C43" s="989" t="s">
        <v>419</v>
      </c>
      <c r="D43" s="362"/>
      <c r="E43" s="363"/>
      <c r="F43" s="364"/>
      <c r="G43" s="618"/>
      <c r="H43" s="1477">
        <f>F43*$F$20</f>
        <v>0</v>
      </c>
      <c r="I43" s="1478"/>
      <c r="J43" s="367"/>
      <c r="K43" s="367"/>
      <c r="L43" s="368">
        <f>IF(D43="","",(K43-J43)*24)</f>
      </c>
      <c r="M43" s="369">
        <f>IF(D43="","",(K43-J43)*24*60)</f>
      </c>
      <c r="N43" s="1479"/>
      <c r="O43" s="371">
        <f>IF(D43="","",IF(OR(N43="P",N43="RP"),"--","NO"))</f>
      </c>
      <c r="P43" s="1480">
        <f>IF(D43="","","NO")</f>
      </c>
      <c r="Q43" s="1481"/>
      <c r="R43" s="1482">
        <f>200*IF(P43="SI",1,0.1)*IF(N43="P",0.1,1)</f>
        <v>20</v>
      </c>
      <c r="S43" s="1483" t="str">
        <f>IF(N43="P",H43*R43*ROUND(M43/60,2),"--")</f>
        <v>--</v>
      </c>
      <c r="T43" s="1484" t="str">
        <f>IF(AND(N43="F",O43="NO"),H43*R43,"--")</f>
        <v>--</v>
      </c>
      <c r="U43" s="1485" t="str">
        <f>IF(N43="F",H43*R43*ROUND(M43/60,2),"--")</f>
        <v>--</v>
      </c>
      <c r="V43" s="503" t="str">
        <f>IF(N43="RF",H43*R43*ROUND(M43/60,2),"--")</f>
        <v>--</v>
      </c>
      <c r="W43" s="1486"/>
      <c r="X43" s="1487"/>
      <c r="Y43" s="1487"/>
      <c r="Z43" s="1487"/>
      <c r="AA43" s="1488"/>
      <c r="AB43" s="381">
        <f>IF(D43="","","SI")</f>
      </c>
      <c r="AC43" s="445">
        <f>IF(D43="","",SUM(S43:V43)*IF(AB43="SI",1,2))</f>
      </c>
      <c r="AD43" s="99"/>
    </row>
    <row r="44" spans="1:30" ht="16.5" customHeight="1">
      <c r="A44" s="8"/>
      <c r="B44" s="55"/>
      <c r="C44" s="1321"/>
      <c r="D44" s="1489"/>
      <c r="E44" s="1490"/>
      <c r="F44" s="1491"/>
      <c r="G44" s="1492"/>
      <c r="H44" s="1493"/>
      <c r="I44" s="1494"/>
      <c r="J44" s="1495"/>
      <c r="K44" s="1495"/>
      <c r="L44" s="1496"/>
      <c r="M44" s="1497"/>
      <c r="N44" s="1498"/>
      <c r="O44" s="1499"/>
      <c r="P44" s="1500"/>
      <c r="Q44" s="1501"/>
      <c r="R44" s="1502"/>
      <c r="S44" s="1503"/>
      <c r="T44" s="1504"/>
      <c r="U44" s="1505"/>
      <c r="V44" s="1506"/>
      <c r="W44" s="1486"/>
      <c r="X44" s="1487"/>
      <c r="Y44" s="1487"/>
      <c r="Z44" s="1487"/>
      <c r="AA44" s="1488"/>
      <c r="AB44" s="1507"/>
      <c r="AC44" s="1508"/>
      <c r="AD44" s="99"/>
    </row>
    <row r="45" spans="1:30" ht="16.5" customHeight="1" thickBot="1">
      <c r="A45" s="27"/>
      <c r="B45" s="55"/>
      <c r="C45" s="1413"/>
      <c r="D45" s="1509"/>
      <c r="E45" s="1510"/>
      <c r="F45" s="1511"/>
      <c r="G45" s="1512"/>
      <c r="H45" s="1513"/>
      <c r="I45" s="1514"/>
      <c r="J45" s="1515"/>
      <c r="K45" s="1516"/>
      <c r="L45" s="1517"/>
      <c r="M45" s="1518"/>
      <c r="N45" s="1519"/>
      <c r="O45" s="214"/>
      <c r="P45" s="1520"/>
      <c r="Q45" s="1521"/>
      <c r="R45" s="1522"/>
      <c r="S45" s="1523"/>
      <c r="T45" s="1524"/>
      <c r="U45" s="1525"/>
      <c r="V45" s="1526"/>
      <c r="W45" s="1527"/>
      <c r="X45" s="1528"/>
      <c r="Y45" s="1528"/>
      <c r="Z45" s="1528"/>
      <c r="AA45" s="1529"/>
      <c r="AB45" s="1530"/>
      <c r="AC45" s="1531"/>
      <c r="AD45" s="1434"/>
    </row>
    <row r="46" spans="1:30" ht="16.5" customHeight="1" thickBot="1" thickTop="1">
      <c r="A46" s="27"/>
      <c r="B46" s="55"/>
      <c r="C46" s="308"/>
      <c r="D46" s="233"/>
      <c r="E46" s="233"/>
      <c r="F46" s="1532"/>
      <c r="G46" s="1533"/>
      <c r="H46" s="1534"/>
      <c r="I46" s="1535"/>
      <c r="J46" s="1536"/>
      <c r="K46" s="1537"/>
      <c r="L46" s="1538"/>
      <c r="M46" s="1534"/>
      <c r="N46" s="1539"/>
      <c r="O46" s="235"/>
      <c r="P46" s="1540"/>
      <c r="Q46" s="1541"/>
      <c r="R46" s="1542"/>
      <c r="S46" s="1542"/>
      <c r="T46" s="1542"/>
      <c r="U46" s="1543"/>
      <c r="V46" s="1543"/>
      <c r="W46" s="1543"/>
      <c r="X46" s="1543"/>
      <c r="Y46" s="1543"/>
      <c r="Z46" s="1543"/>
      <c r="AA46" s="1543"/>
      <c r="AB46" s="1543"/>
      <c r="AC46" s="1544">
        <f>SUM(AC40:AC45)</f>
        <v>1681.164</v>
      </c>
      <c r="AD46" s="1434"/>
    </row>
    <row r="47" spans="1:30" ht="16.5" customHeight="1" thickBot="1" thickTop="1">
      <c r="A47" s="27"/>
      <c r="B47" s="55"/>
      <c r="C47" s="308"/>
      <c r="D47" s="233"/>
      <c r="E47" s="233"/>
      <c r="F47" s="1532"/>
      <c r="G47" s="1533"/>
      <c r="H47" s="1534"/>
      <c r="I47" s="1535"/>
      <c r="J47" s="1356" t="s">
        <v>428</v>
      </c>
      <c r="K47" s="1357">
        <f>+AC46+AC37</f>
        <v>6399.983008799999</v>
      </c>
      <c r="L47" s="1538"/>
      <c r="M47" s="1534"/>
      <c r="N47" s="1545"/>
      <c r="O47" s="1546"/>
      <c r="P47" s="1540"/>
      <c r="Q47" s="1541"/>
      <c r="R47" s="1542"/>
      <c r="S47" s="1542"/>
      <c r="T47" s="1542"/>
      <c r="U47" s="1543"/>
      <c r="V47" s="1543"/>
      <c r="W47" s="1543"/>
      <c r="X47" s="1543"/>
      <c r="Y47" s="1543"/>
      <c r="Z47" s="1543"/>
      <c r="AA47" s="1543"/>
      <c r="AB47" s="1543"/>
      <c r="AC47" s="1547"/>
      <c r="AD47" s="1434"/>
    </row>
    <row r="48" spans="1:30" ht="13.5" customHeight="1" thickTop="1">
      <c r="A48" s="27"/>
      <c r="B48" s="1342"/>
      <c r="C48" s="1345"/>
      <c r="D48" s="1548"/>
      <c r="E48" s="1549"/>
      <c r="F48" s="1550"/>
      <c r="G48" s="1551"/>
      <c r="H48" s="1551"/>
      <c r="I48" s="1549"/>
      <c r="J48" s="1552"/>
      <c r="K48" s="1552"/>
      <c r="L48" s="1549"/>
      <c r="M48" s="1549"/>
      <c r="N48" s="1549"/>
      <c r="O48" s="1553"/>
      <c r="P48" s="1549"/>
      <c r="Q48" s="1549"/>
      <c r="R48" s="1554"/>
      <c r="S48" s="1555"/>
      <c r="T48" s="1555"/>
      <c r="U48" s="1556"/>
      <c r="AC48" s="1556"/>
      <c r="AD48" s="1557"/>
    </row>
    <row r="49" spans="1:30" ht="16.5" customHeight="1">
      <c r="A49" s="27"/>
      <c r="B49" s="1342"/>
      <c r="C49" s="1558" t="s">
        <v>429</v>
      </c>
      <c r="D49" s="1559" t="s">
        <v>471</v>
      </c>
      <c r="E49" s="1549"/>
      <c r="F49" s="1550"/>
      <c r="G49" s="1551"/>
      <c r="H49" s="1551"/>
      <c r="I49" s="1549"/>
      <c r="J49" s="1552"/>
      <c r="K49" s="1552"/>
      <c r="L49" s="1549"/>
      <c r="M49" s="1549"/>
      <c r="N49" s="1549"/>
      <c r="O49" s="1553"/>
      <c r="P49" s="1549"/>
      <c r="Q49" s="1549"/>
      <c r="R49" s="1554"/>
      <c r="S49" s="1555"/>
      <c r="T49" s="1555"/>
      <c r="U49" s="1556"/>
      <c r="AC49" s="1556"/>
      <c r="AD49" s="1557"/>
    </row>
    <row r="50" spans="1:30" ht="16.5" customHeight="1">
      <c r="A50" s="27"/>
      <c r="B50" s="1342"/>
      <c r="C50" s="1558"/>
      <c r="D50" s="1548"/>
      <c r="E50" s="1549"/>
      <c r="F50" s="1550"/>
      <c r="G50" s="1551"/>
      <c r="H50" s="1551"/>
      <c r="I50" s="1549"/>
      <c r="J50" s="1552"/>
      <c r="K50" s="1552"/>
      <c r="L50" s="1549"/>
      <c r="M50" s="1549"/>
      <c r="N50" s="1549"/>
      <c r="O50" s="1553"/>
      <c r="P50" s="1549"/>
      <c r="Q50" s="1549"/>
      <c r="R50" s="1549"/>
      <c r="S50" s="1554"/>
      <c r="T50" s="1555"/>
      <c r="AD50" s="1557"/>
    </row>
    <row r="51" spans="2:30" s="27" customFormat="1" ht="16.5" customHeight="1">
      <c r="B51" s="1342"/>
      <c r="C51" s="1345"/>
      <c r="D51" s="1560" t="s">
        <v>5</v>
      </c>
      <c r="E51" s="1437" t="s">
        <v>430</v>
      </c>
      <c r="F51" s="1437" t="s">
        <v>431</v>
      </c>
      <c r="G51" s="1561" t="s">
        <v>472</v>
      </c>
      <c r="H51" s="1438"/>
      <c r="I51" s="1437"/>
      <c r="J51" s="9"/>
      <c r="K51" s="9"/>
      <c r="L51" s="1562" t="s">
        <v>473</v>
      </c>
      <c r="M51" s="9"/>
      <c r="N51" s="9"/>
      <c r="O51" s="9"/>
      <c r="P51" s="9"/>
      <c r="Q51" s="1563"/>
      <c r="R51" s="1563"/>
      <c r="S51" s="29"/>
      <c r="T51" s="9"/>
      <c r="U51" s="9"/>
      <c r="V51" s="9"/>
      <c r="W51" s="9"/>
      <c r="X51" s="29"/>
      <c r="Y51" s="29"/>
      <c r="Z51" s="29"/>
      <c r="AA51" s="29"/>
      <c r="AB51" s="29"/>
      <c r="AC51" s="1564" t="s">
        <v>475</v>
      </c>
      <c r="AD51" s="1557"/>
    </row>
    <row r="52" spans="2:30" s="27" customFormat="1" ht="16.5" customHeight="1">
      <c r="B52" s="1342"/>
      <c r="C52" s="1345"/>
      <c r="D52" s="1437" t="s">
        <v>484</v>
      </c>
      <c r="E52" s="1565">
        <v>354</v>
      </c>
      <c r="F52" s="1565">
        <v>500</v>
      </c>
      <c r="G52" s="1566">
        <f>E52*$F$19*$L$20/100</f>
        <v>645921.9935999999</v>
      </c>
      <c r="H52" s="1566"/>
      <c r="I52" s="1566"/>
      <c r="J52" s="25"/>
      <c r="K52" s="9"/>
      <c r="L52" s="1567">
        <v>125486</v>
      </c>
      <c r="M52" s="25"/>
      <c r="N52" s="1568" t="str">
        <f>"(DTE "&amp;'[3]DATO'!$G$14&amp;'[3]DATO'!$H$14&amp;")"</f>
        <v>(DTE 0412)</v>
      </c>
      <c r="O52" s="9"/>
      <c r="P52" s="9"/>
      <c r="Q52" s="1563"/>
      <c r="R52" s="1563"/>
      <c r="S52" s="29"/>
      <c r="T52" s="9"/>
      <c r="U52" s="9"/>
      <c r="V52" s="9"/>
      <c r="W52" s="9"/>
      <c r="X52" s="29"/>
      <c r="Y52" s="29"/>
      <c r="Z52" s="29"/>
      <c r="AA52" s="29"/>
      <c r="AB52" s="1569"/>
      <c r="AC52" s="1570">
        <f>L52+G52</f>
        <v>771407.9935999999</v>
      </c>
      <c r="AD52" s="1557"/>
    </row>
    <row r="53" spans="2:30" s="27" customFormat="1" ht="16.5" customHeight="1">
      <c r="B53" s="1342"/>
      <c r="C53" s="1345"/>
      <c r="D53" s="1571"/>
      <c r="E53" s="1565"/>
      <c r="F53" s="1565"/>
      <c r="G53" s="1566"/>
      <c r="H53" s="1571"/>
      <c r="I53" s="1572"/>
      <c r="J53" s="25"/>
      <c r="K53" s="9"/>
      <c r="L53" s="1566"/>
      <c r="M53" s="25"/>
      <c r="N53" s="1568"/>
      <c r="O53" s="1573"/>
      <c r="P53" s="9"/>
      <c r="Q53" s="1563"/>
      <c r="R53" s="1563"/>
      <c r="S53" s="29"/>
      <c r="T53" s="9"/>
      <c r="U53" s="9"/>
      <c r="V53" s="9"/>
      <c r="W53" s="9"/>
      <c r="X53" s="29"/>
      <c r="Y53" s="29"/>
      <c r="Z53" s="29"/>
      <c r="AA53" s="29"/>
      <c r="AB53" s="29"/>
      <c r="AC53" s="1570"/>
      <c r="AD53" s="1557"/>
    </row>
    <row r="54" spans="2:30" s="27" customFormat="1" ht="16.5" customHeight="1">
      <c r="B54" s="1342"/>
      <c r="C54" s="1345"/>
      <c r="E54" s="1350"/>
      <c r="F54" s="1437"/>
      <c r="G54" s="1438"/>
      <c r="H54" s="9"/>
      <c r="I54" s="1437"/>
      <c r="J54" s="1437"/>
      <c r="K54" s="9"/>
      <c r="L54" s="1570"/>
      <c r="M54" s="1574"/>
      <c r="N54" s="1574"/>
      <c r="O54" s="1563"/>
      <c r="P54" s="1563"/>
      <c r="Q54" s="1563"/>
      <c r="R54" s="1563"/>
      <c r="S54" s="29"/>
      <c r="T54" s="9"/>
      <c r="U54" s="9"/>
      <c r="V54" s="9"/>
      <c r="W54" s="9"/>
      <c r="X54" s="29"/>
      <c r="Y54" s="29"/>
      <c r="Z54" s="29"/>
      <c r="AA54" s="29"/>
      <c r="AB54" s="29"/>
      <c r="AC54" s="1570"/>
      <c r="AD54" s="1557"/>
    </row>
    <row r="55" spans="1:30" ht="16.5" customHeight="1">
      <c r="A55" s="27"/>
      <c r="B55" s="1342"/>
      <c r="C55" s="1345"/>
      <c r="D55" s="1560" t="s">
        <v>453</v>
      </c>
      <c r="E55" s="1437" t="s">
        <v>454</v>
      </c>
      <c r="F55" s="1437" t="s">
        <v>431</v>
      </c>
      <c r="G55" s="1561" t="s">
        <v>477</v>
      </c>
      <c r="I55" s="1575"/>
      <c r="J55" s="1437"/>
      <c r="L55" s="1562" t="s">
        <v>474</v>
      </c>
      <c r="M55" s="1575"/>
      <c r="N55" s="1574"/>
      <c r="O55" s="1563"/>
      <c r="P55" s="1563"/>
      <c r="Q55" s="1563"/>
      <c r="R55" s="1563"/>
      <c r="S55" s="1563"/>
      <c r="AC55" s="1570"/>
      <c r="AD55" s="1557"/>
    </row>
    <row r="56" spans="1:30" ht="16.5" customHeight="1">
      <c r="A56" s="27"/>
      <c r="B56" s="1342"/>
      <c r="C56" s="1345"/>
      <c r="D56" s="1437" t="s">
        <v>485</v>
      </c>
      <c r="E56" s="1565">
        <v>450</v>
      </c>
      <c r="F56" s="1565" t="s">
        <v>81</v>
      </c>
      <c r="G56" s="1566">
        <f>E56*F20*L20</f>
        <v>225827.99999999997</v>
      </c>
      <c r="H56" s="25"/>
      <c r="I56" s="25"/>
      <c r="J56" s="1567"/>
      <c r="L56" s="1566">
        <v>0</v>
      </c>
      <c r="M56" s="25"/>
      <c r="N56" s="1568" t="str">
        <f>"(DTE "&amp;'[3]DATO'!$G$14&amp;'[3]DATO'!$H$14&amp;")"</f>
        <v>(DTE 0412)</v>
      </c>
      <c r="O56" s="1576"/>
      <c r="P56" s="1576"/>
      <c r="Q56" s="1576"/>
      <c r="R56" s="1576"/>
      <c r="S56" s="1576"/>
      <c r="AC56" s="1577">
        <f>G56+L56</f>
        <v>225827.99999999997</v>
      </c>
      <c r="AD56" s="1557"/>
    </row>
    <row r="57" spans="1:30" ht="7.5" customHeight="1">
      <c r="A57" s="27"/>
      <c r="B57" s="1342"/>
      <c r="C57" s="1345"/>
      <c r="D57" s="1437"/>
      <c r="E57" s="1565"/>
      <c r="F57" s="1565"/>
      <c r="G57" s="1566"/>
      <c r="H57" s="25"/>
      <c r="I57" s="25"/>
      <c r="J57" s="1567"/>
      <c r="L57" s="1567"/>
      <c r="M57" s="25"/>
      <c r="N57" s="1568"/>
      <c r="O57" s="1576"/>
      <c r="P57" s="1576"/>
      <c r="Q57" s="1576"/>
      <c r="R57" s="1576"/>
      <c r="S57" s="1576"/>
      <c r="AC57" s="1578"/>
      <c r="AD57" s="1557"/>
    </row>
    <row r="58" spans="1:30" ht="9" customHeight="1" thickBot="1">
      <c r="A58" s="27"/>
      <c r="B58" s="1342"/>
      <c r="C58" s="1345"/>
      <c r="D58" s="1437"/>
      <c r="E58" s="1565"/>
      <c r="F58" s="1565"/>
      <c r="G58" s="1566"/>
      <c r="H58" s="25"/>
      <c r="I58" s="25"/>
      <c r="J58" s="1567"/>
      <c r="L58" s="1567"/>
      <c r="M58" s="25"/>
      <c r="N58" s="1568"/>
      <c r="O58" s="1576"/>
      <c r="P58" s="1576"/>
      <c r="Q58" s="1576"/>
      <c r="R58" s="1576"/>
      <c r="S58" s="1576"/>
      <c r="AC58" s="1577"/>
      <c r="AD58" s="1557"/>
    </row>
    <row r="59" spans="1:30" ht="16.5" customHeight="1" thickBot="1" thickTop="1">
      <c r="A59" s="27"/>
      <c r="B59" s="1342"/>
      <c r="C59" s="1345"/>
      <c r="D59" s="1552"/>
      <c r="E59" s="1350"/>
      <c r="F59" s="1437"/>
      <c r="G59" s="1437"/>
      <c r="H59" s="1438"/>
      <c r="J59" s="1437"/>
      <c r="L59" s="1579"/>
      <c r="M59" s="1574"/>
      <c r="N59" s="1574"/>
      <c r="O59" s="1563"/>
      <c r="P59" s="1563"/>
      <c r="Q59" s="1563"/>
      <c r="R59" s="1563"/>
      <c r="S59" s="1563"/>
      <c r="AB59" s="1356" t="s">
        <v>486</v>
      </c>
      <c r="AC59" s="1357">
        <f>SUM(AC52:AC57)</f>
        <v>997235.9935999999</v>
      </c>
      <c r="AD59" s="1557"/>
    </row>
    <row r="60" spans="2:30" ht="16.5" customHeight="1" thickTop="1">
      <c r="B60" s="1342"/>
      <c r="C60" s="1558" t="s">
        <v>436</v>
      </c>
      <c r="D60" s="1580" t="s">
        <v>437</v>
      </c>
      <c r="E60" s="1437"/>
      <c r="F60" s="1581"/>
      <c r="G60" s="1436"/>
      <c r="H60" s="1552"/>
      <c r="I60" s="1552"/>
      <c r="J60" s="1552"/>
      <c r="K60" s="1437"/>
      <c r="L60" s="1437"/>
      <c r="M60" s="1552"/>
      <c r="N60" s="1437"/>
      <c r="O60" s="1552"/>
      <c r="P60" s="1552"/>
      <c r="Q60" s="1552"/>
      <c r="R60" s="1552"/>
      <c r="S60" s="1552"/>
      <c r="T60" s="1552"/>
      <c r="U60" s="1552"/>
      <c r="AC60" s="1552"/>
      <c r="AD60" s="1557"/>
    </row>
    <row r="61" spans="2:30" s="27" customFormat="1" ht="16.5" customHeight="1">
      <c r="B61" s="1342"/>
      <c r="C61" s="1345"/>
      <c r="D61" s="1560" t="s">
        <v>438</v>
      </c>
      <c r="E61" s="1582">
        <f>10*K47*K26/AC59</f>
        <v>2559.9932035199995</v>
      </c>
      <c r="G61" s="1436"/>
      <c r="L61" s="1437"/>
      <c r="N61" s="1437"/>
      <c r="O61" s="1438"/>
      <c r="V61" s="9"/>
      <c r="W61" s="9"/>
      <c r="AD61" s="1557"/>
    </row>
    <row r="62" spans="2:30" s="27" customFormat="1" ht="16.5" customHeight="1">
      <c r="B62" s="1342"/>
      <c r="C62" s="1345"/>
      <c r="E62" s="1583"/>
      <c r="F62" s="1355"/>
      <c r="G62" s="1436"/>
      <c r="J62" s="1436"/>
      <c r="K62" s="1451"/>
      <c r="L62" s="1437"/>
      <c r="M62" s="1437"/>
      <c r="N62" s="1437"/>
      <c r="O62" s="1438"/>
      <c r="P62" s="1437"/>
      <c r="Q62" s="1437"/>
      <c r="R62" s="1450"/>
      <c r="S62" s="1450"/>
      <c r="T62" s="1450"/>
      <c r="U62" s="1584"/>
      <c r="V62" s="248"/>
      <c r="W62" s="248"/>
      <c r="X62" s="29"/>
      <c r="Y62" s="29"/>
      <c r="Z62" s="29"/>
      <c r="AA62" s="29"/>
      <c r="AB62" s="1585"/>
      <c r="AC62" s="1566"/>
      <c r="AD62" s="1557"/>
    </row>
    <row r="63" spans="2:30" ht="16.5" customHeight="1">
      <c r="B63" s="1342"/>
      <c r="C63" s="1345"/>
      <c r="D63" s="1586" t="s">
        <v>487</v>
      </c>
      <c r="E63" s="1587"/>
      <c r="F63" s="1355"/>
      <c r="G63" s="1436"/>
      <c r="H63" s="1552"/>
      <c r="I63" s="1552"/>
      <c r="N63" s="1437"/>
      <c r="O63" s="1438"/>
      <c r="P63" s="1437"/>
      <c r="Q63" s="1437"/>
      <c r="R63" s="1575"/>
      <c r="S63" s="1575"/>
      <c r="T63" s="1575"/>
      <c r="U63" s="1574"/>
      <c r="AC63" s="1574"/>
      <c r="AD63" s="1557"/>
    </row>
    <row r="64" spans="2:30" ht="16.5" customHeight="1">
      <c r="B64" s="1342"/>
      <c r="C64" s="1345"/>
      <c r="D64" s="1586"/>
      <c r="E64" s="1587"/>
      <c r="F64" s="1355"/>
      <c r="G64" s="1436"/>
      <c r="H64" s="1552"/>
      <c r="I64" s="1552"/>
      <c r="N64" s="1437"/>
      <c r="O64" s="1438"/>
      <c r="P64" s="1437"/>
      <c r="Q64" s="1437"/>
      <c r="R64" s="1575"/>
      <c r="S64" s="1575"/>
      <c r="T64" s="1575"/>
      <c r="U64" s="1574"/>
      <c r="AC64" s="1574"/>
      <c r="AD64" s="1557"/>
    </row>
    <row r="65" spans="2:30" ht="16.5" customHeight="1" thickBot="1">
      <c r="B65" s="1342"/>
      <c r="C65" s="1345"/>
      <c r="D65" s="1586"/>
      <c r="E65" s="1587"/>
      <c r="F65" s="1355"/>
      <c r="G65" s="1436"/>
      <c r="H65" s="1552"/>
      <c r="I65" s="1552"/>
      <c r="N65" s="1437"/>
      <c r="P65" s="1437"/>
      <c r="Q65" s="1437"/>
      <c r="R65" s="1575"/>
      <c r="S65" s="1575"/>
      <c r="T65" s="1575"/>
      <c r="U65" s="1574"/>
      <c r="AC65" s="1574"/>
      <c r="AD65" s="1557"/>
    </row>
    <row r="66" spans="2:30" s="1594" customFormat="1" ht="24" thickBot="1" thickTop="1">
      <c r="B66" s="1588"/>
      <c r="C66" s="1589"/>
      <c r="D66" s="1590"/>
      <c r="E66" s="1591"/>
      <c r="F66" s="1592"/>
      <c r="G66" s="1593"/>
      <c r="I66" s="9"/>
      <c r="J66" s="1595" t="s">
        <v>440</v>
      </c>
      <c r="K66" s="1596">
        <f>IF(E61&gt;3*K26,K26*3,E61)</f>
        <v>2559.9932035199995</v>
      </c>
      <c r="L66" s="1597"/>
      <c r="M66" s="1598"/>
      <c r="N66" s="1598"/>
      <c r="P66" s="1599"/>
      <c r="Q66" s="1599"/>
      <c r="R66" s="1600"/>
      <c r="S66" s="1600"/>
      <c r="T66" s="1600"/>
      <c r="U66" s="1601"/>
      <c r="V66" s="9"/>
      <c r="W66" s="9"/>
      <c r="AC66" s="1601"/>
      <c r="AD66" s="1602"/>
    </row>
    <row r="67" spans="2:30" s="1594" customFormat="1" ht="24" thickTop="1">
      <c r="B67" s="1588"/>
      <c r="C67" s="1589"/>
      <c r="D67" s="1603"/>
      <c r="E67" s="1591"/>
      <c r="F67" s="1592"/>
      <c r="G67" s="1593"/>
      <c r="I67" s="9"/>
      <c r="J67" s="1604"/>
      <c r="K67" s="1605"/>
      <c r="L67" s="1603"/>
      <c r="M67" s="1598"/>
      <c r="N67" s="1598"/>
      <c r="O67" s="1211"/>
      <c r="P67" s="1599"/>
      <c r="Q67" s="1599"/>
      <c r="R67" s="1600"/>
      <c r="S67" s="1600"/>
      <c r="T67" s="1600"/>
      <c r="U67" s="1601"/>
      <c r="V67" s="9"/>
      <c r="W67" s="9"/>
      <c r="AC67" s="1601"/>
      <c r="AD67" s="1602"/>
    </row>
    <row r="68" spans="2:30" ht="16.5" customHeight="1" thickBot="1">
      <c r="B68" s="75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1606"/>
      <c r="W68" s="1606"/>
      <c r="X68" s="1606"/>
      <c r="Y68" s="1606"/>
      <c r="Z68" s="1606"/>
      <c r="AA68" s="1606"/>
      <c r="AB68" s="1606"/>
      <c r="AC68" s="77"/>
      <c r="AD68" s="1607"/>
    </row>
    <row r="69" spans="2:23" ht="16.5" customHeight="1" thickTop="1">
      <c r="B69" s="248"/>
      <c r="C69" s="271"/>
      <c r="W69" s="248"/>
    </row>
  </sheetData>
  <sheetProtection password="CC12"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43" r:id="rId4"/>
  <headerFooter alignWithMargins="0">
    <oddFooter>&amp;L&amp;"Times New Roman,Normal"&amp;8&amp;F-&amp;A</oddFooter>
  </headerFooter>
  <drawing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AG90"/>
  <sheetViews>
    <sheetView zoomScale="55" zoomScaleNormal="55" zoomScalePageLayoutView="0" workbookViewId="0" topLeftCell="A1">
      <selection activeCell="N51" sqref="N51"/>
    </sheetView>
  </sheetViews>
  <sheetFormatPr defaultColWidth="11.421875" defaultRowHeight="12.75"/>
  <cols>
    <col min="1" max="1" width="29.57421875" style="9" customWidth="1"/>
    <col min="2" max="2" width="14.8515625" style="9" customWidth="1"/>
    <col min="3" max="3" width="4.7109375" style="9" customWidth="1"/>
    <col min="4" max="4" width="29.140625" style="9" customWidth="1"/>
    <col min="5" max="5" width="28.421875" style="9" customWidth="1"/>
    <col min="6" max="6" width="15.00390625" style="9" customWidth="1"/>
    <col min="7" max="7" width="14.00390625" style="9" customWidth="1"/>
    <col min="8" max="8" width="8.00390625" style="9" hidden="1" customWidth="1"/>
    <col min="9" max="9" width="11.28125" style="9" hidden="1" customWidth="1"/>
    <col min="10" max="11" width="18.7109375" style="9" customWidth="1"/>
    <col min="12" max="13" width="10.7109375" style="9" customWidth="1"/>
    <col min="14" max="14" width="9.7109375" style="9" customWidth="1"/>
    <col min="15" max="15" width="10.57421875" style="9" customWidth="1"/>
    <col min="16" max="16" width="8.421875" style="9" customWidth="1"/>
    <col min="17" max="17" width="6.57421875" style="9" customWidth="1"/>
    <col min="18" max="18" width="13.421875" style="9" hidden="1" customWidth="1"/>
    <col min="19" max="19" width="13.8515625" style="9" hidden="1" customWidth="1"/>
    <col min="20" max="21" width="4.28125" style="9" hidden="1" customWidth="1"/>
    <col min="22" max="22" width="12.8515625" style="9" hidden="1" customWidth="1"/>
    <col min="23" max="23" width="4.28125" style="9" hidden="1" customWidth="1"/>
    <col min="24" max="24" width="12.8515625" style="9" hidden="1" customWidth="1"/>
    <col min="25" max="25" width="13.421875" style="9" hidden="1" customWidth="1"/>
    <col min="26" max="27" width="4.28125" style="9" hidden="1" customWidth="1"/>
    <col min="28" max="28" width="10.421875" style="9" customWidth="1"/>
    <col min="29" max="29" width="21.7109375" style="9" customWidth="1"/>
    <col min="30" max="30" width="14.8515625" style="9" customWidth="1"/>
    <col min="31" max="31" width="4.140625" style="9" customWidth="1"/>
    <col min="32" max="32" width="7.140625" style="9" customWidth="1"/>
    <col min="33" max="33" width="5.28125" style="9" customWidth="1"/>
    <col min="34" max="34" width="5.421875" style="9" customWidth="1"/>
    <col min="35" max="35" width="4.7109375" style="9" customWidth="1"/>
    <col min="36" max="36" width="5.28125" style="9" customWidth="1"/>
    <col min="37" max="38" width="13.28125" style="9" customWidth="1"/>
    <col min="39" max="39" width="6.57421875" style="9" customWidth="1"/>
    <col min="40" max="40" width="6.421875" style="9" customWidth="1"/>
    <col min="41" max="44" width="11.421875" style="9" customWidth="1"/>
    <col min="45" max="45" width="12.7109375" style="9" customWidth="1"/>
    <col min="46" max="48" width="11.421875" style="9" customWidth="1"/>
    <col min="49" max="49" width="21.00390625" style="9" customWidth="1"/>
    <col min="50" max="16384" width="11.421875" style="9" customWidth="1"/>
  </cols>
  <sheetData>
    <row r="1" spans="1:30" ht="13.5">
      <c r="A1" s="89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AD1" s="5"/>
    </row>
    <row r="2" spans="1:23" ht="27" customHeight="1">
      <c r="A2" s="8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30" s="1332" customFormat="1" ht="37.5" customHeight="1">
      <c r="A3" s="1329"/>
      <c r="B3" s="1330" t="str">
        <f>'TOT-0912'!B2</f>
        <v>ANEXO IV al Memorándum  D.T.E.E.  N° 295 / 2014</v>
      </c>
      <c r="C3" s="1331"/>
      <c r="D3" s="1331"/>
      <c r="E3" s="1331"/>
      <c r="F3" s="1331"/>
      <c r="G3" s="1331"/>
      <c r="H3" s="1331"/>
      <c r="I3" s="1331"/>
      <c r="J3" s="1331"/>
      <c r="K3" s="1331"/>
      <c r="L3" s="1331"/>
      <c r="M3" s="1331"/>
      <c r="N3" s="1331"/>
      <c r="O3" s="1331"/>
      <c r="P3" s="1331"/>
      <c r="Q3" s="1331"/>
      <c r="R3" s="1331"/>
      <c r="S3" s="1331"/>
      <c r="T3" s="1331"/>
      <c r="U3" s="1331"/>
      <c r="V3" s="1331"/>
      <c r="W3" s="1331"/>
      <c r="AB3" s="1331"/>
      <c r="AC3" s="1331"/>
      <c r="AD3" s="1331"/>
    </row>
    <row r="4" spans="1:2" s="14" customFormat="1" ht="14.25" customHeight="1">
      <c r="A4" s="1333" t="s">
        <v>2</v>
      </c>
      <c r="B4" s="275"/>
    </row>
    <row r="5" spans="1:2" s="14" customFormat="1" ht="13.5" customHeight="1" thickBot="1">
      <c r="A5" s="1333" t="s">
        <v>3</v>
      </c>
      <c r="B5" s="1333"/>
    </row>
    <row r="6" spans="1:30" ht="16.5" customHeight="1" thickTop="1">
      <c r="A6" s="8"/>
      <c r="B6" s="91"/>
      <c r="C6" s="92"/>
      <c r="D6" s="92"/>
      <c r="E6" s="93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1334"/>
      <c r="X6" s="1334"/>
      <c r="Y6" s="1334"/>
      <c r="Z6" s="1334"/>
      <c r="AA6" s="1334"/>
      <c r="AB6" s="1334"/>
      <c r="AC6" s="1334"/>
      <c r="AD6" s="94"/>
    </row>
    <row r="7" spans="1:30" ht="20.25">
      <c r="A7" s="8"/>
      <c r="B7" s="55"/>
      <c r="C7" s="11"/>
      <c r="D7" s="96" t="s">
        <v>398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335"/>
      <c r="Q7" s="1335"/>
      <c r="R7" s="11"/>
      <c r="S7" s="11"/>
      <c r="T7" s="11"/>
      <c r="U7" s="11"/>
      <c r="V7" s="11"/>
      <c r="AD7" s="99"/>
    </row>
    <row r="8" spans="1:30" ht="16.5" customHeight="1">
      <c r="A8" s="8"/>
      <c r="B8" s="55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AD8" s="99"/>
    </row>
    <row r="9" spans="2:30" s="34" customFormat="1" ht="20.25">
      <c r="B9" s="43"/>
      <c r="C9" s="42"/>
      <c r="D9" s="96" t="s">
        <v>399</v>
      </c>
      <c r="E9" s="42"/>
      <c r="F9" s="42"/>
      <c r="G9" s="42"/>
      <c r="H9" s="42"/>
      <c r="N9" s="42"/>
      <c r="O9" s="42"/>
      <c r="P9" s="1336"/>
      <c r="Q9" s="1336"/>
      <c r="R9" s="42"/>
      <c r="S9" s="42"/>
      <c r="T9" s="42"/>
      <c r="U9" s="42"/>
      <c r="V9" s="42"/>
      <c r="W9" s="9"/>
      <c r="X9" s="42"/>
      <c r="Y9" s="42"/>
      <c r="Z9" s="42"/>
      <c r="AA9" s="42"/>
      <c r="AB9" s="42"/>
      <c r="AC9" s="9"/>
      <c r="AD9" s="1337"/>
    </row>
    <row r="10" spans="1:30" ht="16.5" customHeight="1">
      <c r="A10" s="8"/>
      <c r="B10" s="55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AD10" s="99"/>
    </row>
    <row r="11" spans="2:30" s="34" customFormat="1" ht="20.25">
      <c r="B11" s="43"/>
      <c r="C11" s="42"/>
      <c r="D11" s="96" t="s">
        <v>504</v>
      </c>
      <c r="E11" s="42"/>
      <c r="F11" s="42"/>
      <c r="G11" s="42"/>
      <c r="H11" s="42"/>
      <c r="N11" s="42"/>
      <c r="O11" s="42"/>
      <c r="P11" s="1336"/>
      <c r="Q11" s="1336"/>
      <c r="R11" s="42"/>
      <c r="S11" s="42"/>
      <c r="T11" s="42"/>
      <c r="U11" s="42"/>
      <c r="V11" s="42"/>
      <c r="W11" s="9"/>
      <c r="X11" s="42"/>
      <c r="Y11" s="42"/>
      <c r="Z11" s="42"/>
      <c r="AA11" s="42"/>
      <c r="AB11" s="42"/>
      <c r="AC11" s="9"/>
      <c r="AD11" s="1337"/>
    </row>
    <row r="12" spans="1:30" ht="16.5" customHeight="1">
      <c r="A12" s="8"/>
      <c r="B12" s="55"/>
      <c r="C12" s="11"/>
      <c r="D12" s="11"/>
      <c r="E12" s="8"/>
      <c r="F12" s="8"/>
      <c r="G12" s="8"/>
      <c r="H12" s="8"/>
      <c r="I12" s="100"/>
      <c r="J12" s="100"/>
      <c r="K12" s="100"/>
      <c r="L12" s="100"/>
      <c r="M12" s="100"/>
      <c r="N12" s="100"/>
      <c r="O12" s="100"/>
      <c r="P12" s="100"/>
      <c r="Q12" s="100"/>
      <c r="R12" s="11"/>
      <c r="S12" s="11"/>
      <c r="T12" s="11"/>
      <c r="U12" s="11"/>
      <c r="V12" s="11"/>
      <c r="AD12" s="99"/>
    </row>
    <row r="13" spans="2:30" s="34" customFormat="1" ht="19.5">
      <c r="B13" s="35" t="str">
        <f>'TOT-0912'!B14</f>
        <v>Desde el 01 al 30 de septiembre de 2012</v>
      </c>
      <c r="C13" s="36"/>
      <c r="D13" s="39"/>
      <c r="E13" s="39"/>
      <c r="F13" s="39"/>
      <c r="G13" s="39"/>
      <c r="H13" s="39"/>
      <c r="I13" s="40"/>
      <c r="J13" s="25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1338"/>
      <c r="V13" s="1338"/>
      <c r="W13" s="9"/>
      <c r="X13" s="1339"/>
      <c r="Y13" s="1339"/>
      <c r="Z13" s="1339"/>
      <c r="AA13" s="1339"/>
      <c r="AB13" s="1338"/>
      <c r="AC13" s="25"/>
      <c r="AD13" s="41"/>
    </row>
    <row r="14" spans="1:30" ht="16.5" customHeight="1">
      <c r="A14" s="8"/>
      <c r="B14" s="55"/>
      <c r="C14" s="11"/>
      <c r="D14" s="11"/>
      <c r="E14" s="85"/>
      <c r="F14" s="85"/>
      <c r="G14" s="11"/>
      <c r="H14" s="11"/>
      <c r="I14" s="11"/>
      <c r="J14" s="1340"/>
      <c r="K14" s="11"/>
      <c r="L14" s="11"/>
      <c r="M14" s="11"/>
      <c r="N14" s="8"/>
      <c r="O14" s="8"/>
      <c r="P14" s="11"/>
      <c r="Q14" s="11"/>
      <c r="R14" s="11"/>
      <c r="S14" s="11"/>
      <c r="T14" s="11"/>
      <c r="U14" s="11"/>
      <c r="V14" s="11"/>
      <c r="AD14" s="99"/>
    </row>
    <row r="15" spans="1:30" ht="16.5" customHeight="1">
      <c r="A15" s="8"/>
      <c r="B15" s="55"/>
      <c r="C15" s="11"/>
      <c r="D15" s="11"/>
      <c r="E15" s="85"/>
      <c r="F15" s="85"/>
      <c r="G15" s="11"/>
      <c r="H15" s="11"/>
      <c r="I15" s="1341"/>
      <c r="J15" s="11"/>
      <c r="K15" s="248"/>
      <c r="M15" s="11"/>
      <c r="N15" s="8"/>
      <c r="O15" s="8"/>
      <c r="P15" s="11"/>
      <c r="Q15" s="11"/>
      <c r="R15" s="11"/>
      <c r="S15" s="11"/>
      <c r="T15" s="11"/>
      <c r="U15" s="11"/>
      <c r="V15" s="11"/>
      <c r="AD15" s="99"/>
    </row>
    <row r="16" spans="1:30" ht="16.5" customHeight="1">
      <c r="A16" s="8"/>
      <c r="B16" s="55"/>
      <c r="C16" s="11"/>
      <c r="D16" s="11"/>
      <c r="E16" s="85"/>
      <c r="F16" s="85"/>
      <c r="G16" s="11"/>
      <c r="H16" s="11"/>
      <c r="I16" s="1341"/>
      <c r="J16" s="11"/>
      <c r="K16" s="248"/>
      <c r="M16" s="11"/>
      <c r="N16" s="8"/>
      <c r="O16" s="8"/>
      <c r="P16" s="11"/>
      <c r="Q16" s="11"/>
      <c r="R16" s="11"/>
      <c r="S16" s="11"/>
      <c r="T16" s="11"/>
      <c r="U16" s="11"/>
      <c r="V16" s="11"/>
      <c r="AD16" s="99"/>
    </row>
    <row r="17" spans="1:30" ht="16.5" customHeight="1">
      <c r="A17" s="8"/>
      <c r="B17" s="55"/>
      <c r="C17" s="73" t="s">
        <v>401</v>
      </c>
      <c r="D17" s="4" t="s">
        <v>402</v>
      </c>
      <c r="E17" s="85"/>
      <c r="F17" s="85"/>
      <c r="G17" s="11"/>
      <c r="H17" s="11"/>
      <c r="I17" s="11"/>
      <c r="J17" s="1340"/>
      <c r="K17" s="11"/>
      <c r="L17" s="11"/>
      <c r="M17" s="11"/>
      <c r="N17" s="8"/>
      <c r="O17" s="8"/>
      <c r="P17" s="11"/>
      <c r="Q17" s="11"/>
      <c r="R17" s="11"/>
      <c r="S17" s="11"/>
      <c r="T17" s="11"/>
      <c r="U17" s="11"/>
      <c r="V17" s="11"/>
      <c r="AD17" s="99"/>
    </row>
    <row r="18" spans="2:30" s="27" customFormat="1" ht="16.5" customHeight="1">
      <c r="B18" s="1342"/>
      <c r="C18" s="29"/>
      <c r="D18" s="1343"/>
      <c r="E18" s="1344"/>
      <c r="F18" s="1345"/>
      <c r="G18" s="29"/>
      <c r="H18" s="29"/>
      <c r="I18" s="29"/>
      <c r="J18" s="1346"/>
      <c r="K18" s="29"/>
      <c r="L18" s="29"/>
      <c r="M18" s="29"/>
      <c r="P18" s="29"/>
      <c r="Q18" s="29"/>
      <c r="R18" s="29"/>
      <c r="S18" s="29"/>
      <c r="T18" s="29"/>
      <c r="U18" s="29"/>
      <c r="V18" s="29"/>
      <c r="W18" s="9"/>
      <c r="AD18" s="1347"/>
    </row>
    <row r="19" spans="2:30" s="27" customFormat="1" ht="16.5" customHeight="1">
      <c r="B19" s="1342"/>
      <c r="C19" s="29"/>
      <c r="D19" s="1348" t="s">
        <v>403</v>
      </c>
      <c r="F19" s="1353">
        <v>253.422</v>
      </c>
      <c r="G19" s="1348" t="s">
        <v>404</v>
      </c>
      <c r="H19" s="29"/>
      <c r="I19" s="29"/>
      <c r="J19" s="1350"/>
      <c r="K19" s="1351" t="s">
        <v>405</v>
      </c>
      <c r="L19" s="1352">
        <v>0.025</v>
      </c>
      <c r="R19" s="29"/>
      <c r="S19" s="29"/>
      <c r="T19" s="29"/>
      <c r="U19" s="29"/>
      <c r="V19" s="29"/>
      <c r="W19" s="9"/>
      <c r="AD19" s="1347"/>
    </row>
    <row r="20" spans="2:30" s="27" customFormat="1" ht="16.5" customHeight="1">
      <c r="B20" s="1342"/>
      <c r="C20" s="29"/>
      <c r="D20" s="1348" t="s">
        <v>489</v>
      </c>
      <c r="F20" s="1353" t="s">
        <v>336</v>
      </c>
      <c r="G20" s="1348" t="s">
        <v>404</v>
      </c>
      <c r="H20" s="29"/>
      <c r="I20" s="29"/>
      <c r="J20" s="29"/>
      <c r="K20" s="1343" t="s">
        <v>408</v>
      </c>
      <c r="L20" s="29">
        <f>MID(B13,16,2)*24</f>
        <v>720</v>
      </c>
      <c r="M20" s="29" t="s">
        <v>409</v>
      </c>
      <c r="R20" s="29"/>
      <c r="S20" s="29"/>
      <c r="T20" s="29"/>
      <c r="U20" s="29"/>
      <c r="V20" s="29"/>
      <c r="W20" s="9"/>
      <c r="AD20" s="1347"/>
    </row>
    <row r="21" spans="2:30" s="27" customFormat="1" ht="16.5" customHeight="1">
      <c r="B21" s="1342"/>
      <c r="C21" s="29"/>
      <c r="D21" s="1348" t="s">
        <v>406</v>
      </c>
      <c r="F21" s="1353">
        <v>0.697</v>
      </c>
      <c r="G21" s="1348" t="s">
        <v>407</v>
      </c>
      <c r="H21" s="29"/>
      <c r="I21" s="29"/>
      <c r="N21" s="29"/>
      <c r="O21" s="29"/>
      <c r="P21" s="1354"/>
      <c r="Q21" s="29"/>
      <c r="R21" s="29"/>
      <c r="S21" s="29"/>
      <c r="T21" s="29"/>
      <c r="U21" s="29"/>
      <c r="V21" s="29"/>
      <c r="W21" s="9"/>
      <c r="AD21" s="1347"/>
    </row>
    <row r="22" spans="2:30" s="27" customFormat="1" ht="16.5" customHeight="1">
      <c r="B22" s="1342"/>
      <c r="C22" s="29"/>
      <c r="D22" s="1348" t="s">
        <v>490</v>
      </c>
      <c r="F22" s="1353">
        <v>110.573</v>
      </c>
      <c r="G22" s="1348" t="s">
        <v>491</v>
      </c>
      <c r="H22" s="29"/>
      <c r="I22" s="29"/>
      <c r="J22" s="29"/>
      <c r="K22" s="107"/>
      <c r="L22" s="108"/>
      <c r="M22" s="29"/>
      <c r="N22" s="29"/>
      <c r="O22" s="29"/>
      <c r="P22" s="1354"/>
      <c r="Q22" s="29"/>
      <c r="R22" s="29"/>
      <c r="S22" s="29"/>
      <c r="T22" s="29"/>
      <c r="U22" s="29"/>
      <c r="V22" s="29"/>
      <c r="W22" s="9"/>
      <c r="AD22" s="1347"/>
    </row>
    <row r="23" spans="2:30" s="27" customFormat="1" ht="9" customHeight="1">
      <c r="B23" s="1342"/>
      <c r="C23" s="29"/>
      <c r="H23" s="29"/>
      <c r="I23" s="29"/>
      <c r="J23" s="29"/>
      <c r="K23" s="107"/>
      <c r="L23" s="108"/>
      <c r="M23" s="29"/>
      <c r="N23" s="29"/>
      <c r="O23" s="29"/>
      <c r="P23" s="1354"/>
      <c r="Q23" s="29"/>
      <c r="R23" s="29"/>
      <c r="S23" s="29"/>
      <c r="T23" s="29"/>
      <c r="U23" s="29"/>
      <c r="V23" s="29"/>
      <c r="W23" s="9"/>
      <c r="AD23" s="1347"/>
    </row>
    <row r="24" spans="2:30" s="27" customFormat="1" ht="8.25" customHeight="1">
      <c r="B24" s="1342"/>
      <c r="C24" s="29"/>
      <c r="D24" s="29"/>
      <c r="E24" s="1355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9"/>
      <c r="AD24" s="1347"/>
    </row>
    <row r="25" spans="1:30" ht="16.5" customHeight="1">
      <c r="A25" s="8"/>
      <c r="B25" s="55"/>
      <c r="C25" s="73" t="s">
        <v>411</v>
      </c>
      <c r="D25" s="28" t="s">
        <v>469</v>
      </c>
      <c r="I25" s="11"/>
      <c r="J25" s="27"/>
      <c r="O25" s="11"/>
      <c r="P25" s="11"/>
      <c r="Q25" s="11"/>
      <c r="R25" s="11"/>
      <c r="S25" s="11"/>
      <c r="T25" s="11"/>
      <c r="V25" s="11"/>
      <c r="X25" s="11"/>
      <c r="Y25" s="11"/>
      <c r="Z25" s="11"/>
      <c r="AA25" s="11"/>
      <c r="AB25" s="11"/>
      <c r="AC25" s="11"/>
      <c r="AD25" s="99"/>
    </row>
    <row r="26" spans="1:30" ht="10.5" customHeight="1" thickBot="1">
      <c r="A26" s="8"/>
      <c r="B26" s="55"/>
      <c r="C26" s="85"/>
      <c r="D26" s="28"/>
      <c r="I26" s="11"/>
      <c r="J26" s="27"/>
      <c r="O26" s="11"/>
      <c r="P26" s="11"/>
      <c r="Q26" s="11"/>
      <c r="R26" s="11"/>
      <c r="S26" s="11"/>
      <c r="T26" s="11"/>
      <c r="V26" s="11"/>
      <c r="X26" s="11"/>
      <c r="Y26" s="11"/>
      <c r="Z26" s="11"/>
      <c r="AA26" s="11"/>
      <c r="AB26" s="11"/>
      <c r="AC26" s="11"/>
      <c r="AD26" s="99"/>
    </row>
    <row r="27" spans="2:30" s="27" customFormat="1" ht="16.5" customHeight="1" thickBot="1" thickTop="1">
      <c r="B27" s="1342"/>
      <c r="C27" s="1345"/>
      <c r="D27" s="9"/>
      <c r="E27" s="9"/>
      <c r="F27" s="9"/>
      <c r="G27" s="9"/>
      <c r="H27" s="9"/>
      <c r="I27" s="9"/>
      <c r="J27" s="1356" t="s">
        <v>412</v>
      </c>
      <c r="K27" s="1357">
        <f>L19*AC85</f>
        <v>32688.377718999996</v>
      </c>
      <c r="L27" s="9"/>
      <c r="S27" s="9"/>
      <c r="T27" s="9"/>
      <c r="U27" s="9"/>
      <c r="W27" s="9"/>
      <c r="AD27" s="1347"/>
    </row>
    <row r="28" spans="2:30" s="27" customFormat="1" ht="11.25" customHeight="1" thickTop="1">
      <c r="B28" s="1342"/>
      <c r="C28" s="1345"/>
      <c r="D28" s="29"/>
      <c r="E28" s="1355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9"/>
      <c r="W28" s="9"/>
      <c r="AD28" s="1347"/>
    </row>
    <row r="29" spans="1:30" ht="16.5" customHeight="1">
      <c r="A29" s="8"/>
      <c r="B29" s="55"/>
      <c r="C29" s="73" t="s">
        <v>413</v>
      </c>
      <c r="D29" s="28" t="s">
        <v>470</v>
      </c>
      <c r="E29" s="233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AD29" s="99"/>
    </row>
    <row r="30" spans="1:30" ht="21.75" customHeight="1" thickBot="1">
      <c r="A30" s="8"/>
      <c r="B30" s="55"/>
      <c r="C30" s="11"/>
      <c r="D30" s="11"/>
      <c r="E30" s="233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AD30" s="99"/>
    </row>
    <row r="31" spans="2:31" s="8" customFormat="1" ht="33.75" customHeight="1" thickBot="1" thickTop="1">
      <c r="B31" s="55"/>
      <c r="C31" s="111" t="s">
        <v>28</v>
      </c>
      <c r="D31" s="943" t="s">
        <v>5</v>
      </c>
      <c r="E31" s="1358" t="s">
        <v>31</v>
      </c>
      <c r="F31" s="1359" t="s">
        <v>32</v>
      </c>
      <c r="G31" s="115" t="s">
        <v>33</v>
      </c>
      <c r="H31" s="1360" t="s">
        <v>34</v>
      </c>
      <c r="I31" s="485" t="s">
        <v>35</v>
      </c>
      <c r="J31" s="112" t="s">
        <v>36</v>
      </c>
      <c r="K31" s="118" t="s">
        <v>37</v>
      </c>
      <c r="L31" s="119" t="s">
        <v>38</v>
      </c>
      <c r="M31" s="114" t="s">
        <v>39</v>
      </c>
      <c r="N31" s="119" t="s">
        <v>414</v>
      </c>
      <c r="O31" s="119" t="s">
        <v>40</v>
      </c>
      <c r="P31" s="118" t="s">
        <v>41</v>
      </c>
      <c r="Q31" s="112" t="s">
        <v>42</v>
      </c>
      <c r="R31" s="1361" t="s">
        <v>43</v>
      </c>
      <c r="S31" s="1362" t="s">
        <v>44</v>
      </c>
      <c r="T31" s="1363" t="s">
        <v>415</v>
      </c>
      <c r="U31" s="1364"/>
      <c r="V31" s="1365"/>
      <c r="W31" s="1366" t="s">
        <v>416</v>
      </c>
      <c r="X31" s="1367"/>
      <c r="Y31" s="1368"/>
      <c r="Z31" s="1369" t="s">
        <v>47</v>
      </c>
      <c r="AA31" s="1370" t="s">
        <v>417</v>
      </c>
      <c r="AB31" s="1371" t="s">
        <v>49</v>
      </c>
      <c r="AC31" s="325" t="s">
        <v>50</v>
      </c>
      <c r="AD31" s="131"/>
      <c r="AE31" s="9"/>
    </row>
    <row r="32" spans="1:30" ht="16.5" customHeight="1" thickTop="1">
      <c r="A32" s="8"/>
      <c r="B32" s="55"/>
      <c r="C32" s="152"/>
      <c r="D32" s="1372"/>
      <c r="E32" s="1373"/>
      <c r="F32" s="1374"/>
      <c r="G32" s="1375"/>
      <c r="H32" s="1376"/>
      <c r="I32" s="1377"/>
      <c r="J32" s="1378"/>
      <c r="K32" s="1379"/>
      <c r="L32" s="152"/>
      <c r="M32" s="152"/>
      <c r="N32" s="1380"/>
      <c r="O32" s="1380"/>
      <c r="P32" s="152"/>
      <c r="Q32" s="1381"/>
      <c r="R32" s="1382"/>
      <c r="S32" s="1383"/>
      <c r="T32" s="1384"/>
      <c r="U32" s="1385"/>
      <c r="V32" s="1386"/>
      <c r="W32" s="1387"/>
      <c r="X32" s="1388"/>
      <c r="Y32" s="1389"/>
      <c r="Z32" s="1390"/>
      <c r="AA32" s="1391"/>
      <c r="AB32" s="1392"/>
      <c r="AC32" s="1393"/>
      <c r="AD32" s="99"/>
    </row>
    <row r="33" spans="1:30" ht="16.5" customHeight="1">
      <c r="A33" s="8"/>
      <c r="B33" s="55"/>
      <c r="C33" s="989" t="s">
        <v>418</v>
      </c>
      <c r="D33" s="194" t="s">
        <v>268</v>
      </c>
      <c r="E33" s="195">
        <v>500</v>
      </c>
      <c r="F33" s="196">
        <v>386</v>
      </c>
      <c r="G33" s="1394" t="s">
        <v>258</v>
      </c>
      <c r="H33" s="1395">
        <v>20</v>
      </c>
      <c r="I33" s="1396">
        <f>IF(E33=500,IF(F33&lt;100,100*$F$19/100,F33*$F$19/100),IF(F33&lt;100,100*$F$20/100,F33*$F$20/100))</f>
        <v>978.2089199999999</v>
      </c>
      <c r="J33" s="1411">
        <v>41162.24097222222</v>
      </c>
      <c r="K33" s="1412">
        <v>41162.26388888889</v>
      </c>
      <c r="L33" s="1397">
        <f>IF(D33="","",(K33-J33)*24)</f>
        <v>0.5500000000465661</v>
      </c>
      <c r="M33" s="511">
        <f>IF(D33="","",(K33-J33)*24*60)</f>
        <v>33.00000000279397</v>
      </c>
      <c r="N33" s="591" t="s">
        <v>259</v>
      </c>
      <c r="O33" s="274" t="str">
        <f>IF(D33="","","--")</f>
        <v>--</v>
      </c>
      <c r="P33" s="180" t="str">
        <f>IF(D33="","","NO")</f>
        <v>NO</v>
      </c>
      <c r="Q33" s="180" t="str">
        <f>IF(D33="","",IF(OR(N33="P",N33="RP"),"--","NO"))</f>
        <v>--</v>
      </c>
      <c r="R33" s="1398">
        <f>IF(N33="P",I33*H33*ROUND(M33/60,2)*0.01,"--")</f>
        <v>107.6029812</v>
      </c>
      <c r="S33" s="1399" t="str">
        <f>IF(N33="RP",I33*H33*ROUND(M33/60,2)*0.01*O33/100,"--")</f>
        <v>--</v>
      </c>
      <c r="T33" s="1400" t="str">
        <f>IF(AND(N33="F",Q33="NO"),I33*H33*IF(P33="SI",1.2,1),"--")</f>
        <v>--</v>
      </c>
      <c r="U33" s="1401" t="str">
        <f>IF(AND(N33="F",M33&gt;=10),I33*H33*IF(P33="SI",1.2,1)*IF(M33&lt;=300,ROUND(M33/60,2),5),"--")</f>
        <v>--</v>
      </c>
      <c r="V33" s="1402" t="str">
        <f>IF(AND(N33="F",M33&gt;300),(ROUND(M33/60,2)-5)*I33*H33*0.1*IF(P33="SI",1.2,1),"--")</f>
        <v>--</v>
      </c>
      <c r="W33" s="1403" t="str">
        <f>IF(AND(N33="R",Q33="NO"),I33*H33*O33/100*IF(P33="SI",1.2,1),"--")</f>
        <v>--</v>
      </c>
      <c r="X33" s="1404" t="str">
        <f>IF(AND(N33="R",M33&gt;=10),I33*H33*O33/100*IF(P33="SI",1.2,1)*IF(M33&lt;=300,ROUND(M33/60,2),5),"--")</f>
        <v>--</v>
      </c>
      <c r="Y33" s="1405" t="str">
        <f>IF(AND(N33="R",M33&gt;300),(ROUND(M33/60,2)-5)*I33*H33*0.1*O33/100*IF(P33="SI",1.2,1),"--")</f>
        <v>--</v>
      </c>
      <c r="Z33" s="1406" t="str">
        <f>IF(N33="RF",ROUND(M33/60,2)*I33*H33*0.1*IF(P33="SI",1.2,1),"--")</f>
        <v>--</v>
      </c>
      <c r="AA33" s="1407" t="str">
        <f>IF(N33="RR",ROUND(M33/60,2)*I33*H33*0.1*O33/100*IF(P33="SI",1.2,1),"--")</f>
        <v>--</v>
      </c>
      <c r="AB33" s="1408" t="str">
        <f>IF(D33="","","SI")</f>
        <v>SI</v>
      </c>
      <c r="AC33" s="192">
        <f>IF(D33="","",SUM(R33:AA33)*IF(AB33="SI",1,2))</f>
        <v>107.6029812</v>
      </c>
      <c r="AD33" s="99"/>
    </row>
    <row r="34" spans="1:30" ht="16.5" customHeight="1">
      <c r="A34" s="8"/>
      <c r="B34" s="55"/>
      <c r="C34" s="989" t="s">
        <v>419</v>
      </c>
      <c r="D34" s="194" t="s">
        <v>268</v>
      </c>
      <c r="E34" s="195">
        <v>500</v>
      </c>
      <c r="F34" s="196">
        <v>386</v>
      </c>
      <c r="G34" s="1394" t="s">
        <v>258</v>
      </c>
      <c r="H34" s="1395">
        <v>20</v>
      </c>
      <c r="I34" s="1396">
        <f aca="true" t="shared" si="0" ref="I34:I41">IF(E34=500,IF(F34&lt;100,100*$F$19/100,F34*$F$19/100),IF(F34&lt;100,100*$F$20/100,F34*$F$20/100))</f>
        <v>978.2089199999999</v>
      </c>
      <c r="J34" s="1411">
        <v>41164.294444444444</v>
      </c>
      <c r="K34" s="1412">
        <v>41164.7</v>
      </c>
      <c r="L34" s="1397">
        <f aca="true" t="shared" si="1" ref="L34:L41">IF(D34="","",(K34-J34)*24)</f>
        <v>9.733333333279006</v>
      </c>
      <c r="M34" s="511">
        <f aca="true" t="shared" si="2" ref="M34:M41">IF(D34="","",(K34-J34)*24*60)</f>
        <v>583.9999999967404</v>
      </c>
      <c r="N34" s="591" t="s">
        <v>259</v>
      </c>
      <c r="O34" s="274" t="str">
        <f aca="true" t="shared" si="3" ref="O34:O41">IF(D34="","","--")</f>
        <v>--</v>
      </c>
      <c r="P34" s="180" t="str">
        <f aca="true" t="shared" si="4" ref="P34:P41">IF(D34="","","NO")</f>
        <v>NO</v>
      </c>
      <c r="Q34" s="180" t="str">
        <f aca="true" t="shared" si="5" ref="Q34:Q41">IF(D34="","",IF(OR(N34="P",N34="RP"),"--","NO"))</f>
        <v>--</v>
      </c>
      <c r="R34" s="1398">
        <f aca="true" t="shared" si="6" ref="R34:R41">IF(N34="P",I34*H34*ROUND(M34/60,2)*0.01,"--")</f>
        <v>1903.5945583199998</v>
      </c>
      <c r="S34" s="1399" t="str">
        <f aca="true" t="shared" si="7" ref="S34:S41">IF(N34="RP",I34*H34*ROUND(M34/60,2)*0.01*O34/100,"--")</f>
        <v>--</v>
      </c>
      <c r="T34" s="1400" t="str">
        <f aca="true" t="shared" si="8" ref="T34:T41">IF(AND(N34="F",Q34="NO"),I34*H34*IF(P34="SI",1.2,1),"--")</f>
        <v>--</v>
      </c>
      <c r="U34" s="1401" t="str">
        <f aca="true" t="shared" si="9" ref="U34:U41">IF(AND(N34="F",M34&gt;=10),I34*H34*IF(P34="SI",1.2,1)*IF(M34&lt;=300,ROUND(M34/60,2),5),"--")</f>
        <v>--</v>
      </c>
      <c r="V34" s="1402" t="str">
        <f aca="true" t="shared" si="10" ref="V34:V41">IF(AND(N34="F",M34&gt;300),(ROUND(M34/60,2)-5)*I34*H34*0.1*IF(P34="SI",1.2,1),"--")</f>
        <v>--</v>
      </c>
      <c r="W34" s="1403" t="str">
        <f aca="true" t="shared" si="11" ref="W34:W41">IF(AND(N34="R",Q34="NO"),I34*H34*O34/100*IF(P34="SI",1.2,1),"--")</f>
        <v>--</v>
      </c>
      <c r="X34" s="1404" t="str">
        <f aca="true" t="shared" si="12" ref="X34:X41">IF(AND(N34="R",M34&gt;=10),I34*H34*O34/100*IF(P34="SI",1.2,1)*IF(M34&lt;=300,ROUND(M34/60,2),5),"--")</f>
        <v>--</v>
      </c>
      <c r="Y34" s="1405" t="str">
        <f aca="true" t="shared" si="13" ref="Y34:Y41">IF(AND(N34="R",M34&gt;300),(ROUND(M34/60,2)-5)*I34*H34*0.1*O34/100*IF(P34="SI",1.2,1),"--")</f>
        <v>--</v>
      </c>
      <c r="Z34" s="1406" t="str">
        <f aca="true" t="shared" si="14" ref="Z34:Z41">IF(N34="RF",ROUND(M34/60,2)*I34*H34*0.1*IF(P34="SI",1.2,1),"--")</f>
        <v>--</v>
      </c>
      <c r="AA34" s="1407" t="str">
        <f aca="true" t="shared" si="15" ref="AA34:AA41">IF(N34="RR",ROUND(M34/60,2)*I34*H34*0.1*O34/100*IF(P34="SI",1.2,1),"--")</f>
        <v>--</v>
      </c>
      <c r="AB34" s="1408" t="str">
        <f aca="true" t="shared" si="16" ref="AB34:AB41">IF(D34="","","SI")</f>
        <v>SI</v>
      </c>
      <c r="AC34" s="192">
        <f aca="true" t="shared" si="17" ref="AC34:AC41">IF(D34="","",SUM(R34:AA34)*IF(AB34="SI",1,2))</f>
        <v>1903.5945583199998</v>
      </c>
      <c r="AD34" s="99"/>
    </row>
    <row r="35" spans="1:30" ht="16.5" customHeight="1">
      <c r="A35" s="8"/>
      <c r="B35" s="55"/>
      <c r="C35" s="989" t="s">
        <v>425</v>
      </c>
      <c r="D35" s="194" t="s">
        <v>268</v>
      </c>
      <c r="E35" s="195">
        <v>500</v>
      </c>
      <c r="F35" s="196">
        <v>386</v>
      </c>
      <c r="G35" s="1394" t="s">
        <v>258</v>
      </c>
      <c r="H35" s="1395">
        <v>20</v>
      </c>
      <c r="I35" s="1396">
        <f t="shared" si="0"/>
        <v>978.2089199999999</v>
      </c>
      <c r="J35" s="1411">
        <v>41164.700694444444</v>
      </c>
      <c r="K35" s="1412">
        <v>41164.75</v>
      </c>
      <c r="L35" s="1397">
        <f t="shared" si="1"/>
        <v>1.1833333333488554</v>
      </c>
      <c r="M35" s="511">
        <f t="shared" si="2"/>
        <v>71.00000000093132</v>
      </c>
      <c r="N35" s="591" t="s">
        <v>259</v>
      </c>
      <c r="O35" s="274" t="str">
        <f t="shared" si="3"/>
        <v>--</v>
      </c>
      <c r="P35" s="180" t="str">
        <f t="shared" si="4"/>
        <v>NO</v>
      </c>
      <c r="Q35" s="180" t="str">
        <f t="shared" si="5"/>
        <v>--</v>
      </c>
      <c r="R35" s="1398">
        <f t="shared" si="6"/>
        <v>230.85730511999995</v>
      </c>
      <c r="S35" s="1399" t="str">
        <f t="shared" si="7"/>
        <v>--</v>
      </c>
      <c r="T35" s="1400" t="str">
        <f t="shared" si="8"/>
        <v>--</v>
      </c>
      <c r="U35" s="1401" t="str">
        <f t="shared" si="9"/>
        <v>--</v>
      </c>
      <c r="V35" s="1402" t="str">
        <f t="shared" si="10"/>
        <v>--</v>
      </c>
      <c r="W35" s="1403" t="str">
        <f t="shared" si="11"/>
        <v>--</v>
      </c>
      <c r="X35" s="1404" t="str">
        <f t="shared" si="12"/>
        <v>--</v>
      </c>
      <c r="Y35" s="1405" t="str">
        <f t="shared" si="13"/>
        <v>--</v>
      </c>
      <c r="Z35" s="1406" t="str">
        <f t="shared" si="14"/>
        <v>--</v>
      </c>
      <c r="AA35" s="1407" t="str">
        <f t="shared" si="15"/>
        <v>--</v>
      </c>
      <c r="AB35" s="1408" t="str">
        <f t="shared" si="16"/>
        <v>SI</v>
      </c>
      <c r="AC35" s="192">
        <f t="shared" si="17"/>
        <v>230.85730511999995</v>
      </c>
      <c r="AD35" s="99"/>
    </row>
    <row r="36" spans="1:30" ht="16.5" customHeight="1">
      <c r="A36" s="8"/>
      <c r="B36" s="55"/>
      <c r="C36" s="989" t="s">
        <v>426</v>
      </c>
      <c r="D36" s="194" t="s">
        <v>268</v>
      </c>
      <c r="E36" s="195">
        <v>500</v>
      </c>
      <c r="F36" s="196">
        <v>386</v>
      </c>
      <c r="G36" s="1394" t="s">
        <v>258</v>
      </c>
      <c r="H36" s="1395">
        <v>20</v>
      </c>
      <c r="I36" s="1396">
        <f t="shared" si="0"/>
        <v>978.2089199999999</v>
      </c>
      <c r="J36" s="1411">
        <v>41164.75069444445</v>
      </c>
      <c r="K36" s="1412">
        <v>41164.819444444445</v>
      </c>
      <c r="L36" s="1397">
        <f t="shared" si="1"/>
        <v>1.6499999999650754</v>
      </c>
      <c r="M36" s="511">
        <f t="shared" si="2"/>
        <v>98.99999999790452</v>
      </c>
      <c r="N36" s="591" t="s">
        <v>262</v>
      </c>
      <c r="O36" s="274" t="str">
        <f t="shared" si="3"/>
        <v>--</v>
      </c>
      <c r="P36" s="180" t="str">
        <f t="shared" si="4"/>
        <v>NO</v>
      </c>
      <c r="Q36" s="180" t="s">
        <v>79</v>
      </c>
      <c r="R36" s="1398" t="str">
        <f t="shared" si="6"/>
        <v>--</v>
      </c>
      <c r="S36" s="1399" t="str">
        <f t="shared" si="7"/>
        <v>--</v>
      </c>
      <c r="T36" s="1400" t="str">
        <f t="shared" si="8"/>
        <v>--</v>
      </c>
      <c r="U36" s="1401">
        <f t="shared" si="9"/>
        <v>32280.894359999995</v>
      </c>
      <c r="V36" s="1402" t="str">
        <f t="shared" si="10"/>
        <v>--</v>
      </c>
      <c r="W36" s="1403" t="str">
        <f t="shared" si="11"/>
        <v>--</v>
      </c>
      <c r="X36" s="1404" t="str">
        <f t="shared" si="12"/>
        <v>--</v>
      </c>
      <c r="Y36" s="1405" t="str">
        <f t="shared" si="13"/>
        <v>--</v>
      </c>
      <c r="Z36" s="1406" t="str">
        <f t="shared" si="14"/>
        <v>--</v>
      </c>
      <c r="AA36" s="1407" t="str">
        <f t="shared" si="15"/>
        <v>--</v>
      </c>
      <c r="AB36" s="1408" t="str">
        <f t="shared" si="16"/>
        <v>SI</v>
      </c>
      <c r="AC36" s="192">
        <f t="shared" si="17"/>
        <v>32280.894359999995</v>
      </c>
      <c r="AD36" s="99"/>
    </row>
    <row r="37" spans="1:30" ht="16.5" customHeight="1">
      <c r="A37" s="8"/>
      <c r="B37" s="55"/>
      <c r="C37" s="989" t="s">
        <v>427</v>
      </c>
      <c r="D37" s="194" t="s">
        <v>268</v>
      </c>
      <c r="E37" s="195">
        <v>500</v>
      </c>
      <c r="F37" s="196">
        <v>386</v>
      </c>
      <c r="G37" s="1394" t="s">
        <v>258</v>
      </c>
      <c r="H37" s="1395">
        <v>20</v>
      </c>
      <c r="I37" s="1396">
        <f t="shared" si="0"/>
        <v>978.2089199999999</v>
      </c>
      <c r="J37" s="1411">
        <v>41164.82013888889</v>
      </c>
      <c r="K37" s="1412">
        <v>41164.94027777778</v>
      </c>
      <c r="L37" s="1397">
        <f t="shared" si="1"/>
        <v>2.8833333333022892</v>
      </c>
      <c r="M37" s="511">
        <f t="shared" si="2"/>
        <v>172.99999999813735</v>
      </c>
      <c r="N37" s="591" t="s">
        <v>262</v>
      </c>
      <c r="O37" s="274" t="str">
        <f t="shared" si="3"/>
        <v>--</v>
      </c>
      <c r="P37" s="180" t="str">
        <f t="shared" si="4"/>
        <v>NO</v>
      </c>
      <c r="Q37" s="180" t="s">
        <v>79</v>
      </c>
      <c r="R37" s="1398" t="str">
        <f t="shared" si="6"/>
        <v>--</v>
      </c>
      <c r="S37" s="1399" t="str">
        <f t="shared" si="7"/>
        <v>--</v>
      </c>
      <c r="T37" s="1400" t="str">
        <f t="shared" si="8"/>
        <v>--</v>
      </c>
      <c r="U37" s="1401">
        <f t="shared" si="9"/>
        <v>56344.83379199999</v>
      </c>
      <c r="V37" s="1402" t="str">
        <f t="shared" si="10"/>
        <v>--</v>
      </c>
      <c r="W37" s="1403" t="str">
        <f t="shared" si="11"/>
        <v>--</v>
      </c>
      <c r="X37" s="1404" t="str">
        <f t="shared" si="12"/>
        <v>--</v>
      </c>
      <c r="Y37" s="1405" t="str">
        <f t="shared" si="13"/>
        <v>--</v>
      </c>
      <c r="Z37" s="1406" t="str">
        <f t="shared" si="14"/>
        <v>--</v>
      </c>
      <c r="AA37" s="1407" t="str">
        <f t="shared" si="15"/>
        <v>--</v>
      </c>
      <c r="AB37" s="1408" t="str">
        <f t="shared" si="16"/>
        <v>SI</v>
      </c>
      <c r="AC37" s="192">
        <f t="shared" si="17"/>
        <v>56344.83379199999</v>
      </c>
      <c r="AD37" s="99"/>
    </row>
    <row r="38" spans="1:30" ht="16.5" customHeight="1">
      <c r="A38" s="8"/>
      <c r="B38" s="55"/>
      <c r="C38" s="989" t="s">
        <v>444</v>
      </c>
      <c r="D38" s="194" t="s">
        <v>268</v>
      </c>
      <c r="E38" s="195">
        <v>500</v>
      </c>
      <c r="F38" s="196">
        <v>386</v>
      </c>
      <c r="G38" s="1394" t="s">
        <v>258</v>
      </c>
      <c r="H38" s="1395">
        <v>20</v>
      </c>
      <c r="I38" s="1396">
        <f t="shared" si="0"/>
        <v>978.2089199999999</v>
      </c>
      <c r="J38" s="1411">
        <v>41166.3125</v>
      </c>
      <c r="K38" s="1412">
        <v>41166.34861111111</v>
      </c>
      <c r="L38" s="1397">
        <f t="shared" si="1"/>
        <v>0.8666666666977108</v>
      </c>
      <c r="M38" s="511">
        <f t="shared" si="2"/>
        <v>52.000000001862645</v>
      </c>
      <c r="N38" s="591" t="s">
        <v>259</v>
      </c>
      <c r="O38" s="274" t="str">
        <f t="shared" si="3"/>
        <v>--</v>
      </c>
      <c r="P38" s="180" t="str">
        <f t="shared" si="4"/>
        <v>NO</v>
      </c>
      <c r="Q38" s="180" t="str">
        <f t="shared" si="5"/>
        <v>--</v>
      </c>
      <c r="R38" s="1398">
        <f t="shared" si="6"/>
        <v>170.20835207999997</v>
      </c>
      <c r="S38" s="1399" t="str">
        <f t="shared" si="7"/>
        <v>--</v>
      </c>
      <c r="T38" s="1400" t="str">
        <f t="shared" si="8"/>
        <v>--</v>
      </c>
      <c r="U38" s="1401" t="str">
        <f t="shared" si="9"/>
        <v>--</v>
      </c>
      <c r="V38" s="1402" t="str">
        <f t="shared" si="10"/>
        <v>--</v>
      </c>
      <c r="W38" s="1403" t="str">
        <f t="shared" si="11"/>
        <v>--</v>
      </c>
      <c r="X38" s="1404" t="str">
        <f t="shared" si="12"/>
        <v>--</v>
      </c>
      <c r="Y38" s="1405" t="str">
        <f t="shared" si="13"/>
        <v>--</v>
      </c>
      <c r="Z38" s="1406" t="str">
        <f t="shared" si="14"/>
        <v>--</v>
      </c>
      <c r="AA38" s="1407" t="str">
        <f t="shared" si="15"/>
        <v>--</v>
      </c>
      <c r="AB38" s="1408" t="str">
        <f t="shared" si="16"/>
        <v>SI</v>
      </c>
      <c r="AC38" s="192">
        <f t="shared" si="17"/>
        <v>170.20835207999997</v>
      </c>
      <c r="AD38" s="99"/>
    </row>
    <row r="39" spans="1:30" ht="16.5" customHeight="1">
      <c r="A39" s="8"/>
      <c r="B39" s="55"/>
      <c r="C39" s="989" t="s">
        <v>445</v>
      </c>
      <c r="D39" s="194" t="s">
        <v>269</v>
      </c>
      <c r="E39" s="195">
        <v>500</v>
      </c>
      <c r="F39" s="196">
        <v>280.70001220703125</v>
      </c>
      <c r="G39" s="1394" t="s">
        <v>258</v>
      </c>
      <c r="H39" s="1395">
        <v>20</v>
      </c>
      <c r="I39" s="1396">
        <f t="shared" si="0"/>
        <v>711.3555849353028</v>
      </c>
      <c r="J39" s="1411">
        <v>41169.29513888889</v>
      </c>
      <c r="K39" s="1412">
        <v>41169.33888888889</v>
      </c>
      <c r="L39" s="1397">
        <f t="shared" si="1"/>
        <v>1.0499999999301508</v>
      </c>
      <c r="M39" s="511">
        <f t="shared" si="2"/>
        <v>62.99999999580905</v>
      </c>
      <c r="N39" s="591" t="s">
        <v>259</v>
      </c>
      <c r="O39" s="274" t="str">
        <f t="shared" si="3"/>
        <v>--</v>
      </c>
      <c r="P39" s="180" t="str">
        <f t="shared" si="4"/>
        <v>NO</v>
      </c>
      <c r="Q39" s="180" t="str">
        <f t="shared" si="5"/>
        <v>--</v>
      </c>
      <c r="R39" s="1398">
        <f t="shared" si="6"/>
        <v>149.38467283641359</v>
      </c>
      <c r="S39" s="1399" t="str">
        <f t="shared" si="7"/>
        <v>--</v>
      </c>
      <c r="T39" s="1400" t="str">
        <f t="shared" si="8"/>
        <v>--</v>
      </c>
      <c r="U39" s="1401" t="str">
        <f t="shared" si="9"/>
        <v>--</v>
      </c>
      <c r="V39" s="1402" t="str">
        <f t="shared" si="10"/>
        <v>--</v>
      </c>
      <c r="W39" s="1403" t="str">
        <f t="shared" si="11"/>
        <v>--</v>
      </c>
      <c r="X39" s="1404" t="str">
        <f t="shared" si="12"/>
        <v>--</v>
      </c>
      <c r="Y39" s="1405" t="str">
        <f t="shared" si="13"/>
        <v>--</v>
      </c>
      <c r="Z39" s="1406" t="str">
        <f t="shared" si="14"/>
        <v>--</v>
      </c>
      <c r="AA39" s="1407" t="str">
        <f t="shared" si="15"/>
        <v>--</v>
      </c>
      <c r="AB39" s="1408" t="str">
        <f t="shared" si="16"/>
        <v>SI</v>
      </c>
      <c r="AC39" s="192">
        <f t="shared" si="17"/>
        <v>149.38467283641359</v>
      </c>
      <c r="AD39" s="99"/>
    </row>
    <row r="40" spans="1:30" ht="16.5" customHeight="1">
      <c r="A40" s="8"/>
      <c r="B40" s="55"/>
      <c r="C40" s="989" t="s">
        <v>446</v>
      </c>
      <c r="D40" s="194" t="s">
        <v>269</v>
      </c>
      <c r="E40" s="195">
        <v>500</v>
      </c>
      <c r="F40" s="196">
        <v>280.70001220703125</v>
      </c>
      <c r="G40" s="1394" t="s">
        <v>258</v>
      </c>
      <c r="H40" s="1395">
        <v>20</v>
      </c>
      <c r="I40" s="1396">
        <f t="shared" si="0"/>
        <v>711.3555849353028</v>
      </c>
      <c r="J40" s="1411">
        <v>41171.28958333333</v>
      </c>
      <c r="K40" s="1412">
        <v>41171.322916666664</v>
      </c>
      <c r="L40" s="1397">
        <f t="shared" si="1"/>
        <v>0.7999999999883585</v>
      </c>
      <c r="M40" s="511">
        <f t="shared" si="2"/>
        <v>47.99999999930151</v>
      </c>
      <c r="N40" s="591" t="s">
        <v>259</v>
      </c>
      <c r="O40" s="274" t="str">
        <f t="shared" si="3"/>
        <v>--</v>
      </c>
      <c r="P40" s="180" t="str">
        <f t="shared" si="4"/>
        <v>NO</v>
      </c>
      <c r="Q40" s="180" t="str">
        <f t="shared" si="5"/>
        <v>--</v>
      </c>
      <c r="R40" s="1398">
        <f t="shared" si="6"/>
        <v>113.81689358964846</v>
      </c>
      <c r="S40" s="1399" t="str">
        <f t="shared" si="7"/>
        <v>--</v>
      </c>
      <c r="T40" s="1400" t="str">
        <f t="shared" si="8"/>
        <v>--</v>
      </c>
      <c r="U40" s="1401" t="str">
        <f t="shared" si="9"/>
        <v>--</v>
      </c>
      <c r="V40" s="1402" t="str">
        <f t="shared" si="10"/>
        <v>--</v>
      </c>
      <c r="W40" s="1403" t="str">
        <f t="shared" si="11"/>
        <v>--</v>
      </c>
      <c r="X40" s="1404" t="str">
        <f t="shared" si="12"/>
        <v>--</v>
      </c>
      <c r="Y40" s="1405" t="str">
        <f t="shared" si="13"/>
        <v>--</v>
      </c>
      <c r="Z40" s="1406" t="str">
        <f t="shared" si="14"/>
        <v>--</v>
      </c>
      <c r="AA40" s="1407" t="str">
        <f t="shared" si="15"/>
        <v>--</v>
      </c>
      <c r="AB40" s="1408" t="str">
        <f t="shared" si="16"/>
        <v>SI</v>
      </c>
      <c r="AC40" s="192">
        <f t="shared" si="17"/>
        <v>113.81689358964846</v>
      </c>
      <c r="AD40" s="99"/>
    </row>
    <row r="41" spans="1:30" ht="16.5" customHeight="1">
      <c r="A41" s="8"/>
      <c r="B41" s="55"/>
      <c r="C41" s="989" t="s">
        <v>447</v>
      </c>
      <c r="D41" s="194" t="s">
        <v>269</v>
      </c>
      <c r="E41" s="195">
        <v>500</v>
      </c>
      <c r="F41" s="196">
        <v>280.70001220703125</v>
      </c>
      <c r="G41" s="1394" t="s">
        <v>258</v>
      </c>
      <c r="H41" s="1395">
        <v>20</v>
      </c>
      <c r="I41" s="1396">
        <f t="shared" si="0"/>
        <v>711.3555849353028</v>
      </c>
      <c r="J41" s="1411">
        <v>41173.29375</v>
      </c>
      <c r="K41" s="1412">
        <v>41173.714583333334</v>
      </c>
      <c r="L41" s="1397">
        <f t="shared" si="1"/>
        <v>10.100000000093132</v>
      </c>
      <c r="M41" s="511">
        <f t="shared" si="2"/>
        <v>606.0000000055879</v>
      </c>
      <c r="N41" s="591" t="s">
        <v>259</v>
      </c>
      <c r="O41" s="274" t="str">
        <f t="shared" si="3"/>
        <v>--</v>
      </c>
      <c r="P41" s="180" t="str">
        <f t="shared" si="4"/>
        <v>NO</v>
      </c>
      <c r="Q41" s="180" t="str">
        <f t="shared" si="5"/>
        <v>--</v>
      </c>
      <c r="R41" s="1398">
        <f t="shared" si="6"/>
        <v>1436.9382815693116</v>
      </c>
      <c r="S41" s="1399" t="str">
        <f t="shared" si="7"/>
        <v>--</v>
      </c>
      <c r="T41" s="1400" t="str">
        <f t="shared" si="8"/>
        <v>--</v>
      </c>
      <c r="U41" s="1401" t="str">
        <f t="shared" si="9"/>
        <v>--</v>
      </c>
      <c r="V41" s="1402" t="str">
        <f t="shared" si="10"/>
        <v>--</v>
      </c>
      <c r="W41" s="1403" t="str">
        <f t="shared" si="11"/>
        <v>--</v>
      </c>
      <c r="X41" s="1404" t="str">
        <f t="shared" si="12"/>
        <v>--</v>
      </c>
      <c r="Y41" s="1405" t="str">
        <f t="shared" si="13"/>
        <v>--</v>
      </c>
      <c r="Z41" s="1406" t="str">
        <f t="shared" si="14"/>
        <v>--</v>
      </c>
      <c r="AA41" s="1407" t="str">
        <f t="shared" si="15"/>
        <v>--</v>
      </c>
      <c r="AB41" s="1408" t="str">
        <f t="shared" si="16"/>
        <v>SI</v>
      </c>
      <c r="AC41" s="192">
        <f t="shared" si="17"/>
        <v>1436.9382815693116</v>
      </c>
      <c r="AD41" s="99"/>
    </row>
    <row r="42" spans="1:30" ht="16.5" customHeight="1">
      <c r="A42" s="8"/>
      <c r="B42" s="55"/>
      <c r="C42" s="989" t="s">
        <v>448</v>
      </c>
      <c r="D42" s="194"/>
      <c r="E42" s="195"/>
      <c r="F42" s="196"/>
      <c r="G42" s="1394"/>
      <c r="H42" s="1395"/>
      <c r="I42" s="1396"/>
      <c r="J42" s="1411"/>
      <c r="K42" s="1412"/>
      <c r="L42" s="1397"/>
      <c r="M42" s="511"/>
      <c r="N42" s="591"/>
      <c r="O42" s="274"/>
      <c r="P42" s="180"/>
      <c r="Q42" s="180"/>
      <c r="R42" s="1398"/>
      <c r="S42" s="1399"/>
      <c r="T42" s="1400"/>
      <c r="U42" s="1401"/>
      <c r="V42" s="1402"/>
      <c r="W42" s="1403"/>
      <c r="X42" s="1404"/>
      <c r="Y42" s="1405"/>
      <c r="Z42" s="1406"/>
      <c r="AA42" s="1407"/>
      <c r="AB42" s="1408"/>
      <c r="AC42" s="192"/>
      <c r="AD42" s="99"/>
    </row>
    <row r="43" spans="1:30" ht="16.5" customHeight="1" thickBot="1">
      <c r="A43" s="27"/>
      <c r="B43" s="55"/>
      <c r="C43" s="1413"/>
      <c r="D43" s="1414"/>
      <c r="E43" s="1415"/>
      <c r="F43" s="1416"/>
      <c r="G43" s="1417"/>
      <c r="H43" s="1418"/>
      <c r="I43" s="1419"/>
      <c r="J43" s="1420"/>
      <c r="K43" s="1420"/>
      <c r="L43" s="214"/>
      <c r="M43" s="214"/>
      <c r="N43" s="214"/>
      <c r="O43" s="1421"/>
      <c r="P43" s="214"/>
      <c r="Q43" s="214"/>
      <c r="R43" s="1422"/>
      <c r="S43" s="1423"/>
      <c r="T43" s="1424"/>
      <c r="U43" s="1425"/>
      <c r="V43" s="1426"/>
      <c r="W43" s="1427"/>
      <c r="X43" s="1428"/>
      <c r="Y43" s="1429"/>
      <c r="Z43" s="1430"/>
      <c r="AA43" s="1431"/>
      <c r="AB43" s="1432"/>
      <c r="AC43" s="1433"/>
      <c r="AD43" s="1434"/>
    </row>
    <row r="44" spans="1:30" ht="16.5" customHeight="1" thickBot="1" thickTop="1">
      <c r="A44" s="27"/>
      <c r="B44" s="55"/>
      <c r="C44" s="1345"/>
      <c r="D44" s="1345"/>
      <c r="E44" s="1435"/>
      <c r="F44" s="1355"/>
      <c r="G44" s="1436"/>
      <c r="H44" s="1436"/>
      <c r="I44" s="1437"/>
      <c r="J44" s="1437"/>
      <c r="K44" s="1437"/>
      <c r="L44" s="1437"/>
      <c r="M44" s="1437"/>
      <c r="N44" s="1437"/>
      <c r="O44" s="1438"/>
      <c r="P44" s="1437"/>
      <c r="Q44" s="1437"/>
      <c r="R44" s="1437"/>
      <c r="S44" s="1437"/>
      <c r="T44" s="1437"/>
      <c r="U44" s="1437"/>
      <c r="V44" s="1437"/>
      <c r="W44" s="1437"/>
      <c r="X44" s="1437"/>
      <c r="Y44" s="1437"/>
      <c r="Z44" s="1437"/>
      <c r="AA44" s="1437"/>
      <c r="AB44" s="1445"/>
      <c r="AC44" s="1446">
        <f>SUM(AC32:AC43)</f>
        <v>92738.13119671536</v>
      </c>
      <c r="AD44" s="1434"/>
    </row>
    <row r="45" spans="1:30" ht="13.5" customHeight="1" thickBot="1" thickTop="1">
      <c r="A45" s="27"/>
      <c r="B45" s="55"/>
      <c r="C45" s="1345"/>
      <c r="D45" s="1345"/>
      <c r="E45" s="1435"/>
      <c r="F45" s="1355"/>
      <c r="G45" s="1436"/>
      <c r="H45" s="1436"/>
      <c r="I45" s="1437"/>
      <c r="J45" s="1437"/>
      <c r="K45" s="1437"/>
      <c r="L45" s="1437"/>
      <c r="M45" s="1437"/>
      <c r="N45" s="1437"/>
      <c r="O45" s="1438"/>
      <c r="P45" s="1437"/>
      <c r="Q45" s="1437"/>
      <c r="R45" s="1437"/>
      <c r="S45" s="1437"/>
      <c r="T45" s="1437"/>
      <c r="U45" s="1437"/>
      <c r="V45" s="1437"/>
      <c r="W45" s="1437"/>
      <c r="X45" s="1437"/>
      <c r="Y45" s="1437"/>
      <c r="Z45" s="1437"/>
      <c r="AA45" s="1437"/>
      <c r="AB45" s="1450"/>
      <c r="AC45" s="1451"/>
      <c r="AD45" s="1434"/>
    </row>
    <row r="46" spans="1:33" s="8" customFormat="1" ht="33.75" customHeight="1" thickBot="1" thickTop="1">
      <c r="A46" s="89"/>
      <c r="B46" s="292"/>
      <c r="C46" s="321" t="s">
        <v>28</v>
      </c>
      <c r="D46" s="322" t="s">
        <v>58</v>
      </c>
      <c r="E46" s="323" t="s">
        <v>59</v>
      </c>
      <c r="F46" s="324" t="s">
        <v>76</v>
      </c>
      <c r="G46" s="325" t="s">
        <v>31</v>
      </c>
      <c r="H46" s="326" t="s">
        <v>35</v>
      </c>
      <c r="I46" s="1452"/>
      <c r="J46" s="323" t="s">
        <v>36</v>
      </c>
      <c r="K46" s="323" t="s">
        <v>37</v>
      </c>
      <c r="L46" s="322" t="s">
        <v>61</v>
      </c>
      <c r="M46" s="322" t="s">
        <v>39</v>
      </c>
      <c r="N46" s="119" t="s">
        <v>420</v>
      </c>
      <c r="O46" s="323" t="s">
        <v>42</v>
      </c>
      <c r="P46" s="1453" t="s">
        <v>62</v>
      </c>
      <c r="Q46" s="1454"/>
      <c r="R46" s="326" t="s">
        <v>422</v>
      </c>
      <c r="S46" s="1455" t="s">
        <v>43</v>
      </c>
      <c r="T46" s="1456" t="s">
        <v>423</v>
      </c>
      <c r="U46" s="1457"/>
      <c r="V46" s="1458" t="s">
        <v>47</v>
      </c>
      <c r="W46" s="1459"/>
      <c r="X46" s="1460"/>
      <c r="Y46" s="1460"/>
      <c r="Z46" s="1460"/>
      <c r="AA46" s="1461"/>
      <c r="AB46" s="130" t="s">
        <v>49</v>
      </c>
      <c r="AC46" s="325" t="s">
        <v>50</v>
      </c>
      <c r="AD46" s="99"/>
      <c r="AF46" s="9"/>
      <c r="AG46" s="9"/>
    </row>
    <row r="47" spans="1:30" ht="16.5" customHeight="1" thickTop="1">
      <c r="A47" s="8"/>
      <c r="B47" s="55"/>
      <c r="C47" s="152"/>
      <c r="D47" s="259"/>
      <c r="E47" s="259"/>
      <c r="F47" s="259"/>
      <c r="G47" s="1462"/>
      <c r="H47" s="1463"/>
      <c r="I47" s="1464"/>
      <c r="J47" s="259"/>
      <c r="K47" s="259"/>
      <c r="L47" s="259"/>
      <c r="M47" s="259"/>
      <c r="N47" s="259"/>
      <c r="O47" s="1465"/>
      <c r="P47" s="1830"/>
      <c r="Q47" s="1832"/>
      <c r="R47" s="1468"/>
      <c r="S47" s="1469"/>
      <c r="T47" s="1470"/>
      <c r="U47" s="1471"/>
      <c r="V47" s="1472"/>
      <c r="W47" s="1473"/>
      <c r="X47" s="1474"/>
      <c r="Y47" s="1474"/>
      <c r="Z47" s="1474"/>
      <c r="AA47" s="1475"/>
      <c r="AB47" s="1465"/>
      <c r="AC47" s="1476"/>
      <c r="AD47" s="99"/>
    </row>
    <row r="48" spans="1:30" ht="16.5" customHeight="1">
      <c r="A48" s="8"/>
      <c r="B48" s="55"/>
      <c r="C48" s="989" t="s">
        <v>418</v>
      </c>
      <c r="D48" s="621"/>
      <c r="E48" s="150"/>
      <c r="F48" s="150"/>
      <c r="G48" s="349"/>
      <c r="H48" s="1477">
        <f>F48*$F$21</f>
        <v>0</v>
      </c>
      <c r="I48" s="1478"/>
      <c r="J48" s="1608"/>
      <c r="K48" s="1608"/>
      <c r="L48" s="368">
        <f>IF(D48="","",(K48-J48)*24)</f>
      </c>
      <c r="M48" s="369">
        <f>IF(D48="","",(K48-J48)*24*60)</f>
      </c>
      <c r="N48" s="1479"/>
      <c r="O48" s="371">
        <f>IF(D48="","",IF(OR(N48="P",N48="RP"),"--","NO"))</f>
      </c>
      <c r="P48" s="1818">
        <f>IF(D48="","","NO")</f>
      </c>
      <c r="Q48" s="1819"/>
      <c r="R48" s="1482">
        <f>200*IF(P48="SI",1,0.1)*IF(N48="P",0.1,1)</f>
        <v>20</v>
      </c>
      <c r="S48" s="1483" t="str">
        <f>IF(N48="P",H48*R48*ROUND(M48/60,2),"--")</f>
        <v>--</v>
      </c>
      <c r="T48" s="1484" t="str">
        <f>IF(AND(N48="F",O48="NO"),H48*R48,"--")</f>
        <v>--</v>
      </c>
      <c r="U48" s="1485" t="str">
        <f>IF(N48="F",H48*R48*ROUND(M48/60,2),"--")</f>
        <v>--</v>
      </c>
      <c r="V48" s="503" t="str">
        <f>IF(N48="RF",H48*R48*ROUND(M48/60,2),"--")</f>
        <v>--</v>
      </c>
      <c r="W48" s="1486"/>
      <c r="X48" s="1487"/>
      <c r="Y48" s="1487"/>
      <c r="Z48" s="1487"/>
      <c r="AA48" s="1488"/>
      <c r="AB48" s="381">
        <f>IF(D48="","","SI")</f>
      </c>
      <c r="AC48" s="445">
        <f>IF(D48="","",SUM(S48:V48)*IF(AB48="SI",1,2))</f>
      </c>
      <c r="AD48" s="99"/>
    </row>
    <row r="49" spans="1:30" ht="16.5" customHeight="1" thickBot="1">
      <c r="A49" s="27"/>
      <c r="B49" s="55"/>
      <c r="C49" s="1413"/>
      <c r="D49" s="1509"/>
      <c r="E49" s="1510"/>
      <c r="F49" s="1511"/>
      <c r="G49" s="1512"/>
      <c r="H49" s="1513"/>
      <c r="I49" s="1514"/>
      <c r="J49" s="1515"/>
      <c r="K49" s="1516"/>
      <c r="L49" s="1517"/>
      <c r="M49" s="1518"/>
      <c r="N49" s="1519"/>
      <c r="O49" s="214"/>
      <c r="P49" s="1835"/>
      <c r="Q49" s="1837"/>
      <c r="R49" s="1522"/>
      <c r="S49" s="1523"/>
      <c r="T49" s="1524"/>
      <c r="U49" s="1525"/>
      <c r="V49" s="1526"/>
      <c r="W49" s="1527"/>
      <c r="X49" s="1528"/>
      <c r="Y49" s="1528"/>
      <c r="Z49" s="1528"/>
      <c r="AA49" s="1529"/>
      <c r="AB49" s="1530"/>
      <c r="AC49" s="1531"/>
      <c r="AD49" s="1434"/>
    </row>
    <row r="50" spans="1:30" ht="16.5" customHeight="1" thickBot="1" thickTop="1">
      <c r="A50" s="27"/>
      <c r="B50" s="55"/>
      <c r="C50" s="308"/>
      <c r="D50" s="233"/>
      <c r="E50" s="233"/>
      <c r="F50" s="1532"/>
      <c r="G50" s="1533"/>
      <c r="H50" s="1533"/>
      <c r="I50" s="1533"/>
      <c r="J50" s="1535"/>
      <c r="K50" s="1536"/>
      <c r="L50" s="1537"/>
      <c r="M50" s="1538"/>
      <c r="N50" s="1534"/>
      <c r="O50" s="235"/>
      <c r="P50" s="1546"/>
      <c r="Q50" s="1546"/>
      <c r="R50" s="1546"/>
      <c r="S50" s="1546"/>
      <c r="T50" s="1546"/>
      <c r="U50" s="1546"/>
      <c r="V50" s="1546"/>
      <c r="W50" s="1546"/>
      <c r="X50" s="1546"/>
      <c r="Y50" s="1546"/>
      <c r="Z50" s="1546"/>
      <c r="AA50" s="1546"/>
      <c r="AB50" s="1543"/>
      <c r="AC50" s="1610">
        <f>SUM(AC47:AC49)</f>
        <v>0</v>
      </c>
      <c r="AD50" s="1434"/>
    </row>
    <row r="51" spans="1:30" ht="16.5" customHeight="1" thickBot="1" thickTop="1">
      <c r="A51" s="27"/>
      <c r="B51" s="55"/>
      <c r="C51" s="308"/>
      <c r="D51" s="233"/>
      <c r="E51" s="308"/>
      <c r="F51" s="233"/>
      <c r="G51" s="308"/>
      <c r="H51" s="233"/>
      <c r="I51" s="308"/>
      <c r="J51" s="233"/>
      <c r="K51" s="308"/>
      <c r="L51" s="233"/>
      <c r="M51" s="308"/>
      <c r="N51" s="233"/>
      <c r="O51" s="308"/>
      <c r="P51" s="233"/>
      <c r="Q51" s="308"/>
      <c r="R51" s="233"/>
      <c r="S51" s="308"/>
      <c r="T51" s="233"/>
      <c r="U51" s="308"/>
      <c r="V51" s="233"/>
      <c r="W51" s="308"/>
      <c r="X51" s="233"/>
      <c r="Y51" s="308"/>
      <c r="Z51" s="233"/>
      <c r="AA51" s="308"/>
      <c r="AB51" s="233"/>
      <c r="AC51" s="308"/>
      <c r="AD51" s="1434"/>
    </row>
    <row r="52" spans="1:33" s="8" customFormat="1" ht="33.75" customHeight="1" thickBot="1" thickTop="1">
      <c r="A52" s="89"/>
      <c r="B52" s="292"/>
      <c r="C52" s="321" t="s">
        <v>28</v>
      </c>
      <c r="D52" s="322" t="s">
        <v>58</v>
      </c>
      <c r="E52" s="323" t="s">
        <v>59</v>
      </c>
      <c r="F52" s="1833" t="s">
        <v>31</v>
      </c>
      <c r="G52" s="1834"/>
      <c r="H52" s="326" t="s">
        <v>35</v>
      </c>
      <c r="I52" s="1452"/>
      <c r="J52" s="323" t="s">
        <v>36</v>
      </c>
      <c r="K52" s="323" t="s">
        <v>37</v>
      </c>
      <c r="L52" s="322" t="s">
        <v>61</v>
      </c>
      <c r="M52" s="322" t="s">
        <v>39</v>
      </c>
      <c r="N52" s="119" t="s">
        <v>420</v>
      </c>
      <c r="O52" s="1827" t="s">
        <v>42</v>
      </c>
      <c r="P52" s="1828"/>
      <c r="Q52" s="1829"/>
      <c r="R52" s="485" t="s">
        <v>34</v>
      </c>
      <c r="S52" s="486" t="s">
        <v>71</v>
      </c>
      <c r="T52" s="487" t="s">
        <v>72</v>
      </c>
      <c r="U52" s="488"/>
      <c r="V52" s="489" t="s">
        <v>47</v>
      </c>
      <c r="W52" s="1460"/>
      <c r="X52" s="1460"/>
      <c r="Y52" s="1460"/>
      <c r="Z52" s="1460"/>
      <c r="AA52" s="1461"/>
      <c r="AB52" s="130" t="s">
        <v>49</v>
      </c>
      <c r="AC52" s="325" t="s">
        <v>50</v>
      </c>
      <c r="AD52" s="99"/>
      <c r="AF52" s="9"/>
      <c r="AG52" s="9"/>
    </row>
    <row r="53" spans="1:30" ht="16.5" customHeight="1" thickTop="1">
      <c r="A53" s="8"/>
      <c r="B53" s="55"/>
      <c r="C53" s="152"/>
      <c r="D53" s="259"/>
      <c r="E53" s="259"/>
      <c r="F53" s="1830"/>
      <c r="G53" s="1832"/>
      <c r="H53" s="1463"/>
      <c r="I53" s="1464"/>
      <c r="J53" s="259"/>
      <c r="K53" s="259"/>
      <c r="L53" s="259"/>
      <c r="M53" s="259"/>
      <c r="N53" s="259"/>
      <c r="O53" s="1830"/>
      <c r="P53" s="1831"/>
      <c r="Q53" s="1832"/>
      <c r="R53" s="512"/>
      <c r="S53" s="492"/>
      <c r="T53" s="493"/>
      <c r="U53" s="494"/>
      <c r="V53" s="495"/>
      <c r="W53" s="1474"/>
      <c r="X53" s="1474"/>
      <c r="Y53" s="1474"/>
      <c r="Z53" s="1474"/>
      <c r="AA53" s="1475"/>
      <c r="AB53" s="1465"/>
      <c r="AC53" s="1476"/>
      <c r="AD53" s="99"/>
    </row>
    <row r="54" spans="1:30" ht="15">
      <c r="A54" s="8"/>
      <c r="B54" s="55"/>
      <c r="C54" s="989" t="s">
        <v>418</v>
      </c>
      <c r="D54" s="621"/>
      <c r="E54" s="1611"/>
      <c r="F54" s="1838"/>
      <c r="G54" s="1839"/>
      <c r="H54" s="1477">
        <f>IF(F54=132,$F$22,0)</f>
        <v>0</v>
      </c>
      <c r="I54" s="1478"/>
      <c r="J54" s="508"/>
      <c r="K54" s="204"/>
      <c r="L54" s="368">
        <f>IF(D54="","",(K54-J54)*24)</f>
      </c>
      <c r="M54" s="369">
        <f>IF(D54="","",(K54-J54)*24*60)</f>
      </c>
      <c r="N54" s="1479"/>
      <c r="O54" s="1840">
        <f>IF(D54="","",IF(N54="P","--","NO"))</f>
      </c>
      <c r="P54" s="1841"/>
      <c r="Q54" s="1842"/>
      <c r="R54" s="512">
        <f>IF(F54=132,40,0)</f>
        <v>0</v>
      </c>
      <c r="S54" s="513" t="str">
        <f>IF(N54="P",H54*R54*ROUND(M54/60,2)*0.1,"--")</f>
        <v>--</v>
      </c>
      <c r="T54" s="501" t="str">
        <f>IF(AND(N54="F",O54="NO"),H54*R54,"--")</f>
        <v>--</v>
      </c>
      <c r="U54" s="502" t="str">
        <f>IF(N54="F",H54*R54*ROUND(M54/60,2),"--")</f>
        <v>--</v>
      </c>
      <c r="V54" s="503" t="str">
        <f>IF(N54="RF",H54*R54*ROUND(M54/60,2),"--")</f>
        <v>--</v>
      </c>
      <c r="W54" s="1487"/>
      <c r="X54" s="1487"/>
      <c r="Y54" s="1487"/>
      <c r="Z54" s="1487"/>
      <c r="AA54" s="1488"/>
      <c r="AB54" s="381">
        <f>IF(D54="","","SI")</f>
      </c>
      <c r="AC54" s="514">
        <f>IF(D54="","",SUM(S54:V54)*IF(AB54="SI",1,2))</f>
      </c>
      <c r="AD54" s="1434"/>
    </row>
    <row r="55" spans="1:30" ht="16.5" customHeight="1" thickBot="1">
      <c r="A55" s="27"/>
      <c r="B55" s="55"/>
      <c r="C55" s="1413"/>
      <c r="D55" s="1509"/>
      <c r="E55" s="1510"/>
      <c r="F55" s="1825"/>
      <c r="G55" s="1826"/>
      <c r="H55" s="1513"/>
      <c r="I55" s="1514"/>
      <c r="J55" s="1515"/>
      <c r="K55" s="1516"/>
      <c r="L55" s="1517"/>
      <c r="M55" s="1518"/>
      <c r="N55" s="1519"/>
      <c r="O55" s="1835"/>
      <c r="P55" s="1836"/>
      <c r="Q55" s="1837"/>
      <c r="R55" s="512"/>
      <c r="S55" s="513"/>
      <c r="T55" s="501"/>
      <c r="U55" s="502"/>
      <c r="V55" s="503"/>
      <c r="W55" s="1528"/>
      <c r="X55" s="1528"/>
      <c r="Y55" s="1528"/>
      <c r="Z55" s="1528"/>
      <c r="AA55" s="1529"/>
      <c r="AB55" s="1530"/>
      <c r="AC55" s="514"/>
      <c r="AD55" s="1434"/>
    </row>
    <row r="56" spans="1:30" ht="16.5" customHeight="1" thickBot="1" thickTop="1">
      <c r="A56" s="27"/>
      <c r="B56" s="55"/>
      <c r="C56" s="308"/>
      <c r="D56" s="233"/>
      <c r="E56" s="233"/>
      <c r="F56" s="1532"/>
      <c r="G56" s="1532"/>
      <c r="H56" s="1532"/>
      <c r="I56" s="1532"/>
      <c r="J56" s="1535"/>
      <c r="K56" s="1536"/>
      <c r="L56" s="1537"/>
      <c r="M56" s="1538"/>
      <c r="N56" s="1534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1543"/>
      <c r="AC56" s="1610">
        <f>SUM(AC53:AC55)</f>
        <v>0</v>
      </c>
      <c r="AD56" s="1434"/>
    </row>
    <row r="57" spans="1:30" ht="16.5" customHeight="1" thickBot="1" thickTop="1">
      <c r="A57" s="27"/>
      <c r="B57" s="55"/>
      <c r="C57" s="1612">
        <v>3</v>
      </c>
      <c r="D57" s="1613">
        <v>4</v>
      </c>
      <c r="E57" s="1612">
        <v>5</v>
      </c>
      <c r="F57" s="1613">
        <v>6</v>
      </c>
      <c r="G57" s="1612">
        <v>7</v>
      </c>
      <c r="H57" s="1613">
        <v>8</v>
      </c>
      <c r="I57" s="1612">
        <v>9</v>
      </c>
      <c r="J57" s="1613">
        <v>10</v>
      </c>
      <c r="K57" s="1612">
        <v>11</v>
      </c>
      <c r="L57" s="1613">
        <v>12</v>
      </c>
      <c r="M57" s="1612">
        <v>13</v>
      </c>
      <c r="N57" s="1613">
        <v>14</v>
      </c>
      <c r="O57" s="1612">
        <v>15</v>
      </c>
      <c r="P57" s="1613">
        <v>16</v>
      </c>
      <c r="Q57" s="1612">
        <v>17</v>
      </c>
      <c r="R57" s="1613">
        <v>18</v>
      </c>
      <c r="S57" s="1612">
        <v>19</v>
      </c>
      <c r="T57" s="1613">
        <v>20</v>
      </c>
      <c r="U57" s="1612">
        <v>21</v>
      </c>
      <c r="V57" s="1613">
        <v>22</v>
      </c>
      <c r="W57" s="1612">
        <v>23</v>
      </c>
      <c r="X57" s="1613">
        <v>24</v>
      </c>
      <c r="Y57" s="1612">
        <v>25</v>
      </c>
      <c r="Z57" s="1613">
        <v>26</v>
      </c>
      <c r="AA57" s="1612">
        <v>27</v>
      </c>
      <c r="AB57" s="1613">
        <v>28</v>
      </c>
      <c r="AC57" s="1612">
        <v>29</v>
      </c>
      <c r="AD57" s="1434"/>
    </row>
    <row r="58" spans="1:30" ht="43.5" customHeight="1" thickBot="1" thickTop="1">
      <c r="A58" s="27"/>
      <c r="B58" s="1342"/>
      <c r="C58" s="321" t="s">
        <v>28</v>
      </c>
      <c r="D58" s="322" t="s">
        <v>58</v>
      </c>
      <c r="E58" s="112" t="s">
        <v>59</v>
      </c>
      <c r="F58" s="1850" t="s">
        <v>76</v>
      </c>
      <c r="G58" s="1851"/>
      <c r="H58" s="326" t="s">
        <v>35</v>
      </c>
      <c r="I58" s="1614"/>
      <c r="J58" s="112" t="s">
        <v>36</v>
      </c>
      <c r="K58" s="112" t="s">
        <v>37</v>
      </c>
      <c r="L58" s="114" t="s">
        <v>38</v>
      </c>
      <c r="M58" s="114" t="s">
        <v>39</v>
      </c>
      <c r="N58" s="119" t="s">
        <v>254</v>
      </c>
      <c r="O58" s="119" t="s">
        <v>40</v>
      </c>
      <c r="P58" s="1846" t="s">
        <v>42</v>
      </c>
      <c r="Q58" s="1847"/>
      <c r="R58" s="1615" t="s">
        <v>34</v>
      </c>
      <c r="S58" s="543" t="s">
        <v>71</v>
      </c>
      <c r="T58" s="544" t="s">
        <v>77</v>
      </c>
      <c r="U58" s="545"/>
      <c r="V58" s="331" t="s">
        <v>78</v>
      </c>
      <c r="W58" s="332"/>
      <c r="X58" s="546" t="s">
        <v>47</v>
      </c>
      <c r="Y58" s="330" t="s">
        <v>44</v>
      </c>
      <c r="Z58" s="1614"/>
      <c r="AA58" s="1614"/>
      <c r="AB58" s="130" t="s">
        <v>49</v>
      </c>
      <c r="AC58" s="547" t="s">
        <v>50</v>
      </c>
      <c r="AD58" s="1557"/>
    </row>
    <row r="59" spans="1:30" ht="16.5" customHeight="1" thickTop="1">
      <c r="A59" s="27"/>
      <c r="B59" s="1342"/>
      <c r="C59" s="335"/>
      <c r="D59" s="548"/>
      <c r="E59" s="548"/>
      <c r="F59" s="1848"/>
      <c r="G59" s="1849"/>
      <c r="H59" s="423"/>
      <c r="I59" s="1614"/>
      <c r="J59" s="549"/>
      <c r="K59" s="549"/>
      <c r="L59" s="550"/>
      <c r="M59" s="550"/>
      <c r="N59" s="548"/>
      <c r="O59" s="151"/>
      <c r="P59" s="1848"/>
      <c r="Q59" s="1849"/>
      <c r="R59" s="551"/>
      <c r="S59" s="552"/>
      <c r="T59" s="553"/>
      <c r="U59" s="554"/>
      <c r="V59" s="344"/>
      <c r="W59" s="345"/>
      <c r="X59" s="555"/>
      <c r="Y59" s="555"/>
      <c r="Z59" s="1614"/>
      <c r="AA59" s="1614"/>
      <c r="AB59" s="556"/>
      <c r="AC59" s="557"/>
      <c r="AD59" s="1557"/>
    </row>
    <row r="60" spans="1:30" ht="16.5" customHeight="1">
      <c r="A60" s="27"/>
      <c r="B60" s="1342"/>
      <c r="C60" s="989" t="s">
        <v>418</v>
      </c>
      <c r="D60" s="558" t="s">
        <v>391</v>
      </c>
      <c r="E60" s="559" t="s">
        <v>394</v>
      </c>
      <c r="F60" s="1820">
        <v>170</v>
      </c>
      <c r="G60" s="1821"/>
      <c r="H60" s="366">
        <f>F60*$F$21</f>
        <v>118.49</v>
      </c>
      <c r="I60" s="1614"/>
      <c r="J60" s="562">
        <v>41162.30138888889</v>
      </c>
      <c r="K60" s="563">
        <v>41163.65902777778</v>
      </c>
      <c r="L60" s="564">
        <f>IF(D60="","",(K60-J60)*24)</f>
        <v>32.58333333337214</v>
      </c>
      <c r="M60" s="565">
        <f>IF(D60="","",ROUND((K60-J60)*24*60,0))</f>
        <v>1955</v>
      </c>
      <c r="N60" s="1636" t="s">
        <v>259</v>
      </c>
      <c r="O60" s="274" t="str">
        <f>IF(D60="","","--")</f>
        <v>--</v>
      </c>
      <c r="P60" s="1818" t="str">
        <f>IF(D60="","",IF(OR(N60="P",N60="RP"),"--","NO"))</f>
        <v>--</v>
      </c>
      <c r="Q60" s="1819"/>
      <c r="R60" s="1639">
        <f>IF(OR(N60="P",N60="RP"),20/10,20)</f>
        <v>2</v>
      </c>
      <c r="S60" s="1640">
        <f>IF(N60="P",H60*R60*ROUND(M60/60,2),"--")</f>
        <v>7720.808399999999</v>
      </c>
      <c r="T60" s="569" t="str">
        <f>IF(AND(N60="F",P60="NO"),H60*R60,"--")</f>
        <v>--</v>
      </c>
      <c r="U60" s="570" t="str">
        <f>IF(N60="F",H60*R60*ROUND(M60/60,2),"--")</f>
        <v>--</v>
      </c>
      <c r="V60" s="377" t="str">
        <f>IF(AND(N60="R",P60="NO"),H60*R60*O60/100,"--")</f>
        <v>--</v>
      </c>
      <c r="W60" s="378" t="str">
        <f>IF(N60="R",H60*R60*O60/100*ROUND(M60/60,2),"--")</f>
        <v>--</v>
      </c>
      <c r="X60" s="571" t="str">
        <f>IF(N60="RF",H60*R60*ROUND(M60/60,2),"--")</f>
        <v>--</v>
      </c>
      <c r="Y60" s="458" t="str">
        <f>IF(N60="RP",H60*R60*O60/100*ROUND(M60/60,2),"--")</f>
        <v>--</v>
      </c>
      <c r="Z60" s="1637"/>
      <c r="AA60" s="1637"/>
      <c r="AB60" s="426" t="str">
        <f>IF(D60="","","SI")</f>
        <v>SI</v>
      </c>
      <c r="AC60" s="1638">
        <f>IF(D60="","",SUM(S60:Y60)*IF(AB60="SI",1,2)*IF(AND(O60&lt;&gt;"--",N60="RF"),O60/100,1))</f>
        <v>7720.808399999999</v>
      </c>
      <c r="AD60" s="1557"/>
    </row>
    <row r="61" spans="1:30" ht="16.5" customHeight="1">
      <c r="A61" s="27"/>
      <c r="B61" s="1342"/>
      <c r="C61" s="989" t="s">
        <v>419</v>
      </c>
      <c r="D61" s="1635" t="s">
        <v>392</v>
      </c>
      <c r="E61" s="497" t="s">
        <v>393</v>
      </c>
      <c r="F61" s="1820">
        <v>170</v>
      </c>
      <c r="G61" s="1821"/>
      <c r="H61" s="366">
        <f>F61*$F$21</f>
        <v>118.49</v>
      </c>
      <c r="I61" s="1614"/>
      <c r="J61" s="592">
        <v>41164.94027777778</v>
      </c>
      <c r="K61" s="624">
        <v>41165.700694444444</v>
      </c>
      <c r="L61" s="510">
        <f>IF(D61="","",(K61-J61)*24)</f>
        <v>18.249999999941792</v>
      </c>
      <c r="M61" s="511">
        <f>IF(D61="","",ROUND((K61-J61)*24*60,0))</f>
        <v>1095</v>
      </c>
      <c r="N61" s="178" t="s">
        <v>259</v>
      </c>
      <c r="O61" s="274" t="str">
        <f>IF(D61="","","--")</f>
        <v>--</v>
      </c>
      <c r="P61" s="1818" t="str">
        <f>IF(D61="","",IF(OR(N61="P",N61="RP"),"--","NO"))</f>
        <v>--</v>
      </c>
      <c r="Q61" s="1819"/>
      <c r="R61" s="1639">
        <f>IF(OR(N61="P",N61="RP"),20/10,20)</f>
        <v>2</v>
      </c>
      <c r="S61" s="576">
        <f>IF(N61="P",H61*R61*ROUND(M61/60,2),"--")</f>
        <v>4324.885</v>
      </c>
      <c r="T61" s="569" t="str">
        <f>IF(AND(N61="F",P61="NO"),H61*R61,"--")</f>
        <v>--</v>
      </c>
      <c r="U61" s="570" t="str">
        <f>IF(N61="F",H61*R61*ROUND(M61/60,2),"--")</f>
        <v>--</v>
      </c>
      <c r="V61" s="377" t="str">
        <f>IF(AND(N61="R",P61="NO"),H61*R61*O61/100,"--")</f>
        <v>--</v>
      </c>
      <c r="W61" s="378" t="str">
        <f>IF(N61="R",H61*R61*O61/100*ROUND(M61/60,2),"--")</f>
        <v>--</v>
      </c>
      <c r="X61" s="571" t="str">
        <f>IF(N61="RF",H61*R61*ROUND(M61/60,2),"--")</f>
        <v>--</v>
      </c>
      <c r="Y61" s="428" t="str">
        <f>IF(N61="RP",H61*R61*O61/100*ROUND(M61/60,2),"--")</f>
        <v>--</v>
      </c>
      <c r="Z61" s="1614"/>
      <c r="AA61" s="1614"/>
      <c r="AB61" s="180" t="str">
        <f>IF(D61="","","SI")</f>
        <v>SI</v>
      </c>
      <c r="AC61" s="514">
        <f>IF(D61="","",SUM(S61:Y61)*IF(AB61="SI",1,2)*IF(AND(O61&lt;&gt;"--",N61="RF"),O61/100,1))</f>
        <v>4324.885</v>
      </c>
      <c r="AD61" s="1557"/>
    </row>
    <row r="62" spans="1:30" ht="16.5" customHeight="1">
      <c r="A62" s="27"/>
      <c r="B62" s="1342"/>
      <c r="C62" s="989" t="s">
        <v>425</v>
      </c>
      <c r="D62" s="1635" t="s">
        <v>395</v>
      </c>
      <c r="E62" s="497" t="s">
        <v>396</v>
      </c>
      <c r="F62" s="1820">
        <v>170</v>
      </c>
      <c r="G62" s="1821"/>
      <c r="H62" s="366">
        <f>F62*$F$21</f>
        <v>118.49</v>
      </c>
      <c r="I62" s="1614"/>
      <c r="J62" s="592">
        <v>41169.34652777778</v>
      </c>
      <c r="K62" s="624">
        <v>41170.51736111111</v>
      </c>
      <c r="L62" s="510">
        <f>IF(D62="","",(K62-J62)*24)</f>
        <v>28.09999999991851</v>
      </c>
      <c r="M62" s="511">
        <f>IF(D62="","",ROUND((K62-J62)*24*60,0))</f>
        <v>1686</v>
      </c>
      <c r="N62" s="178" t="s">
        <v>259</v>
      </c>
      <c r="O62" s="274" t="str">
        <f>IF(D62="","","--")</f>
        <v>--</v>
      </c>
      <c r="P62" s="1818" t="str">
        <f>IF(D62="","",IF(OR(N62="P",N62="RP"),"--","NO"))</f>
        <v>--</v>
      </c>
      <c r="Q62" s="1819"/>
      <c r="R62" s="1639">
        <f>IF(OR(N62="P",N62="RP"),20/10,20)</f>
        <v>2</v>
      </c>
      <c r="S62" s="576">
        <f>IF(N62="P",H62*R62*ROUND(M62/60,2),"--")</f>
        <v>6659.138</v>
      </c>
      <c r="T62" s="569" t="str">
        <f>IF(AND(N62="F",P62="NO"),H62*R62,"--")</f>
        <v>--</v>
      </c>
      <c r="U62" s="570" t="str">
        <f>IF(N62="F",H62*R62*ROUND(M62/60,2),"--")</f>
        <v>--</v>
      </c>
      <c r="V62" s="377" t="str">
        <f>IF(AND(N62="R",P62="NO"),H62*R62*O62/100,"--")</f>
        <v>--</v>
      </c>
      <c r="W62" s="378" t="str">
        <f>IF(N62="R",H62*R62*O62/100*ROUND(M62/60,2),"--")</f>
        <v>--</v>
      </c>
      <c r="X62" s="571" t="str">
        <f>IF(N62="RF",H62*R62*ROUND(M62/60,2),"--")</f>
        <v>--</v>
      </c>
      <c r="Y62" s="428" t="str">
        <f>IF(N62="RP",H62*R62*O62/100*ROUND(M62/60,2),"--")</f>
        <v>--</v>
      </c>
      <c r="Z62" s="1614"/>
      <c r="AA62" s="1614"/>
      <c r="AB62" s="180" t="str">
        <f>IF(D62="","","SI")</f>
        <v>SI</v>
      </c>
      <c r="AC62" s="514">
        <f>IF(D62="","",SUM(S62:Y62)*IF(AB62="SI",1,2)*IF(AND(O62&lt;&gt;"--",N62="RF"),O62/100,1))</f>
        <v>6659.138</v>
      </c>
      <c r="AD62" s="1557"/>
    </row>
    <row r="63" spans="2:30" s="27" customFormat="1" ht="16.5" customHeight="1">
      <c r="B63" s="1342"/>
      <c r="C63" s="989" t="s">
        <v>426</v>
      </c>
      <c r="D63" s="573" t="s">
        <v>391</v>
      </c>
      <c r="E63" s="505" t="s">
        <v>397</v>
      </c>
      <c r="F63" s="1820">
        <v>120</v>
      </c>
      <c r="G63" s="1821"/>
      <c r="H63" s="366">
        <f>F63*$F$21</f>
        <v>83.64</v>
      </c>
      <c r="I63" s="1614"/>
      <c r="J63" s="508">
        <v>41171.33194444444</v>
      </c>
      <c r="K63" s="204">
        <v>41172.666666666664</v>
      </c>
      <c r="L63" s="510">
        <f>IF(D63="","",(K63-J63)*24)</f>
        <v>32.03333333332557</v>
      </c>
      <c r="M63" s="511">
        <f>IF(D63="","",ROUND((K63-J63)*24*60,0))</f>
        <v>1922</v>
      </c>
      <c r="N63" s="178" t="s">
        <v>259</v>
      </c>
      <c r="O63" s="274" t="str">
        <f>IF(D63="","","--")</f>
        <v>--</v>
      </c>
      <c r="P63" s="1818" t="str">
        <f>IF(D63="","",IF(OR(N63="P",N63="RP"),"--","NO"))</f>
        <v>--</v>
      </c>
      <c r="Q63" s="1819"/>
      <c r="R63" s="1639">
        <f>IF(OR(N63="P",N63="RP"),20/10,20)</f>
        <v>2</v>
      </c>
      <c r="S63" s="576">
        <f>IF(N63="P",H63*R63*ROUND(M63/60,2),"--")</f>
        <v>5357.9784</v>
      </c>
      <c r="T63" s="569" t="str">
        <f>IF(AND(N63="F",P63="NO"),H63*R63,"--")</f>
        <v>--</v>
      </c>
      <c r="U63" s="570" t="str">
        <f>IF(N63="F",H63*R63*ROUND(M63/60,2),"--")</f>
        <v>--</v>
      </c>
      <c r="V63" s="377" t="str">
        <f>IF(AND(N63="R",P63="NO"),H63*R63*O63/100,"--")</f>
        <v>--</v>
      </c>
      <c r="W63" s="378" t="str">
        <f>IF(N63="R",H63*R63*O63/100*ROUND(M63/60,2),"--")</f>
        <v>--</v>
      </c>
      <c r="X63" s="571" t="str">
        <f>IF(N63="RF",H63*R63*ROUND(M63/60,2),"--")</f>
        <v>--</v>
      </c>
      <c r="Y63" s="428" t="str">
        <f>IF(N63="RP",H63*R63*O63/100*ROUND(M63/60,2),"--")</f>
        <v>--</v>
      </c>
      <c r="Z63" s="1614"/>
      <c r="AA63" s="1614"/>
      <c r="AB63" s="180" t="str">
        <f>IF(D63="","","SI")</f>
        <v>SI</v>
      </c>
      <c r="AC63" s="514">
        <f>IF(D63="","",SUM(S63:Y63)*IF(AB63="SI",1,2)*IF(AND(O63&lt;&gt;"--",N63="RF"),O63/100,1))</f>
        <v>5357.9784</v>
      </c>
      <c r="AD63" s="1557"/>
    </row>
    <row r="64" spans="1:30" ht="16.5" customHeight="1" thickBot="1">
      <c r="A64" s="27"/>
      <c r="B64" s="1342"/>
      <c r="C64" s="1616"/>
      <c r="D64" s="1617"/>
      <c r="E64" s="783"/>
      <c r="F64" s="1844"/>
      <c r="G64" s="1845"/>
      <c r="H64" s="366">
        <f>F64*$F$21</f>
        <v>0</v>
      </c>
      <c r="I64" s="1614"/>
      <c r="J64" s="1618"/>
      <c r="K64" s="1619"/>
      <c r="L64" s="1620">
        <f>IF(D64="","",(K64-J64)*24)</f>
      </c>
      <c r="M64" s="390">
        <f>IF(D64="","",ROUND((K64-J64)*24*60,0))</f>
      </c>
      <c r="N64" s="515"/>
      <c r="O64" s="1621">
        <f>IF(D64="","","--")</f>
      </c>
      <c r="P64" s="1835"/>
      <c r="Q64" s="1837"/>
      <c r="R64" s="1622"/>
      <c r="S64" s="1623"/>
      <c r="T64" s="1624"/>
      <c r="U64" s="1625"/>
      <c r="V64" s="1626"/>
      <c r="W64" s="1627"/>
      <c r="X64" s="1628"/>
      <c r="Y64" s="1629"/>
      <c r="Z64" s="1528"/>
      <c r="AA64" s="1528"/>
      <c r="AB64" s="214"/>
      <c r="AC64" s="1630"/>
      <c r="AD64" s="1557"/>
    </row>
    <row r="65" spans="1:30" ht="16.5" customHeight="1" thickBot="1" thickTop="1">
      <c r="A65" s="27"/>
      <c r="B65" s="1342"/>
      <c r="C65" s="308"/>
      <c r="D65" s="233"/>
      <c r="E65" s="1543"/>
      <c r="F65" s="1543"/>
      <c r="G65" s="1543"/>
      <c r="H65" s="1543"/>
      <c r="I65" s="1543"/>
      <c r="J65" s="1543"/>
      <c r="K65" s="1543"/>
      <c r="L65" s="1543"/>
      <c r="M65" s="1543"/>
      <c r="N65" s="1543"/>
      <c r="O65" s="1543"/>
      <c r="P65" s="1543"/>
      <c r="Q65" s="1543"/>
      <c r="R65" s="1543"/>
      <c r="S65" s="1543"/>
      <c r="T65" s="1543"/>
      <c r="U65" s="1543"/>
      <c r="V65" s="1543"/>
      <c r="W65" s="1543"/>
      <c r="X65" s="1543"/>
      <c r="Y65" s="1543"/>
      <c r="Z65" s="1543"/>
      <c r="AA65" s="1543"/>
      <c r="AB65" s="1543"/>
      <c r="AC65" s="1610">
        <f>SUM(AC59:AC64)</f>
        <v>24062.8098</v>
      </c>
      <c r="AD65" s="1557"/>
    </row>
    <row r="66" spans="1:30" ht="16.5" customHeight="1" thickBot="1" thickTop="1">
      <c r="A66" s="27"/>
      <c r="B66" s="1342"/>
      <c r="C66" s="308"/>
      <c r="D66" s="233"/>
      <c r="E66" s="233"/>
      <c r="F66" s="1532"/>
      <c r="G66" s="1533"/>
      <c r="H66" s="1534"/>
      <c r="I66" s="1535"/>
      <c r="J66" s="1536"/>
      <c r="K66" s="1537"/>
      <c r="L66" s="1538"/>
      <c r="M66" s="1534"/>
      <c r="N66" s="1539"/>
      <c r="O66" s="235"/>
      <c r="P66" s="1540"/>
      <c r="Q66" s="1541"/>
      <c r="R66" s="1542"/>
      <c r="S66" s="1542"/>
      <c r="T66" s="1542"/>
      <c r="U66" s="1543"/>
      <c r="V66" s="1543"/>
      <c r="W66" s="1543"/>
      <c r="X66" s="1543"/>
      <c r="Y66" s="1543"/>
      <c r="Z66" s="1543"/>
      <c r="AA66" s="1543"/>
      <c r="AB66" s="1543"/>
      <c r="AC66" s="1631"/>
      <c r="AD66" s="1557"/>
    </row>
    <row r="67" spans="1:30" ht="16.5" customHeight="1" thickBot="1" thickTop="1">
      <c r="A67" s="27"/>
      <c r="B67" s="1342"/>
      <c r="C67" s="308"/>
      <c r="D67" s="233"/>
      <c r="E67" s="233"/>
      <c r="F67" s="1532"/>
      <c r="G67" s="1533"/>
      <c r="H67" s="1534"/>
      <c r="I67" s="1535"/>
      <c r="J67" s="1356" t="s">
        <v>428</v>
      </c>
      <c r="K67" s="1357">
        <f>+AC50+AC44+AC56+AC65</f>
        <v>116800.94099671536</v>
      </c>
      <c r="L67" s="1538"/>
      <c r="M67" s="1534"/>
      <c r="N67" s="1545"/>
      <c r="O67" s="1546"/>
      <c r="P67" s="1540"/>
      <c r="Q67" s="1541"/>
      <c r="R67" s="1542"/>
      <c r="S67" s="1542"/>
      <c r="T67" s="1542"/>
      <c r="U67" s="1543"/>
      <c r="V67" s="1543"/>
      <c r="W67" s="1543"/>
      <c r="X67" s="1543"/>
      <c r="Y67" s="1543"/>
      <c r="Z67" s="1543"/>
      <c r="AA67" s="1543"/>
      <c r="AB67" s="1543"/>
      <c r="AC67" s="1547"/>
      <c r="AD67" s="1557"/>
    </row>
    <row r="68" spans="2:30" ht="16.5" customHeight="1" thickTop="1">
      <c r="B68" s="1342"/>
      <c r="C68" s="1345"/>
      <c r="D68" s="1548"/>
      <c r="E68" s="1549"/>
      <c r="F68" s="1550"/>
      <c r="G68" s="1551"/>
      <c r="H68" s="1551"/>
      <c r="I68" s="1549"/>
      <c r="J68" s="1552"/>
      <c r="K68" s="1552"/>
      <c r="L68" s="1549"/>
      <c r="M68" s="1549"/>
      <c r="N68" s="1549"/>
      <c r="O68" s="1553"/>
      <c r="P68" s="1549"/>
      <c r="Q68" s="1549"/>
      <c r="R68" s="1554"/>
      <c r="S68" s="1555"/>
      <c r="T68" s="1555"/>
      <c r="U68" s="1556"/>
      <c r="AC68" s="1556"/>
      <c r="AD68" s="1557"/>
    </row>
    <row r="69" spans="2:30" s="27" customFormat="1" ht="16.5" customHeight="1">
      <c r="B69" s="1342"/>
      <c r="C69" s="1558" t="s">
        <v>429</v>
      </c>
      <c r="D69" s="1559" t="s">
        <v>471</v>
      </c>
      <c r="E69" s="1549"/>
      <c r="F69" s="1550"/>
      <c r="G69" s="1551"/>
      <c r="H69" s="1551"/>
      <c r="I69" s="1549"/>
      <c r="J69" s="1552"/>
      <c r="K69" s="1552"/>
      <c r="L69" s="1549"/>
      <c r="M69" s="1549"/>
      <c r="N69" s="1549"/>
      <c r="O69" s="1553"/>
      <c r="P69" s="1549"/>
      <c r="Q69" s="1549"/>
      <c r="R69" s="1554"/>
      <c r="S69" s="1555"/>
      <c r="T69" s="1555"/>
      <c r="U69" s="1556"/>
      <c r="V69" s="9"/>
      <c r="W69" s="9"/>
      <c r="X69" s="9"/>
      <c r="Y69" s="9"/>
      <c r="Z69" s="9"/>
      <c r="AA69" s="9"/>
      <c r="AB69" s="9"/>
      <c r="AC69" s="1556"/>
      <c r="AD69" s="1557"/>
    </row>
    <row r="70" spans="2:30" s="27" customFormat="1" ht="16.5" customHeight="1">
      <c r="B70" s="1342"/>
      <c r="C70" s="1558"/>
      <c r="D70" s="1548"/>
      <c r="E70" s="1549"/>
      <c r="F70" s="1550"/>
      <c r="G70" s="1551"/>
      <c r="H70" s="1551"/>
      <c r="I70" s="1549"/>
      <c r="J70" s="1552"/>
      <c r="K70" s="1552"/>
      <c r="L70" s="1549"/>
      <c r="M70" s="1549"/>
      <c r="N70" s="1549"/>
      <c r="O70" s="1553"/>
      <c r="P70" s="1549"/>
      <c r="Q70" s="1549"/>
      <c r="R70" s="1549"/>
      <c r="S70" s="1554"/>
      <c r="T70" s="1555"/>
      <c r="U70" s="9"/>
      <c r="V70" s="9"/>
      <c r="W70" s="9"/>
      <c r="X70" s="9"/>
      <c r="Y70" s="9"/>
      <c r="Z70" s="9"/>
      <c r="AA70" s="9"/>
      <c r="AB70" s="9"/>
      <c r="AC70" s="9"/>
      <c r="AD70" s="1557"/>
    </row>
    <row r="71" spans="1:30" ht="16.5" customHeight="1">
      <c r="A71" s="27"/>
      <c r="B71" s="1342"/>
      <c r="C71" s="1345"/>
      <c r="D71" s="1560" t="s">
        <v>5</v>
      </c>
      <c r="E71" s="1437" t="s">
        <v>430</v>
      </c>
      <c r="F71" s="1437" t="s">
        <v>431</v>
      </c>
      <c r="G71" s="1561" t="s">
        <v>472</v>
      </c>
      <c r="H71" s="1438"/>
      <c r="I71" s="1437"/>
      <c r="L71" s="1562" t="s">
        <v>473</v>
      </c>
      <c r="Q71" s="1563"/>
      <c r="R71" s="1563"/>
      <c r="S71" s="29"/>
      <c r="X71" s="29"/>
      <c r="Y71" s="29"/>
      <c r="Z71" s="29"/>
      <c r="AA71" s="29"/>
      <c r="AB71" s="29"/>
      <c r="AC71" s="1564" t="s">
        <v>475</v>
      </c>
      <c r="AD71" s="1557"/>
    </row>
    <row r="72" spans="1:30" ht="16.5" customHeight="1">
      <c r="A72" s="27"/>
      <c r="B72" s="1342"/>
      <c r="C72" s="1345"/>
      <c r="D72" s="1437" t="s">
        <v>492</v>
      </c>
      <c r="E72" s="1450">
        <v>386.15</v>
      </c>
      <c r="F72" s="1565">
        <v>500</v>
      </c>
      <c r="G72" s="1822">
        <f>E72*$F$19*$L$20/100</f>
        <v>704584.11816</v>
      </c>
      <c r="H72" s="1823"/>
      <c r="I72" s="1823"/>
      <c r="J72" s="1823"/>
      <c r="L72" s="1567">
        <v>582042</v>
      </c>
      <c r="M72" s="25"/>
      <c r="N72" s="1568" t="s">
        <v>503</v>
      </c>
      <c r="Q72" s="1563"/>
      <c r="R72" s="1563"/>
      <c r="S72" s="29"/>
      <c r="X72" s="29"/>
      <c r="Y72" s="29"/>
      <c r="Z72" s="29"/>
      <c r="AA72" s="29"/>
      <c r="AB72" s="1569"/>
      <c r="AC72" s="1570">
        <f>L72+G72</f>
        <v>1286626.11816</v>
      </c>
      <c r="AD72" s="1557"/>
    </row>
    <row r="73" spans="1:31" s="1594" customFormat="1" ht="18.75">
      <c r="A73" s="27"/>
      <c r="B73" s="1342"/>
      <c r="C73" s="1345"/>
      <c r="D73" s="1571" t="s">
        <v>493</v>
      </c>
      <c r="E73" s="1450">
        <v>280.7</v>
      </c>
      <c r="F73" s="1565">
        <v>500</v>
      </c>
      <c r="G73" s="1822">
        <f>E73*$F$19*$L$20/100</f>
        <v>512175.99887999997</v>
      </c>
      <c r="H73" s="1823"/>
      <c r="I73" s="1824"/>
      <c r="J73" s="1824"/>
      <c r="K73" s="9"/>
      <c r="L73" s="1567">
        <v>497230</v>
      </c>
      <c r="M73" s="25"/>
      <c r="N73" s="1568" t="s">
        <v>503</v>
      </c>
      <c r="O73" s="1573"/>
      <c r="P73" s="9"/>
      <c r="Q73" s="1563"/>
      <c r="R73" s="1563"/>
      <c r="S73" s="29"/>
      <c r="T73" s="9"/>
      <c r="U73" s="9"/>
      <c r="V73" s="9"/>
      <c r="W73" s="9"/>
      <c r="X73" s="29"/>
      <c r="Y73" s="29"/>
      <c r="Z73" s="29"/>
      <c r="AA73" s="29"/>
      <c r="AB73" s="29"/>
      <c r="AC73" s="1570">
        <f>L73+G73</f>
        <v>1009405.99888</v>
      </c>
      <c r="AD73" s="1557"/>
      <c r="AE73" s="9"/>
    </row>
    <row r="74" spans="1:30" ht="16.5" customHeight="1">
      <c r="A74" s="27"/>
      <c r="B74" s="1342"/>
      <c r="C74" s="1345"/>
      <c r="D74" s="27"/>
      <c r="E74" s="1350"/>
      <c r="F74" s="1437"/>
      <c r="G74" s="1438"/>
      <c r="I74" s="1437"/>
      <c r="J74" s="1437"/>
      <c r="L74" s="1570"/>
      <c r="M74" s="1574"/>
      <c r="N74" s="1574"/>
      <c r="O74" s="1563"/>
      <c r="P74" s="1563"/>
      <c r="Q74" s="1563"/>
      <c r="R74" s="1563"/>
      <c r="S74" s="29"/>
      <c r="X74" s="29"/>
      <c r="Y74" s="29"/>
      <c r="Z74" s="29"/>
      <c r="AA74" s="29"/>
      <c r="AB74" s="29"/>
      <c r="AC74" s="1570"/>
      <c r="AD74" s="1557"/>
    </row>
    <row r="75" spans="1:30" ht="16.5" customHeight="1">
      <c r="A75" s="27"/>
      <c r="B75" s="1342"/>
      <c r="C75" s="1345"/>
      <c r="D75" s="1560" t="s">
        <v>453</v>
      </c>
      <c r="E75" s="1437" t="s">
        <v>454</v>
      </c>
      <c r="F75" s="1437" t="s">
        <v>431</v>
      </c>
      <c r="G75" s="1561" t="s">
        <v>477</v>
      </c>
      <c r="I75" s="1575"/>
      <c r="J75" s="1437"/>
      <c r="L75" s="1562" t="s">
        <v>474</v>
      </c>
      <c r="M75" s="1575"/>
      <c r="N75" s="1574"/>
      <c r="O75" s="1563"/>
      <c r="P75" s="1563"/>
      <c r="Q75" s="1563"/>
      <c r="R75" s="1563"/>
      <c r="S75" s="1563"/>
      <c r="AC75" s="1570"/>
      <c r="AD75" s="1557"/>
    </row>
    <row r="76" spans="1:30" ht="15.75">
      <c r="A76" s="27"/>
      <c r="B76" s="1342"/>
      <c r="C76" s="1345"/>
      <c r="D76" s="1437" t="s">
        <v>494</v>
      </c>
      <c r="E76" s="1565">
        <v>300</v>
      </c>
      <c r="F76" s="1565" t="s">
        <v>80</v>
      </c>
      <c r="G76" s="1822">
        <f>E76*F21*L20</f>
        <v>150552</v>
      </c>
      <c r="H76" s="1823"/>
      <c r="I76" s="1823"/>
      <c r="J76" s="1824"/>
      <c r="L76" s="1566">
        <v>0</v>
      </c>
      <c r="M76" s="25"/>
      <c r="N76" s="1568" t="s">
        <v>503</v>
      </c>
      <c r="O76" s="1576"/>
      <c r="P76" s="1576"/>
      <c r="Q76" s="1576"/>
      <c r="R76" s="1576"/>
      <c r="S76" s="1576"/>
      <c r="AC76" s="1577">
        <f>G76</f>
        <v>150552</v>
      </c>
      <c r="AD76" s="1557"/>
    </row>
    <row r="77" spans="1:30" ht="15.75">
      <c r="A77" s="27"/>
      <c r="B77" s="1342"/>
      <c r="C77" s="1345"/>
      <c r="D77" s="1437"/>
      <c r="E77" s="1565"/>
      <c r="F77" s="1565"/>
      <c r="G77" s="1566"/>
      <c r="H77" s="25"/>
      <c r="I77" s="25"/>
      <c r="J77" s="1567"/>
      <c r="L77" s="1567"/>
      <c r="M77" s="25"/>
      <c r="N77" s="1568"/>
      <c r="O77" s="1576"/>
      <c r="P77" s="1576"/>
      <c r="Q77" s="1576"/>
      <c r="R77" s="1576"/>
      <c r="S77" s="1576"/>
      <c r="AC77" s="1577"/>
      <c r="AD77" s="1557"/>
    </row>
    <row r="78" spans="1:30" ht="15.75">
      <c r="A78" s="27"/>
      <c r="B78" s="1342"/>
      <c r="C78" s="1345"/>
      <c r="D78" s="1560" t="s">
        <v>455</v>
      </c>
      <c r="E78" s="1572" t="s">
        <v>488</v>
      </c>
      <c r="F78" s="1572"/>
      <c r="G78" s="1437" t="s">
        <v>431</v>
      </c>
      <c r="I78" s="1575"/>
      <c r="J78" s="1561" t="s">
        <v>500</v>
      </c>
      <c r="L78" s="1562"/>
      <c r="M78" s="1575"/>
      <c r="N78" s="1574"/>
      <c r="O78" s="1563"/>
      <c r="P78" s="1563"/>
      <c r="Q78" s="1563"/>
      <c r="R78" s="1563"/>
      <c r="S78" s="1563"/>
      <c r="AC78" s="1570"/>
      <c r="AD78" s="1557"/>
    </row>
    <row r="79" spans="1:30" ht="15.75">
      <c r="A79" s="27"/>
      <c r="B79" s="1342"/>
      <c r="C79" s="1345"/>
      <c r="D79" s="1437" t="s">
        <v>494</v>
      </c>
      <c r="E79" s="1632" t="s">
        <v>495</v>
      </c>
      <c r="F79" s="1633"/>
      <c r="G79" s="1565">
        <v>132</v>
      </c>
      <c r="H79" s="25"/>
      <c r="I79" s="25"/>
      <c r="J79" s="1566">
        <f>F22*L20</f>
        <v>79612.56</v>
      </c>
      <c r="L79" s="1567"/>
      <c r="M79" s="25"/>
      <c r="N79" s="1568"/>
      <c r="O79" s="1576"/>
      <c r="P79" s="1576"/>
      <c r="Q79" s="1576"/>
      <c r="R79" s="1576"/>
      <c r="S79" s="1576"/>
      <c r="AC79" s="1577">
        <f>J79</f>
        <v>79612.56</v>
      </c>
      <c r="AD79" s="1557"/>
    </row>
    <row r="80" spans="1:30" ht="15.75">
      <c r="A80" s="27"/>
      <c r="B80" s="1342"/>
      <c r="C80" s="1345"/>
      <c r="D80" s="1437" t="s">
        <v>494</v>
      </c>
      <c r="E80" s="1632" t="s">
        <v>496</v>
      </c>
      <c r="F80" s="1633"/>
      <c r="G80" s="1565">
        <v>132</v>
      </c>
      <c r="H80" s="25"/>
      <c r="I80" s="25"/>
      <c r="J80" s="1566">
        <f>F22*L20</f>
        <v>79612.56</v>
      </c>
      <c r="L80" s="1567"/>
      <c r="M80" s="25"/>
      <c r="N80" s="1568"/>
      <c r="O80" s="1576"/>
      <c r="P80" s="1576"/>
      <c r="Q80" s="1576"/>
      <c r="R80" s="1576"/>
      <c r="S80" s="1576"/>
      <c r="AC80" s="1578">
        <f>J80</f>
        <v>79612.56</v>
      </c>
      <c r="AD80" s="1557"/>
    </row>
    <row r="81" spans="1:30" ht="9" customHeight="1" thickBot="1">
      <c r="A81" s="27"/>
      <c r="B81" s="1342"/>
      <c r="C81" s="1345"/>
      <c r="D81" s="1437"/>
      <c r="E81" s="1632"/>
      <c r="F81" s="1633"/>
      <c r="G81" s="1565"/>
      <c r="H81" s="25"/>
      <c r="I81" s="25"/>
      <c r="J81" s="1566"/>
      <c r="L81" s="1567"/>
      <c r="M81" s="25"/>
      <c r="N81" s="1568"/>
      <c r="O81" s="1576"/>
      <c r="P81" s="1576"/>
      <c r="Q81" s="1576"/>
      <c r="R81" s="1576"/>
      <c r="S81" s="1576"/>
      <c r="AC81" s="1577"/>
      <c r="AD81" s="1557"/>
    </row>
    <row r="82" spans="1:30" ht="18.75" customHeight="1" thickBot="1" thickTop="1">
      <c r="A82" s="27"/>
      <c r="B82" s="1342"/>
      <c r="C82" s="1345"/>
      <c r="D82" s="1552"/>
      <c r="E82" s="1350"/>
      <c r="F82" s="1437"/>
      <c r="G82" s="1437"/>
      <c r="H82" s="1438"/>
      <c r="J82" s="1437"/>
      <c r="L82" s="1579"/>
      <c r="M82" s="1574"/>
      <c r="N82" s="1574"/>
      <c r="O82" s="1563"/>
      <c r="P82" s="1563"/>
      <c r="Q82" s="1563"/>
      <c r="R82" s="1563"/>
      <c r="S82" s="1563"/>
      <c r="AB82" s="1634" t="s">
        <v>497</v>
      </c>
      <c r="AC82" s="71">
        <f>SUM(AC72:AC80)</f>
        <v>2605809.23704</v>
      </c>
      <c r="AD82" s="1557"/>
    </row>
    <row r="83" spans="1:30" ht="16.5" thickTop="1">
      <c r="A83" s="27"/>
      <c r="B83" s="1342"/>
      <c r="C83" s="1558" t="s">
        <v>436</v>
      </c>
      <c r="D83" s="1580" t="s">
        <v>437</v>
      </c>
      <c r="E83" s="1437"/>
      <c r="F83" s="1581"/>
      <c r="G83" s="1436"/>
      <c r="H83" s="1552"/>
      <c r="I83" s="1552"/>
      <c r="J83" s="1552"/>
      <c r="K83" s="1437"/>
      <c r="L83" s="1437"/>
      <c r="M83" s="1552"/>
      <c r="N83" s="1437"/>
      <c r="O83" s="1552"/>
      <c r="P83" s="1552"/>
      <c r="Q83" s="1552"/>
      <c r="R83" s="1552"/>
      <c r="S83" s="1552"/>
      <c r="T83" s="1552"/>
      <c r="U83" s="1552"/>
      <c r="AC83" s="1552"/>
      <c r="AD83" s="1557"/>
    </row>
    <row r="84" spans="1:30" ht="16.5" thickBot="1">
      <c r="A84" s="27"/>
      <c r="B84" s="1342"/>
      <c r="C84" s="1345"/>
      <c r="D84" s="1560" t="s">
        <v>438</v>
      </c>
      <c r="E84" s="1582">
        <f>10*K67*K27/AC82</f>
        <v>14652.006075365123</v>
      </c>
      <c r="F84" s="27"/>
      <c r="G84" s="1436"/>
      <c r="H84" s="27"/>
      <c r="I84" s="27"/>
      <c r="J84" s="27"/>
      <c r="K84" s="27"/>
      <c r="L84" s="1437"/>
      <c r="M84" s="27"/>
      <c r="N84" s="1437"/>
      <c r="O84" s="1438"/>
      <c r="P84" s="27"/>
      <c r="Q84" s="27"/>
      <c r="R84" s="27"/>
      <c r="S84" s="27"/>
      <c r="T84" s="27"/>
      <c r="U84" s="27"/>
      <c r="X84" s="27"/>
      <c r="Y84" s="27"/>
      <c r="Z84" s="27"/>
      <c r="AA84" s="27"/>
      <c r="AB84" s="27"/>
      <c r="AC84" s="27"/>
      <c r="AD84" s="1557"/>
    </row>
    <row r="85" spans="1:30" ht="21" thickBot="1" thickTop="1">
      <c r="A85" s="27"/>
      <c r="B85" s="1342"/>
      <c r="C85" s="1345"/>
      <c r="D85" s="27"/>
      <c r="E85" s="1583"/>
      <c r="F85" s="1355"/>
      <c r="G85" s="1436"/>
      <c r="H85" s="27"/>
      <c r="I85" s="27"/>
      <c r="J85" s="1436"/>
      <c r="K85" s="1451"/>
      <c r="L85" s="1437"/>
      <c r="M85" s="1437"/>
      <c r="N85" s="1437"/>
      <c r="O85" s="1438"/>
      <c r="P85" s="1437"/>
      <c r="Q85" s="1437"/>
      <c r="R85" s="1450"/>
      <c r="S85" s="1450"/>
      <c r="T85" s="1450"/>
      <c r="U85" s="1584"/>
      <c r="X85" s="27"/>
      <c r="Y85" s="27"/>
      <c r="Z85" s="27"/>
      <c r="AA85" s="27"/>
      <c r="AB85" s="1634" t="s">
        <v>435</v>
      </c>
      <c r="AC85" s="71">
        <v>1307535.1087599997</v>
      </c>
      <c r="AD85" s="1557"/>
    </row>
    <row r="86" spans="2:30" ht="16.5" thickTop="1">
      <c r="B86" s="1342"/>
      <c r="C86" s="1345"/>
      <c r="D86" s="1586" t="s">
        <v>498</v>
      </c>
      <c r="E86" s="1587"/>
      <c r="F86" s="1355"/>
      <c r="G86" s="1436"/>
      <c r="H86" s="1552"/>
      <c r="I86" s="1552"/>
      <c r="N86" s="1437"/>
      <c r="O86" s="1438"/>
      <c r="P86" s="1437"/>
      <c r="Q86" s="1437"/>
      <c r="R86" s="1575"/>
      <c r="S86" s="1575"/>
      <c r="T86" s="1575"/>
      <c r="U86" s="1574"/>
      <c r="AC86" s="1574"/>
      <c r="AD86" s="1557"/>
    </row>
    <row r="87" spans="2:30" ht="16.5" thickBot="1">
      <c r="B87" s="1342"/>
      <c r="C87" s="1345"/>
      <c r="D87" s="1586"/>
      <c r="E87" s="1587"/>
      <c r="F87" s="1355"/>
      <c r="G87" s="1436"/>
      <c r="H87" s="1552"/>
      <c r="I87" s="1552"/>
      <c r="N87" s="1437"/>
      <c r="O87" s="1438"/>
      <c r="P87" s="1437"/>
      <c r="Q87" s="1437"/>
      <c r="R87" s="1575"/>
      <c r="S87" s="1575"/>
      <c r="T87" s="1575"/>
      <c r="U87" s="1574"/>
      <c r="AC87" s="1574"/>
      <c r="AD87" s="1557"/>
    </row>
    <row r="88" spans="1:31" ht="24" thickBot="1" thickTop="1">
      <c r="A88" s="1594"/>
      <c r="B88" s="1588"/>
      <c r="C88" s="1597"/>
      <c r="D88" s="1843"/>
      <c r="E88" s="1843"/>
      <c r="F88" s="1843"/>
      <c r="G88" s="1593"/>
      <c r="H88" s="1594"/>
      <c r="J88" s="1595" t="s">
        <v>440</v>
      </c>
      <c r="K88" s="1596">
        <f>IF(E84&gt;3*K27,K27*3,E84)</f>
        <v>14652.006075365123</v>
      </c>
      <c r="L88" s="1597"/>
      <c r="M88" s="1598"/>
      <c r="N88" s="1598"/>
      <c r="O88" s="1609" t="s">
        <v>499</v>
      </c>
      <c r="P88" s="1599"/>
      <c r="Q88" s="1599"/>
      <c r="R88" s="1600"/>
      <c r="S88" s="1600"/>
      <c r="T88" s="1600"/>
      <c r="U88" s="1601"/>
      <c r="X88" s="1594"/>
      <c r="Y88" s="1594"/>
      <c r="Z88" s="1594"/>
      <c r="AA88" s="1594"/>
      <c r="AB88" s="1594"/>
      <c r="AC88" s="1601"/>
      <c r="AD88" s="1602"/>
      <c r="AE88" s="1594"/>
    </row>
    <row r="89" spans="2:30" ht="17.25" thickBot="1" thickTop="1">
      <c r="B89" s="75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1606"/>
      <c r="W89" s="1606"/>
      <c r="X89" s="1606"/>
      <c r="Y89" s="1606"/>
      <c r="Z89" s="1606"/>
      <c r="AA89" s="1606"/>
      <c r="AB89" s="1606"/>
      <c r="AC89" s="77"/>
      <c r="AD89" s="1607"/>
    </row>
    <row r="90" spans="2:23" ht="13.5" thickTop="1">
      <c r="B90" s="248"/>
      <c r="C90" s="271"/>
      <c r="W90" s="248"/>
    </row>
  </sheetData>
  <sheetProtection password="CC12"/>
  <mergeCells count="29">
    <mergeCell ref="P47:Q47"/>
    <mergeCell ref="P48:Q48"/>
    <mergeCell ref="P49:Q49"/>
    <mergeCell ref="F54:G54"/>
    <mergeCell ref="O54:Q54"/>
    <mergeCell ref="D88:F88"/>
    <mergeCell ref="F64:G64"/>
    <mergeCell ref="P64:Q64"/>
    <mergeCell ref="P58:Q58"/>
    <mergeCell ref="P59:Q59"/>
    <mergeCell ref="O52:Q52"/>
    <mergeCell ref="O53:Q53"/>
    <mergeCell ref="G72:J72"/>
    <mergeCell ref="G73:J73"/>
    <mergeCell ref="F52:G52"/>
    <mergeCell ref="F63:G63"/>
    <mergeCell ref="F53:G53"/>
    <mergeCell ref="O55:Q55"/>
    <mergeCell ref="P60:Q60"/>
    <mergeCell ref="P63:Q63"/>
    <mergeCell ref="P61:Q61"/>
    <mergeCell ref="P62:Q62"/>
    <mergeCell ref="F61:G61"/>
    <mergeCell ref="F62:G62"/>
    <mergeCell ref="G76:J76"/>
    <mergeCell ref="F55:G55"/>
    <mergeCell ref="F58:G58"/>
    <mergeCell ref="F59:G59"/>
    <mergeCell ref="F60:G60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31" r:id="rId4"/>
  <headerFooter alignWithMargins="0">
    <oddFooter>&amp;L&amp;"Times New Roman,Normal"&amp;8&amp;F-&amp;A</oddFooter>
  </headerFooter>
  <drawing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119"/>
  <sheetViews>
    <sheetView zoomScale="50" zoomScaleNormal="50" zoomScalePageLayoutView="0" workbookViewId="0" topLeftCell="A1">
      <selection activeCell="N51" sqref="N51"/>
    </sheetView>
  </sheetViews>
  <sheetFormatPr defaultColWidth="11.421875" defaultRowHeight="12.75"/>
  <cols>
    <col min="1" max="1" width="18.00390625" style="804" customWidth="1"/>
    <col min="2" max="2" width="10.7109375" style="804" customWidth="1"/>
    <col min="3" max="3" width="10.421875" style="804" customWidth="1"/>
    <col min="4" max="4" width="52.8515625" style="804" customWidth="1"/>
    <col min="5" max="5" width="18.00390625" style="804" bestFit="1" customWidth="1"/>
    <col min="6" max="6" width="15.57421875" style="804" customWidth="1"/>
    <col min="7" max="7" width="7.7109375" style="804" hidden="1" customWidth="1"/>
    <col min="8" max="9" width="8.7109375" style="804" customWidth="1"/>
    <col min="10" max="10" width="9.7109375" style="804" bestFit="1" customWidth="1"/>
    <col min="11" max="20" width="8.7109375" style="804" customWidth="1"/>
    <col min="21" max="21" width="10.7109375" style="804" customWidth="1"/>
    <col min="22" max="16384" width="11.421875" style="804" customWidth="1"/>
  </cols>
  <sheetData>
    <row r="1" spans="21:22" ht="45" customHeight="1">
      <c r="U1" s="805"/>
      <c r="V1" s="806"/>
    </row>
    <row r="2" spans="2:22" s="807" customFormat="1" ht="26.25">
      <c r="B2" s="808" t="str">
        <f>'TOT-0912'!B2</f>
        <v>ANEXO IV al Memorándum  D.T.E.E.  N° 295 / 2014</v>
      </c>
      <c r="C2" s="808"/>
      <c r="D2" s="808"/>
      <c r="E2" s="808"/>
      <c r="F2" s="808"/>
      <c r="G2" s="808"/>
      <c r="H2" s="808"/>
      <c r="I2" s="808"/>
      <c r="J2" s="808"/>
      <c r="K2" s="808"/>
      <c r="L2" s="808"/>
      <c r="M2" s="808"/>
      <c r="N2" s="808"/>
      <c r="O2" s="808"/>
      <c r="P2" s="808"/>
      <c r="Q2" s="808"/>
      <c r="R2" s="808"/>
      <c r="S2" s="808"/>
      <c r="T2" s="808"/>
      <c r="U2" s="808"/>
      <c r="V2" s="809"/>
    </row>
    <row r="3" spans="1:22" s="812" customFormat="1" ht="11.25">
      <c r="A3" s="810" t="s">
        <v>2</v>
      </c>
      <c r="B3" s="811"/>
      <c r="U3" s="813"/>
      <c r="V3" s="813"/>
    </row>
    <row r="4" spans="1:22" s="812" customFormat="1" ht="11.25">
      <c r="A4" s="810" t="s">
        <v>3</v>
      </c>
      <c r="B4" s="811"/>
      <c r="U4" s="811"/>
      <c r="V4" s="813"/>
    </row>
    <row r="5" spans="21:22" ht="9.75" customHeight="1">
      <c r="U5" s="814"/>
      <c r="V5" s="806"/>
    </row>
    <row r="6" spans="2:178" s="815" customFormat="1" ht="23.25">
      <c r="B6" s="816" t="s">
        <v>381</v>
      </c>
      <c r="C6" s="816"/>
      <c r="D6" s="817"/>
      <c r="E6" s="816"/>
      <c r="F6" s="816"/>
      <c r="G6" s="816"/>
      <c r="H6" s="816"/>
      <c r="I6" s="816"/>
      <c r="J6" s="816"/>
      <c r="K6" s="816"/>
      <c r="L6" s="816"/>
      <c r="M6" s="816"/>
      <c r="N6" s="816"/>
      <c r="O6" s="816"/>
      <c r="P6" s="816"/>
      <c r="Q6" s="816"/>
      <c r="R6" s="816"/>
      <c r="S6" s="816"/>
      <c r="T6" s="816"/>
      <c r="U6" s="816"/>
      <c r="V6" s="818"/>
      <c r="W6" s="816"/>
      <c r="X6" s="816"/>
      <c r="Y6" s="816"/>
      <c r="Z6" s="816"/>
      <c r="AA6" s="816"/>
      <c r="AB6" s="816"/>
      <c r="AC6" s="816"/>
      <c r="AD6" s="816"/>
      <c r="AE6" s="816"/>
      <c r="AF6" s="816"/>
      <c r="AG6" s="816"/>
      <c r="AH6" s="816"/>
      <c r="AI6" s="816"/>
      <c r="AJ6" s="816"/>
      <c r="AK6" s="816"/>
      <c r="AL6" s="816"/>
      <c r="AM6" s="816"/>
      <c r="AN6" s="816"/>
      <c r="AO6" s="816"/>
      <c r="AP6" s="816"/>
      <c r="AQ6" s="816"/>
      <c r="AR6" s="816"/>
      <c r="AS6" s="816"/>
      <c r="AT6" s="816"/>
      <c r="AU6" s="816"/>
      <c r="AV6" s="816"/>
      <c r="AW6" s="816"/>
      <c r="AX6" s="816"/>
      <c r="AY6" s="816"/>
      <c r="AZ6" s="816"/>
      <c r="BA6" s="816"/>
      <c r="BB6" s="816"/>
      <c r="BC6" s="816"/>
      <c r="BD6" s="816"/>
      <c r="BE6" s="816"/>
      <c r="BF6" s="816"/>
      <c r="BG6" s="816"/>
      <c r="BH6" s="816"/>
      <c r="BI6" s="816"/>
      <c r="BJ6" s="816"/>
      <c r="BK6" s="816"/>
      <c r="BL6" s="816"/>
      <c r="BM6" s="816"/>
      <c r="BN6" s="816"/>
      <c r="BO6" s="816"/>
      <c r="BP6" s="816"/>
      <c r="BQ6" s="816"/>
      <c r="BR6" s="816"/>
      <c r="BS6" s="816"/>
      <c r="BT6" s="816"/>
      <c r="BU6" s="816"/>
      <c r="BV6" s="816"/>
      <c r="BW6" s="816"/>
      <c r="BX6" s="816"/>
      <c r="BY6" s="816"/>
      <c r="BZ6" s="816"/>
      <c r="CA6" s="816"/>
      <c r="CB6" s="816"/>
      <c r="CC6" s="816"/>
      <c r="CD6" s="816"/>
      <c r="CE6" s="816"/>
      <c r="CF6" s="816"/>
      <c r="CG6" s="816"/>
      <c r="CH6" s="816"/>
      <c r="CI6" s="816"/>
      <c r="CJ6" s="816"/>
      <c r="CK6" s="816"/>
      <c r="CL6" s="816"/>
      <c r="CM6" s="816"/>
      <c r="CN6" s="816"/>
      <c r="CO6" s="816"/>
      <c r="CP6" s="816"/>
      <c r="CQ6" s="816"/>
      <c r="CR6" s="816"/>
      <c r="CS6" s="816"/>
      <c r="CT6" s="816"/>
      <c r="CU6" s="816"/>
      <c r="CV6" s="816"/>
      <c r="CW6" s="816"/>
      <c r="CX6" s="816"/>
      <c r="CY6" s="816"/>
      <c r="CZ6" s="816"/>
      <c r="DA6" s="816"/>
      <c r="DB6" s="816"/>
      <c r="DC6" s="816"/>
      <c r="DD6" s="816"/>
      <c r="DE6" s="816"/>
      <c r="DF6" s="816"/>
      <c r="DG6" s="816"/>
      <c r="DH6" s="816"/>
      <c r="DI6" s="816"/>
      <c r="DJ6" s="816"/>
      <c r="DK6" s="816"/>
      <c r="DL6" s="816"/>
      <c r="DM6" s="816"/>
      <c r="DN6" s="816"/>
      <c r="DO6" s="816"/>
      <c r="DP6" s="816"/>
      <c r="DQ6" s="816"/>
      <c r="DR6" s="816"/>
      <c r="DS6" s="816"/>
      <c r="DT6" s="816"/>
      <c r="DU6" s="816"/>
      <c r="DV6" s="816"/>
      <c r="DW6" s="816"/>
      <c r="DX6" s="816"/>
      <c r="DY6" s="816"/>
      <c r="DZ6" s="816"/>
      <c r="EA6" s="816"/>
      <c r="EB6" s="816"/>
      <c r="EC6" s="816"/>
      <c r="ED6" s="816"/>
      <c r="EE6" s="816"/>
      <c r="EF6" s="816"/>
      <c r="EG6" s="816"/>
      <c r="EH6" s="816"/>
      <c r="EI6" s="816"/>
      <c r="EJ6" s="816"/>
      <c r="EK6" s="816"/>
      <c r="EL6" s="816"/>
      <c r="EM6" s="816"/>
      <c r="EN6" s="816"/>
      <c r="EO6" s="816"/>
      <c r="EP6" s="816"/>
      <c r="EQ6" s="816"/>
      <c r="ER6" s="816"/>
      <c r="ES6" s="816"/>
      <c r="ET6" s="816"/>
      <c r="EU6" s="816"/>
      <c r="EV6" s="816"/>
      <c r="EW6" s="816"/>
      <c r="EX6" s="816"/>
      <c r="EY6" s="816"/>
      <c r="EZ6" s="816"/>
      <c r="FA6" s="816"/>
      <c r="FB6" s="816"/>
      <c r="FC6" s="816"/>
      <c r="FD6" s="816"/>
      <c r="FE6" s="816"/>
      <c r="FF6" s="816"/>
      <c r="FG6" s="816"/>
      <c r="FH6" s="816"/>
      <c r="FI6" s="816"/>
      <c r="FJ6" s="816"/>
      <c r="FK6" s="816"/>
      <c r="FL6" s="816"/>
      <c r="FM6" s="816"/>
      <c r="FN6" s="816"/>
      <c r="FO6" s="816"/>
      <c r="FP6" s="816"/>
      <c r="FQ6" s="816"/>
      <c r="FR6" s="816"/>
      <c r="FS6" s="816"/>
      <c r="FT6" s="816"/>
      <c r="FU6" s="816"/>
      <c r="FV6" s="816"/>
    </row>
    <row r="7" spans="2:178" s="819" customFormat="1" ht="9.75" customHeight="1">
      <c r="B7" s="820"/>
      <c r="C7" s="820"/>
      <c r="D7" s="820"/>
      <c r="E7" s="820"/>
      <c r="F7" s="820"/>
      <c r="G7" s="820"/>
      <c r="H7" s="820"/>
      <c r="I7" s="820"/>
      <c r="J7" s="820"/>
      <c r="K7" s="820"/>
      <c r="L7" s="820"/>
      <c r="M7" s="820"/>
      <c r="N7" s="820"/>
      <c r="O7" s="820"/>
      <c r="P7" s="820"/>
      <c r="Q7" s="820"/>
      <c r="R7" s="820"/>
      <c r="S7" s="820"/>
      <c r="T7" s="820"/>
      <c r="U7" s="821"/>
      <c r="V7" s="821"/>
      <c r="W7" s="820"/>
      <c r="X7" s="820"/>
      <c r="Y7" s="820"/>
      <c r="Z7" s="820"/>
      <c r="AA7" s="820"/>
      <c r="AB7" s="820"/>
      <c r="AC7" s="820"/>
      <c r="AD7" s="820"/>
      <c r="AE7" s="820"/>
      <c r="AF7" s="820"/>
      <c r="AG7" s="820"/>
      <c r="AH7" s="820"/>
      <c r="AI7" s="820"/>
      <c r="AJ7" s="820"/>
      <c r="AK7" s="820"/>
      <c r="AL7" s="820"/>
      <c r="AM7" s="820"/>
      <c r="AN7" s="820"/>
      <c r="AO7" s="820"/>
      <c r="AP7" s="820"/>
      <c r="AQ7" s="820"/>
      <c r="AR7" s="820"/>
      <c r="AS7" s="820"/>
      <c r="AT7" s="820"/>
      <c r="AU7" s="820"/>
      <c r="AV7" s="820"/>
      <c r="AW7" s="820"/>
      <c r="AX7" s="820"/>
      <c r="AY7" s="820"/>
      <c r="AZ7" s="820"/>
      <c r="BA7" s="820"/>
      <c r="BB7" s="820"/>
      <c r="BC7" s="820"/>
      <c r="BD7" s="820"/>
      <c r="BE7" s="820"/>
      <c r="BF7" s="820"/>
      <c r="BG7" s="820"/>
      <c r="BH7" s="820"/>
      <c r="BI7" s="820"/>
      <c r="BJ7" s="820"/>
      <c r="BK7" s="820"/>
      <c r="BL7" s="820"/>
      <c r="BM7" s="820"/>
      <c r="BN7" s="820"/>
      <c r="BO7" s="820"/>
      <c r="BP7" s="820"/>
      <c r="BQ7" s="820"/>
      <c r="BR7" s="820"/>
      <c r="BS7" s="820"/>
      <c r="BT7" s="820"/>
      <c r="BU7" s="820"/>
      <c r="BV7" s="820"/>
      <c r="BW7" s="820"/>
      <c r="BX7" s="820"/>
      <c r="BY7" s="820"/>
      <c r="BZ7" s="820"/>
      <c r="CA7" s="820"/>
      <c r="CB7" s="820"/>
      <c r="CC7" s="820"/>
      <c r="CD7" s="820"/>
      <c r="CE7" s="820"/>
      <c r="CF7" s="820"/>
      <c r="CG7" s="820"/>
      <c r="CH7" s="820"/>
      <c r="CI7" s="820"/>
      <c r="CJ7" s="820"/>
      <c r="CK7" s="820"/>
      <c r="CL7" s="820"/>
      <c r="CM7" s="820"/>
      <c r="CN7" s="820"/>
      <c r="CO7" s="820"/>
      <c r="CP7" s="820"/>
      <c r="CQ7" s="820"/>
      <c r="CR7" s="820"/>
      <c r="CS7" s="820"/>
      <c r="CT7" s="820"/>
      <c r="CU7" s="820"/>
      <c r="CV7" s="820"/>
      <c r="CW7" s="820"/>
      <c r="CX7" s="820"/>
      <c r="CY7" s="820"/>
      <c r="CZ7" s="820"/>
      <c r="DA7" s="820"/>
      <c r="DB7" s="820"/>
      <c r="DC7" s="820"/>
      <c r="DD7" s="820"/>
      <c r="DE7" s="820"/>
      <c r="DF7" s="820"/>
      <c r="DG7" s="820"/>
      <c r="DH7" s="820"/>
      <c r="DI7" s="820"/>
      <c r="DJ7" s="820"/>
      <c r="DK7" s="820"/>
      <c r="DL7" s="820"/>
      <c r="DM7" s="820"/>
      <c r="DN7" s="820"/>
      <c r="DO7" s="820"/>
      <c r="DP7" s="820"/>
      <c r="DQ7" s="820"/>
      <c r="DR7" s="820"/>
      <c r="DS7" s="820"/>
      <c r="DT7" s="820"/>
      <c r="DU7" s="820"/>
      <c r="DV7" s="820"/>
      <c r="DW7" s="820"/>
      <c r="DX7" s="820"/>
      <c r="DY7" s="820"/>
      <c r="DZ7" s="820"/>
      <c r="EA7" s="820"/>
      <c r="EB7" s="820"/>
      <c r="EC7" s="820"/>
      <c r="ED7" s="820"/>
      <c r="EE7" s="820"/>
      <c r="EF7" s="820"/>
      <c r="EG7" s="820"/>
      <c r="EH7" s="820"/>
      <c r="EI7" s="820"/>
      <c r="EJ7" s="820"/>
      <c r="EK7" s="820"/>
      <c r="EL7" s="820"/>
      <c r="EM7" s="820"/>
      <c r="EN7" s="820"/>
      <c r="EO7" s="820"/>
      <c r="EP7" s="820"/>
      <c r="EQ7" s="820"/>
      <c r="ER7" s="820"/>
      <c r="ES7" s="820"/>
      <c r="ET7" s="820"/>
      <c r="EU7" s="820"/>
      <c r="EV7" s="820"/>
      <c r="EW7" s="820"/>
      <c r="EX7" s="820"/>
      <c r="EY7" s="820"/>
      <c r="EZ7" s="820"/>
      <c r="FA7" s="820"/>
      <c r="FB7" s="820"/>
      <c r="FC7" s="820"/>
      <c r="FD7" s="820"/>
      <c r="FE7" s="820"/>
      <c r="FF7" s="820"/>
      <c r="FG7" s="820"/>
      <c r="FH7" s="820"/>
      <c r="FI7" s="820"/>
      <c r="FJ7" s="820"/>
      <c r="FK7" s="820"/>
      <c r="FL7" s="820"/>
      <c r="FM7" s="820"/>
      <c r="FN7" s="820"/>
      <c r="FO7" s="820"/>
      <c r="FP7" s="820"/>
      <c r="FQ7" s="820"/>
      <c r="FR7" s="820"/>
      <c r="FS7" s="820"/>
      <c r="FT7" s="820"/>
      <c r="FU7" s="820"/>
      <c r="FV7" s="820"/>
    </row>
    <row r="8" spans="2:178" s="822" customFormat="1" ht="23.25">
      <c r="B8" s="816" t="s">
        <v>1</v>
      </c>
      <c r="C8" s="817"/>
      <c r="D8" s="817"/>
      <c r="E8" s="817"/>
      <c r="F8" s="817"/>
      <c r="G8" s="817"/>
      <c r="H8" s="817"/>
      <c r="I8" s="817"/>
      <c r="J8" s="817"/>
      <c r="K8" s="817"/>
      <c r="L8" s="817"/>
      <c r="M8" s="817"/>
      <c r="N8" s="817"/>
      <c r="O8" s="817"/>
      <c r="P8" s="817"/>
      <c r="Q8" s="817"/>
      <c r="R8" s="817"/>
      <c r="S8" s="817"/>
      <c r="T8" s="817"/>
      <c r="U8" s="817"/>
      <c r="V8" s="823"/>
      <c r="W8" s="817"/>
      <c r="X8" s="817"/>
      <c r="Y8" s="817"/>
      <c r="Z8" s="817"/>
      <c r="AA8" s="817"/>
      <c r="AB8" s="817"/>
      <c r="AC8" s="817"/>
      <c r="AD8" s="817"/>
      <c r="AE8" s="817"/>
      <c r="AF8" s="817"/>
      <c r="AG8" s="817"/>
      <c r="AH8" s="817"/>
      <c r="AI8" s="817"/>
      <c r="AJ8" s="817"/>
      <c r="AK8" s="817"/>
      <c r="AL8" s="817"/>
      <c r="AM8" s="817"/>
      <c r="AN8" s="817"/>
      <c r="AO8" s="817"/>
      <c r="AP8" s="817"/>
      <c r="AQ8" s="817"/>
      <c r="AR8" s="817"/>
      <c r="AS8" s="817"/>
      <c r="AT8" s="817"/>
      <c r="AU8" s="817"/>
      <c r="AV8" s="817"/>
      <c r="AW8" s="817"/>
      <c r="AX8" s="817"/>
      <c r="AY8" s="817"/>
      <c r="AZ8" s="817"/>
      <c r="BA8" s="817"/>
      <c r="BB8" s="817"/>
      <c r="BC8" s="817"/>
      <c r="BD8" s="817"/>
      <c r="BE8" s="817"/>
      <c r="BF8" s="817"/>
      <c r="BG8" s="817"/>
      <c r="BH8" s="817"/>
      <c r="BI8" s="817"/>
      <c r="BJ8" s="817"/>
      <c r="BK8" s="817"/>
      <c r="BL8" s="817"/>
      <c r="BM8" s="817"/>
      <c r="BN8" s="817"/>
      <c r="BO8" s="817"/>
      <c r="BP8" s="817"/>
      <c r="BQ8" s="817"/>
      <c r="BR8" s="817"/>
      <c r="BS8" s="817"/>
      <c r="BT8" s="817"/>
      <c r="BU8" s="817"/>
      <c r="BV8" s="817"/>
      <c r="BW8" s="817"/>
      <c r="BX8" s="817"/>
      <c r="BY8" s="817"/>
      <c r="BZ8" s="817"/>
      <c r="CA8" s="817"/>
      <c r="CB8" s="817"/>
      <c r="CC8" s="817"/>
      <c r="CD8" s="817"/>
      <c r="CE8" s="817"/>
      <c r="CF8" s="817"/>
      <c r="CG8" s="817"/>
      <c r="CH8" s="817"/>
      <c r="CI8" s="817"/>
      <c r="CJ8" s="817"/>
      <c r="CK8" s="817"/>
      <c r="CL8" s="817"/>
      <c r="CM8" s="817"/>
      <c r="CN8" s="817"/>
      <c r="CO8" s="817"/>
      <c r="CP8" s="817"/>
      <c r="CQ8" s="817"/>
      <c r="CR8" s="817"/>
      <c r="CS8" s="817"/>
      <c r="CT8" s="817"/>
      <c r="CU8" s="817"/>
      <c r="CV8" s="817"/>
      <c r="CW8" s="817"/>
      <c r="CX8" s="817"/>
      <c r="CY8" s="817"/>
      <c r="CZ8" s="817"/>
      <c r="DA8" s="817"/>
      <c r="DB8" s="817"/>
      <c r="DC8" s="817"/>
      <c r="DD8" s="817"/>
      <c r="DE8" s="817"/>
      <c r="DF8" s="817"/>
      <c r="DG8" s="817"/>
      <c r="DH8" s="817"/>
      <c r="DI8" s="817"/>
      <c r="DJ8" s="817"/>
      <c r="DK8" s="817"/>
      <c r="DL8" s="817"/>
      <c r="DM8" s="817"/>
      <c r="DN8" s="817"/>
      <c r="DO8" s="817"/>
      <c r="DP8" s="817"/>
      <c r="DQ8" s="817"/>
      <c r="DR8" s="817"/>
      <c r="DS8" s="817"/>
      <c r="DT8" s="817"/>
      <c r="DU8" s="817"/>
      <c r="DV8" s="817"/>
      <c r="DW8" s="817"/>
      <c r="DX8" s="817"/>
      <c r="DY8" s="817"/>
      <c r="DZ8" s="817"/>
      <c r="EA8" s="817"/>
      <c r="EB8" s="817"/>
      <c r="EC8" s="817"/>
      <c r="ED8" s="817"/>
      <c r="EE8" s="817"/>
      <c r="EF8" s="817"/>
      <c r="EG8" s="817"/>
      <c r="EH8" s="817"/>
      <c r="EI8" s="817"/>
      <c r="EJ8" s="817"/>
      <c r="EK8" s="817"/>
      <c r="EL8" s="817"/>
      <c r="EM8" s="817"/>
      <c r="EN8" s="817"/>
      <c r="EO8" s="817"/>
      <c r="EP8" s="817"/>
      <c r="EQ8" s="817"/>
      <c r="ER8" s="817"/>
      <c r="ES8" s="817"/>
      <c r="ET8" s="817"/>
      <c r="EU8" s="817"/>
      <c r="EV8" s="817"/>
      <c r="EW8" s="817"/>
      <c r="EX8" s="817"/>
      <c r="EY8" s="817"/>
      <c r="EZ8" s="817"/>
      <c r="FA8" s="817"/>
      <c r="FB8" s="817"/>
      <c r="FC8" s="817"/>
      <c r="FD8" s="817"/>
      <c r="FE8" s="817"/>
      <c r="FF8" s="817"/>
      <c r="FG8" s="817"/>
      <c r="FH8" s="817"/>
      <c r="FI8" s="817"/>
      <c r="FJ8" s="817"/>
      <c r="FK8" s="817"/>
      <c r="FL8" s="817"/>
      <c r="FM8" s="817"/>
      <c r="FN8" s="817"/>
      <c r="FO8" s="817"/>
      <c r="FP8" s="817"/>
      <c r="FQ8" s="817"/>
      <c r="FR8" s="817"/>
      <c r="FS8" s="817"/>
      <c r="FT8" s="817"/>
      <c r="FU8" s="817"/>
      <c r="FV8" s="817"/>
    </row>
    <row r="9" spans="2:178" s="819" customFormat="1" ht="9.75" customHeight="1">
      <c r="B9" s="820"/>
      <c r="C9" s="820"/>
      <c r="D9" s="820"/>
      <c r="E9" s="820"/>
      <c r="F9" s="820"/>
      <c r="G9" s="820"/>
      <c r="H9" s="820"/>
      <c r="I9" s="820"/>
      <c r="J9" s="820"/>
      <c r="K9" s="820"/>
      <c r="L9" s="820"/>
      <c r="M9" s="820"/>
      <c r="N9" s="820"/>
      <c r="O9" s="820"/>
      <c r="P9" s="820"/>
      <c r="Q9" s="820"/>
      <c r="R9" s="820"/>
      <c r="S9" s="820"/>
      <c r="T9" s="820"/>
      <c r="U9" s="821"/>
      <c r="V9" s="821"/>
      <c r="W9" s="820"/>
      <c r="X9" s="820"/>
      <c r="Y9" s="820"/>
      <c r="Z9" s="820"/>
      <c r="AA9" s="820"/>
      <c r="AB9" s="820"/>
      <c r="AC9" s="820"/>
      <c r="AD9" s="820"/>
      <c r="AE9" s="820"/>
      <c r="AF9" s="820"/>
      <c r="AG9" s="820"/>
      <c r="AH9" s="820"/>
      <c r="AI9" s="820"/>
      <c r="AJ9" s="820"/>
      <c r="AK9" s="820"/>
      <c r="AL9" s="820"/>
      <c r="AM9" s="820"/>
      <c r="AN9" s="820"/>
      <c r="AO9" s="820"/>
      <c r="AP9" s="820"/>
      <c r="AQ9" s="820"/>
      <c r="AR9" s="820"/>
      <c r="AS9" s="820"/>
      <c r="AT9" s="820"/>
      <c r="AU9" s="820"/>
      <c r="AV9" s="820"/>
      <c r="AW9" s="820"/>
      <c r="AX9" s="820"/>
      <c r="AY9" s="820"/>
      <c r="AZ9" s="820"/>
      <c r="BA9" s="820"/>
      <c r="BB9" s="820"/>
      <c r="BC9" s="820"/>
      <c r="BD9" s="820"/>
      <c r="BE9" s="820"/>
      <c r="BF9" s="820"/>
      <c r="BG9" s="820"/>
      <c r="BH9" s="820"/>
      <c r="BI9" s="820"/>
      <c r="BJ9" s="820"/>
      <c r="BK9" s="820"/>
      <c r="BL9" s="820"/>
      <c r="BM9" s="820"/>
      <c r="BN9" s="820"/>
      <c r="BO9" s="820"/>
      <c r="BP9" s="820"/>
      <c r="BQ9" s="820"/>
      <c r="BR9" s="820"/>
      <c r="BS9" s="820"/>
      <c r="BT9" s="820"/>
      <c r="BU9" s="820"/>
      <c r="BV9" s="820"/>
      <c r="BW9" s="820"/>
      <c r="BX9" s="820"/>
      <c r="BY9" s="820"/>
      <c r="BZ9" s="820"/>
      <c r="CA9" s="820"/>
      <c r="CB9" s="820"/>
      <c r="CC9" s="820"/>
      <c r="CD9" s="820"/>
      <c r="CE9" s="820"/>
      <c r="CF9" s="820"/>
      <c r="CG9" s="820"/>
      <c r="CH9" s="820"/>
      <c r="CI9" s="820"/>
      <c r="CJ9" s="820"/>
      <c r="CK9" s="820"/>
      <c r="CL9" s="820"/>
      <c r="CM9" s="820"/>
      <c r="CN9" s="820"/>
      <c r="CO9" s="820"/>
      <c r="CP9" s="820"/>
      <c r="CQ9" s="820"/>
      <c r="CR9" s="820"/>
      <c r="CS9" s="820"/>
      <c r="CT9" s="820"/>
      <c r="CU9" s="820"/>
      <c r="CV9" s="820"/>
      <c r="CW9" s="820"/>
      <c r="CX9" s="820"/>
      <c r="CY9" s="820"/>
      <c r="CZ9" s="820"/>
      <c r="DA9" s="820"/>
      <c r="DB9" s="820"/>
      <c r="DC9" s="820"/>
      <c r="DD9" s="820"/>
      <c r="DE9" s="820"/>
      <c r="DF9" s="820"/>
      <c r="DG9" s="820"/>
      <c r="DH9" s="820"/>
      <c r="DI9" s="820"/>
      <c r="DJ9" s="820"/>
      <c r="DK9" s="820"/>
      <c r="DL9" s="820"/>
      <c r="DM9" s="820"/>
      <c r="DN9" s="820"/>
      <c r="DO9" s="820"/>
      <c r="DP9" s="820"/>
      <c r="DQ9" s="820"/>
      <c r="DR9" s="820"/>
      <c r="DS9" s="820"/>
      <c r="DT9" s="820"/>
      <c r="DU9" s="820"/>
      <c r="DV9" s="820"/>
      <c r="DW9" s="820"/>
      <c r="DX9" s="820"/>
      <c r="DY9" s="820"/>
      <c r="DZ9" s="820"/>
      <c r="EA9" s="820"/>
      <c r="EB9" s="820"/>
      <c r="EC9" s="820"/>
      <c r="ED9" s="820"/>
      <c r="EE9" s="820"/>
      <c r="EF9" s="820"/>
      <c r="EG9" s="820"/>
      <c r="EH9" s="820"/>
      <c r="EI9" s="820"/>
      <c r="EJ9" s="820"/>
      <c r="EK9" s="820"/>
      <c r="EL9" s="820"/>
      <c r="EM9" s="820"/>
      <c r="EN9" s="820"/>
      <c r="EO9" s="820"/>
      <c r="EP9" s="820"/>
      <c r="EQ9" s="820"/>
      <c r="ER9" s="820"/>
      <c r="ES9" s="820"/>
      <c r="ET9" s="820"/>
      <c r="EU9" s="820"/>
      <c r="EV9" s="820"/>
      <c r="EW9" s="820"/>
      <c r="EX9" s="820"/>
      <c r="EY9" s="820"/>
      <c r="EZ9" s="820"/>
      <c r="FA9" s="820"/>
      <c r="FB9" s="820"/>
      <c r="FC9" s="820"/>
      <c r="FD9" s="820"/>
      <c r="FE9" s="820"/>
      <c r="FF9" s="820"/>
      <c r="FG9" s="820"/>
      <c r="FH9" s="820"/>
      <c r="FI9" s="820"/>
      <c r="FJ9" s="820"/>
      <c r="FK9" s="820"/>
      <c r="FL9" s="820"/>
      <c r="FM9" s="820"/>
      <c r="FN9" s="820"/>
      <c r="FO9" s="820"/>
      <c r="FP9" s="820"/>
      <c r="FQ9" s="820"/>
      <c r="FR9" s="820"/>
      <c r="FS9" s="820"/>
      <c r="FT9" s="820"/>
      <c r="FU9" s="820"/>
      <c r="FV9" s="820"/>
    </row>
    <row r="10" spans="2:178" s="822" customFormat="1" ht="23.25">
      <c r="B10" s="816" t="s">
        <v>382</v>
      </c>
      <c r="C10" s="817"/>
      <c r="D10" s="817"/>
      <c r="E10" s="817"/>
      <c r="F10" s="817"/>
      <c r="G10" s="817"/>
      <c r="H10" s="817"/>
      <c r="I10" s="817"/>
      <c r="J10" s="817"/>
      <c r="K10" s="817"/>
      <c r="L10" s="817"/>
      <c r="M10" s="817"/>
      <c r="N10" s="817"/>
      <c r="O10" s="817"/>
      <c r="P10" s="817"/>
      <c r="Q10" s="817"/>
      <c r="R10" s="817"/>
      <c r="S10" s="817"/>
      <c r="T10" s="817"/>
      <c r="U10" s="817"/>
      <c r="V10" s="823"/>
      <c r="W10" s="817"/>
      <c r="X10" s="817"/>
      <c r="Y10" s="817"/>
      <c r="Z10" s="817"/>
      <c r="AA10" s="817"/>
      <c r="AB10" s="817"/>
      <c r="AC10" s="817"/>
      <c r="AD10" s="817"/>
      <c r="AE10" s="817"/>
      <c r="AF10" s="817"/>
      <c r="AG10" s="817"/>
      <c r="AH10" s="817"/>
      <c r="AI10" s="817"/>
      <c r="AJ10" s="817"/>
      <c r="AK10" s="817"/>
      <c r="AL10" s="817"/>
      <c r="AM10" s="817"/>
      <c r="AN10" s="817"/>
      <c r="AO10" s="817"/>
      <c r="AP10" s="817"/>
      <c r="AQ10" s="817"/>
      <c r="AR10" s="817"/>
      <c r="AS10" s="817"/>
      <c r="AT10" s="817"/>
      <c r="AU10" s="817"/>
      <c r="AV10" s="817"/>
      <c r="AW10" s="817"/>
      <c r="AX10" s="817"/>
      <c r="AY10" s="817"/>
      <c r="AZ10" s="817"/>
      <c r="BA10" s="817"/>
      <c r="BB10" s="817"/>
      <c r="BC10" s="817"/>
      <c r="BD10" s="817"/>
      <c r="BE10" s="817"/>
      <c r="BF10" s="817"/>
      <c r="BG10" s="817"/>
      <c r="BH10" s="817"/>
      <c r="BI10" s="817"/>
      <c r="BJ10" s="817"/>
      <c r="BK10" s="817"/>
      <c r="BL10" s="817"/>
      <c r="BM10" s="817"/>
      <c r="BN10" s="817"/>
      <c r="BO10" s="817"/>
      <c r="BP10" s="817"/>
      <c r="BQ10" s="817"/>
      <c r="BR10" s="817"/>
      <c r="BS10" s="817"/>
      <c r="BT10" s="817"/>
      <c r="BU10" s="817"/>
      <c r="BV10" s="817"/>
      <c r="BW10" s="817"/>
      <c r="BX10" s="817"/>
      <c r="BY10" s="817"/>
      <c r="BZ10" s="817"/>
      <c r="CA10" s="817"/>
      <c r="CB10" s="817"/>
      <c r="CC10" s="817"/>
      <c r="CD10" s="817"/>
      <c r="CE10" s="817"/>
      <c r="CF10" s="817"/>
      <c r="CG10" s="817"/>
      <c r="CH10" s="817"/>
      <c r="CI10" s="817"/>
      <c r="CJ10" s="817"/>
      <c r="CK10" s="817"/>
      <c r="CL10" s="817"/>
      <c r="CM10" s="817"/>
      <c r="CN10" s="817"/>
      <c r="CO10" s="817"/>
      <c r="CP10" s="817"/>
      <c r="CQ10" s="817"/>
      <c r="CR10" s="817"/>
      <c r="CS10" s="817"/>
      <c r="CT10" s="817"/>
      <c r="CU10" s="817"/>
      <c r="CV10" s="817"/>
      <c r="CW10" s="817"/>
      <c r="CX10" s="817"/>
      <c r="CY10" s="817"/>
      <c r="CZ10" s="817"/>
      <c r="DA10" s="817"/>
      <c r="DB10" s="817"/>
      <c r="DC10" s="817"/>
      <c r="DD10" s="817"/>
      <c r="DE10" s="817"/>
      <c r="DF10" s="817"/>
      <c r="DG10" s="817"/>
      <c r="DH10" s="817"/>
      <c r="DI10" s="817"/>
      <c r="DJ10" s="817"/>
      <c r="DK10" s="817"/>
      <c r="DL10" s="817"/>
      <c r="DM10" s="817"/>
      <c r="DN10" s="817"/>
      <c r="DO10" s="817"/>
      <c r="DP10" s="817"/>
      <c r="DQ10" s="817"/>
      <c r="DR10" s="817"/>
      <c r="DS10" s="817"/>
      <c r="DT10" s="817"/>
      <c r="DU10" s="817"/>
      <c r="DV10" s="817"/>
      <c r="DW10" s="817"/>
      <c r="DX10" s="817"/>
      <c r="DY10" s="817"/>
      <c r="DZ10" s="817"/>
      <c r="EA10" s="817"/>
      <c r="EB10" s="817"/>
      <c r="EC10" s="817"/>
      <c r="ED10" s="817"/>
      <c r="EE10" s="817"/>
      <c r="EF10" s="817"/>
      <c r="EG10" s="817"/>
      <c r="EH10" s="817"/>
      <c r="EI10" s="817"/>
      <c r="EJ10" s="817"/>
      <c r="EK10" s="817"/>
      <c r="EL10" s="817"/>
      <c r="EM10" s="817"/>
      <c r="EN10" s="817"/>
      <c r="EO10" s="817"/>
      <c r="EP10" s="817"/>
      <c r="EQ10" s="817"/>
      <c r="ER10" s="817"/>
      <c r="ES10" s="817"/>
      <c r="ET10" s="817"/>
      <c r="EU10" s="817"/>
      <c r="EV10" s="817"/>
      <c r="EW10" s="817"/>
      <c r="EX10" s="817"/>
      <c r="EY10" s="817"/>
      <c r="EZ10" s="817"/>
      <c r="FA10" s="817"/>
      <c r="FB10" s="817"/>
      <c r="FC10" s="817"/>
      <c r="FD10" s="817"/>
      <c r="FE10" s="817"/>
      <c r="FF10" s="817"/>
      <c r="FG10" s="817"/>
      <c r="FH10" s="817"/>
      <c r="FI10" s="817"/>
      <c r="FJ10" s="817"/>
      <c r="FK10" s="817"/>
      <c r="FL10" s="817"/>
      <c r="FM10" s="817"/>
      <c r="FN10" s="817"/>
      <c r="FO10" s="817"/>
      <c r="FP10" s="817"/>
      <c r="FQ10" s="817"/>
      <c r="FR10" s="817"/>
      <c r="FS10" s="817"/>
      <c r="FT10" s="817"/>
      <c r="FU10" s="817"/>
      <c r="FV10" s="817"/>
    </row>
    <row r="11" spans="2:178" s="819" customFormat="1" ht="9.75" customHeight="1" thickBot="1">
      <c r="B11" s="820"/>
      <c r="C11" s="820"/>
      <c r="D11" s="820"/>
      <c r="E11" s="820"/>
      <c r="F11" s="820"/>
      <c r="G11" s="820"/>
      <c r="H11" s="820"/>
      <c r="I11" s="820"/>
      <c r="J11" s="820"/>
      <c r="K11" s="820"/>
      <c r="L11" s="820"/>
      <c r="M11" s="820"/>
      <c r="N11" s="820"/>
      <c r="O11" s="820"/>
      <c r="P11" s="820"/>
      <c r="Q11" s="820"/>
      <c r="R11" s="820"/>
      <c r="S11" s="820"/>
      <c r="T11" s="820"/>
      <c r="U11" s="821"/>
      <c r="V11" s="821"/>
      <c r="W11" s="820"/>
      <c r="X11" s="820"/>
      <c r="Y11" s="820"/>
      <c r="Z11" s="820"/>
      <c r="AA11" s="820"/>
      <c r="AB11" s="820"/>
      <c r="AC11" s="820"/>
      <c r="AD11" s="820"/>
      <c r="AE11" s="820"/>
      <c r="AF11" s="820"/>
      <c r="AG11" s="820"/>
      <c r="AH11" s="820"/>
      <c r="AI11" s="820"/>
      <c r="AJ11" s="820"/>
      <c r="AK11" s="820"/>
      <c r="AL11" s="820"/>
      <c r="AM11" s="820"/>
      <c r="AN11" s="820"/>
      <c r="AO11" s="820"/>
      <c r="AP11" s="820"/>
      <c r="AQ11" s="820"/>
      <c r="AR11" s="820"/>
      <c r="AS11" s="820"/>
      <c r="AT11" s="820"/>
      <c r="AU11" s="820"/>
      <c r="AV11" s="820"/>
      <c r="AW11" s="820"/>
      <c r="AX11" s="820"/>
      <c r="AY11" s="820"/>
      <c r="AZ11" s="820"/>
      <c r="BA11" s="820"/>
      <c r="BB11" s="820"/>
      <c r="BC11" s="820"/>
      <c r="BD11" s="820"/>
      <c r="BE11" s="820"/>
      <c r="BF11" s="820"/>
      <c r="BG11" s="820"/>
      <c r="BH11" s="820"/>
      <c r="BI11" s="820"/>
      <c r="BJ11" s="820"/>
      <c r="BK11" s="820"/>
      <c r="BL11" s="820"/>
      <c r="BM11" s="820"/>
      <c r="BN11" s="820"/>
      <c r="BO11" s="820"/>
      <c r="BP11" s="820"/>
      <c r="BQ11" s="820"/>
      <c r="BR11" s="820"/>
      <c r="BS11" s="820"/>
      <c r="BT11" s="820"/>
      <c r="BU11" s="820"/>
      <c r="BV11" s="820"/>
      <c r="BW11" s="820"/>
      <c r="BX11" s="820"/>
      <c r="BY11" s="820"/>
      <c r="BZ11" s="820"/>
      <c r="CA11" s="820"/>
      <c r="CB11" s="820"/>
      <c r="CC11" s="820"/>
      <c r="CD11" s="820"/>
      <c r="CE11" s="820"/>
      <c r="CF11" s="820"/>
      <c r="CG11" s="820"/>
      <c r="CH11" s="820"/>
      <c r="CI11" s="820"/>
      <c r="CJ11" s="820"/>
      <c r="CK11" s="820"/>
      <c r="CL11" s="820"/>
      <c r="CM11" s="820"/>
      <c r="CN11" s="820"/>
      <c r="CO11" s="820"/>
      <c r="CP11" s="820"/>
      <c r="CQ11" s="820"/>
      <c r="CR11" s="820"/>
      <c r="CS11" s="820"/>
      <c r="CT11" s="820"/>
      <c r="CU11" s="820"/>
      <c r="CV11" s="820"/>
      <c r="CW11" s="820"/>
      <c r="CX11" s="820"/>
      <c r="CY11" s="820"/>
      <c r="CZ11" s="820"/>
      <c r="DA11" s="820"/>
      <c r="DB11" s="820"/>
      <c r="DC11" s="820"/>
      <c r="DD11" s="820"/>
      <c r="DE11" s="820"/>
      <c r="DF11" s="820"/>
      <c r="DG11" s="820"/>
      <c r="DH11" s="820"/>
      <c r="DI11" s="820"/>
      <c r="DJ11" s="820"/>
      <c r="DK11" s="820"/>
      <c r="DL11" s="820"/>
      <c r="DM11" s="820"/>
      <c r="DN11" s="820"/>
      <c r="DO11" s="820"/>
      <c r="DP11" s="820"/>
      <c r="DQ11" s="820"/>
      <c r="DR11" s="820"/>
      <c r="DS11" s="820"/>
      <c r="DT11" s="820"/>
      <c r="DU11" s="820"/>
      <c r="DV11" s="820"/>
      <c r="DW11" s="820"/>
      <c r="DX11" s="820"/>
      <c r="DY11" s="820"/>
      <c r="DZ11" s="820"/>
      <c r="EA11" s="820"/>
      <c r="EB11" s="820"/>
      <c r="EC11" s="820"/>
      <c r="ED11" s="820"/>
      <c r="EE11" s="820"/>
      <c r="EF11" s="820"/>
      <c r="EG11" s="820"/>
      <c r="EH11" s="820"/>
      <c r="EI11" s="820"/>
      <c r="EJ11" s="820"/>
      <c r="EK11" s="820"/>
      <c r="EL11" s="820"/>
      <c r="EM11" s="820"/>
      <c r="EN11" s="820"/>
      <c r="EO11" s="820"/>
      <c r="EP11" s="820"/>
      <c r="EQ11" s="820"/>
      <c r="ER11" s="820"/>
      <c r="ES11" s="820"/>
      <c r="ET11" s="820"/>
      <c r="EU11" s="820"/>
      <c r="EV11" s="820"/>
      <c r="EW11" s="820"/>
      <c r="EX11" s="820"/>
      <c r="EY11" s="820"/>
      <c r="EZ11" s="820"/>
      <c r="FA11" s="820"/>
      <c r="FB11" s="820"/>
      <c r="FC11" s="820"/>
      <c r="FD11" s="820"/>
      <c r="FE11" s="820"/>
      <c r="FF11" s="820"/>
      <c r="FG11" s="820"/>
      <c r="FH11" s="820"/>
      <c r="FI11" s="820"/>
      <c r="FJ11" s="820"/>
      <c r="FK11" s="820"/>
      <c r="FL11" s="820"/>
      <c r="FM11" s="820"/>
      <c r="FN11" s="820"/>
      <c r="FO11" s="820"/>
      <c r="FP11" s="820"/>
      <c r="FQ11" s="820"/>
      <c r="FR11" s="820"/>
      <c r="FS11" s="820"/>
      <c r="FT11" s="820"/>
      <c r="FU11" s="820"/>
      <c r="FV11" s="820"/>
    </row>
    <row r="12" spans="2:177" s="819" customFormat="1" ht="9.75" customHeight="1" thickTop="1">
      <c r="B12" s="824"/>
      <c r="C12" s="825"/>
      <c r="D12" s="825"/>
      <c r="E12" s="825"/>
      <c r="F12" s="825"/>
      <c r="G12" s="825"/>
      <c r="H12" s="825"/>
      <c r="I12" s="825"/>
      <c r="J12" s="825"/>
      <c r="K12" s="825"/>
      <c r="L12" s="825"/>
      <c r="M12" s="825"/>
      <c r="N12" s="825"/>
      <c r="O12" s="825"/>
      <c r="P12" s="825"/>
      <c r="Q12" s="825"/>
      <c r="R12" s="825"/>
      <c r="S12" s="825"/>
      <c r="T12" s="825"/>
      <c r="U12" s="826"/>
      <c r="V12" s="820"/>
      <c r="W12" s="820"/>
      <c r="X12" s="820"/>
      <c r="Y12" s="820"/>
      <c r="Z12" s="820"/>
      <c r="AA12" s="820"/>
      <c r="AB12" s="820"/>
      <c r="AC12" s="820"/>
      <c r="AD12" s="820"/>
      <c r="AE12" s="820"/>
      <c r="AF12" s="820"/>
      <c r="AG12" s="820"/>
      <c r="AH12" s="820"/>
      <c r="AI12" s="820"/>
      <c r="AJ12" s="820"/>
      <c r="AK12" s="820"/>
      <c r="AL12" s="820"/>
      <c r="AM12" s="820"/>
      <c r="AN12" s="820"/>
      <c r="AO12" s="820"/>
      <c r="AP12" s="820"/>
      <c r="AQ12" s="820"/>
      <c r="AR12" s="820"/>
      <c r="AS12" s="820"/>
      <c r="AT12" s="820"/>
      <c r="AU12" s="820"/>
      <c r="AV12" s="820"/>
      <c r="AW12" s="820"/>
      <c r="AX12" s="820"/>
      <c r="AY12" s="820"/>
      <c r="AZ12" s="820"/>
      <c r="BA12" s="820"/>
      <c r="BB12" s="820"/>
      <c r="BC12" s="820"/>
      <c r="BD12" s="820"/>
      <c r="BE12" s="820"/>
      <c r="BF12" s="820"/>
      <c r="BG12" s="820"/>
      <c r="BH12" s="820"/>
      <c r="BI12" s="820"/>
      <c r="BJ12" s="820"/>
      <c r="BK12" s="820"/>
      <c r="BL12" s="820"/>
      <c r="BM12" s="820"/>
      <c r="BN12" s="820"/>
      <c r="BO12" s="820"/>
      <c r="BP12" s="820"/>
      <c r="BQ12" s="820"/>
      <c r="BR12" s="820"/>
      <c r="BS12" s="820"/>
      <c r="BT12" s="820"/>
      <c r="BU12" s="820"/>
      <c r="BV12" s="820"/>
      <c r="BW12" s="820"/>
      <c r="BX12" s="820"/>
      <c r="BY12" s="820"/>
      <c r="BZ12" s="820"/>
      <c r="CA12" s="820"/>
      <c r="CB12" s="820"/>
      <c r="CC12" s="820"/>
      <c r="CD12" s="820"/>
      <c r="CE12" s="820"/>
      <c r="CF12" s="820"/>
      <c r="CG12" s="820"/>
      <c r="CH12" s="820"/>
      <c r="CI12" s="820"/>
      <c r="CJ12" s="820"/>
      <c r="CK12" s="820"/>
      <c r="CL12" s="820"/>
      <c r="CM12" s="820"/>
      <c r="CN12" s="820"/>
      <c r="CO12" s="820"/>
      <c r="CP12" s="820"/>
      <c r="CQ12" s="820"/>
      <c r="CR12" s="820"/>
      <c r="CS12" s="820"/>
      <c r="CT12" s="820"/>
      <c r="CU12" s="820"/>
      <c r="CV12" s="820"/>
      <c r="CW12" s="820"/>
      <c r="CX12" s="820"/>
      <c r="CY12" s="820"/>
      <c r="CZ12" s="820"/>
      <c r="DA12" s="820"/>
      <c r="DB12" s="820"/>
      <c r="DC12" s="820"/>
      <c r="DD12" s="820"/>
      <c r="DE12" s="820"/>
      <c r="DF12" s="820"/>
      <c r="DG12" s="820"/>
      <c r="DH12" s="820"/>
      <c r="DI12" s="820"/>
      <c r="DJ12" s="820"/>
      <c r="DK12" s="820"/>
      <c r="DL12" s="820"/>
      <c r="DM12" s="820"/>
      <c r="DN12" s="820"/>
      <c r="DO12" s="820"/>
      <c r="DP12" s="820"/>
      <c r="DQ12" s="820"/>
      <c r="DR12" s="820"/>
      <c r="DS12" s="820"/>
      <c r="DT12" s="820"/>
      <c r="DU12" s="820"/>
      <c r="DV12" s="820"/>
      <c r="DW12" s="820"/>
      <c r="DX12" s="820"/>
      <c r="DY12" s="820"/>
      <c r="DZ12" s="820"/>
      <c r="EA12" s="820"/>
      <c r="EB12" s="820"/>
      <c r="EC12" s="820"/>
      <c r="ED12" s="820"/>
      <c r="EE12" s="820"/>
      <c r="EF12" s="820"/>
      <c r="EG12" s="820"/>
      <c r="EH12" s="820"/>
      <c r="EI12" s="820"/>
      <c r="EJ12" s="820"/>
      <c r="EK12" s="820"/>
      <c r="EL12" s="820"/>
      <c r="EM12" s="820"/>
      <c r="EN12" s="820"/>
      <c r="EO12" s="820"/>
      <c r="EP12" s="820"/>
      <c r="EQ12" s="820"/>
      <c r="ER12" s="820"/>
      <c r="ES12" s="820"/>
      <c r="ET12" s="820"/>
      <c r="EU12" s="820"/>
      <c r="EV12" s="820"/>
      <c r="EW12" s="820"/>
      <c r="EX12" s="820"/>
      <c r="EY12" s="820"/>
      <c r="EZ12" s="820"/>
      <c r="FA12" s="820"/>
      <c r="FB12" s="820"/>
      <c r="FC12" s="820"/>
      <c r="FD12" s="820"/>
      <c r="FE12" s="820"/>
      <c r="FF12" s="820"/>
      <c r="FG12" s="820"/>
      <c r="FH12" s="820"/>
      <c r="FI12" s="820"/>
      <c r="FJ12" s="820"/>
      <c r="FK12" s="820"/>
      <c r="FL12" s="820"/>
      <c r="FM12" s="820"/>
      <c r="FN12" s="820"/>
      <c r="FO12" s="820"/>
      <c r="FP12" s="820"/>
      <c r="FQ12" s="820"/>
      <c r="FR12" s="820"/>
      <c r="FS12" s="820"/>
      <c r="FT12" s="820"/>
      <c r="FU12" s="820"/>
    </row>
    <row r="13" spans="2:177" s="819" customFormat="1" ht="19.5">
      <c r="B13" s="827" t="s">
        <v>512</v>
      </c>
      <c r="C13" s="828"/>
      <c r="D13" s="828"/>
      <c r="E13" s="828"/>
      <c r="F13" s="828"/>
      <c r="G13" s="828"/>
      <c r="H13" s="828"/>
      <c r="I13" s="828"/>
      <c r="J13" s="828"/>
      <c r="K13" s="828"/>
      <c r="L13" s="828"/>
      <c r="M13" s="828"/>
      <c r="N13" s="828"/>
      <c r="O13" s="828"/>
      <c r="P13" s="828"/>
      <c r="Q13" s="828"/>
      <c r="R13" s="828"/>
      <c r="S13" s="828"/>
      <c r="T13" s="828"/>
      <c r="U13" s="829"/>
      <c r="V13" s="820"/>
      <c r="W13" s="820"/>
      <c r="X13" s="820"/>
      <c r="Y13" s="820"/>
      <c r="Z13" s="820"/>
      <c r="AA13" s="820"/>
      <c r="AB13" s="820"/>
      <c r="AC13" s="820"/>
      <c r="AD13" s="820"/>
      <c r="AE13" s="820"/>
      <c r="AF13" s="820"/>
      <c r="AG13" s="820"/>
      <c r="AH13" s="820"/>
      <c r="AI13" s="820"/>
      <c r="AJ13" s="820"/>
      <c r="AK13" s="820"/>
      <c r="AL13" s="820"/>
      <c r="AM13" s="820"/>
      <c r="AN13" s="820"/>
      <c r="AO13" s="820"/>
      <c r="AP13" s="820"/>
      <c r="AQ13" s="820"/>
      <c r="AR13" s="820"/>
      <c r="AS13" s="820"/>
      <c r="AT13" s="820"/>
      <c r="AU13" s="820"/>
      <c r="AV13" s="820"/>
      <c r="AW13" s="820"/>
      <c r="AX13" s="820"/>
      <c r="AY13" s="820"/>
      <c r="AZ13" s="820"/>
      <c r="BA13" s="820"/>
      <c r="BB13" s="820"/>
      <c r="BC13" s="820"/>
      <c r="BD13" s="820"/>
      <c r="BE13" s="820"/>
      <c r="BF13" s="820"/>
      <c r="BG13" s="820"/>
      <c r="BH13" s="820"/>
      <c r="BI13" s="820"/>
      <c r="BJ13" s="820"/>
      <c r="BK13" s="820"/>
      <c r="BL13" s="820"/>
      <c r="BM13" s="820"/>
      <c r="BN13" s="820"/>
      <c r="BO13" s="820"/>
      <c r="BP13" s="820"/>
      <c r="BQ13" s="820"/>
      <c r="BR13" s="820"/>
      <c r="BS13" s="820"/>
      <c r="BT13" s="820"/>
      <c r="BU13" s="820"/>
      <c r="BV13" s="820"/>
      <c r="BW13" s="820"/>
      <c r="BX13" s="820"/>
      <c r="BY13" s="820"/>
      <c r="BZ13" s="820"/>
      <c r="CA13" s="820"/>
      <c r="CB13" s="820"/>
      <c r="CC13" s="820"/>
      <c r="CD13" s="820"/>
      <c r="CE13" s="820"/>
      <c r="CF13" s="820"/>
      <c r="CG13" s="820"/>
      <c r="CH13" s="820"/>
      <c r="CI13" s="820"/>
      <c r="CJ13" s="820"/>
      <c r="CK13" s="820"/>
      <c r="CL13" s="820"/>
      <c r="CM13" s="820"/>
      <c r="CN13" s="820"/>
      <c r="CO13" s="820"/>
      <c r="CP13" s="820"/>
      <c r="CQ13" s="820"/>
      <c r="CR13" s="820"/>
      <c r="CS13" s="820"/>
      <c r="CT13" s="820"/>
      <c r="CU13" s="820"/>
      <c r="CV13" s="820"/>
      <c r="CW13" s="820"/>
      <c r="CX13" s="820"/>
      <c r="CY13" s="820"/>
      <c r="CZ13" s="820"/>
      <c r="DA13" s="820"/>
      <c r="DB13" s="820"/>
      <c r="DC13" s="820"/>
      <c r="DD13" s="820"/>
      <c r="DE13" s="820"/>
      <c r="DF13" s="820"/>
      <c r="DG13" s="820"/>
      <c r="DH13" s="820"/>
      <c r="DI13" s="820"/>
      <c r="DJ13" s="820"/>
      <c r="DK13" s="820"/>
      <c r="DL13" s="820"/>
      <c r="DM13" s="820"/>
      <c r="DN13" s="820"/>
      <c r="DO13" s="820"/>
      <c r="DP13" s="820"/>
      <c r="DQ13" s="820"/>
      <c r="DR13" s="820"/>
      <c r="DS13" s="820"/>
      <c r="DT13" s="820"/>
      <c r="DU13" s="820"/>
      <c r="DV13" s="820"/>
      <c r="DW13" s="820"/>
      <c r="DX13" s="820"/>
      <c r="DY13" s="820"/>
      <c r="DZ13" s="820"/>
      <c r="EA13" s="820"/>
      <c r="EB13" s="820"/>
      <c r="EC13" s="820"/>
      <c r="ED13" s="820"/>
      <c r="EE13" s="820"/>
      <c r="EF13" s="820"/>
      <c r="EG13" s="820"/>
      <c r="EH13" s="820"/>
      <c r="EI13" s="820"/>
      <c r="EJ13" s="820"/>
      <c r="EK13" s="820"/>
      <c r="EL13" s="820"/>
      <c r="EM13" s="820"/>
      <c r="EN13" s="820"/>
      <c r="EO13" s="820"/>
      <c r="EP13" s="820"/>
      <c r="EQ13" s="820"/>
      <c r="ER13" s="820"/>
      <c r="ES13" s="820"/>
      <c r="ET13" s="820"/>
      <c r="EU13" s="820"/>
      <c r="EV13" s="820"/>
      <c r="EW13" s="820"/>
      <c r="EX13" s="820"/>
      <c r="EY13" s="820"/>
      <c r="EZ13" s="820"/>
      <c r="FA13" s="820"/>
      <c r="FB13" s="820"/>
      <c r="FC13" s="820"/>
      <c r="FD13" s="820"/>
      <c r="FE13" s="820"/>
      <c r="FF13" s="820"/>
      <c r="FG13" s="820"/>
      <c r="FH13" s="820"/>
      <c r="FI13" s="820"/>
      <c r="FJ13" s="820"/>
      <c r="FK13" s="820"/>
      <c r="FL13" s="820"/>
      <c r="FM13" s="820"/>
      <c r="FN13" s="820"/>
      <c r="FO13" s="820"/>
      <c r="FP13" s="820"/>
      <c r="FQ13" s="820"/>
      <c r="FR13" s="820"/>
      <c r="FS13" s="820"/>
      <c r="FT13" s="820"/>
      <c r="FU13" s="820"/>
    </row>
    <row r="14" spans="2:21" s="819" customFormat="1" ht="9.75" customHeight="1" thickBot="1">
      <c r="B14" s="830"/>
      <c r="C14" s="831"/>
      <c r="D14" s="831"/>
      <c r="E14" s="831"/>
      <c r="F14" s="831"/>
      <c r="G14" s="831"/>
      <c r="H14" s="831"/>
      <c r="I14" s="831"/>
      <c r="J14" s="831"/>
      <c r="K14" s="831"/>
      <c r="L14" s="831"/>
      <c r="M14" s="831"/>
      <c r="N14" s="831"/>
      <c r="O14" s="831"/>
      <c r="P14" s="831"/>
      <c r="Q14" s="831"/>
      <c r="R14" s="831"/>
      <c r="S14" s="831"/>
      <c r="T14" s="831"/>
      <c r="U14" s="832"/>
    </row>
    <row r="15" spans="2:21" s="833" customFormat="1" ht="33.75" customHeight="1" thickBot="1" thickTop="1">
      <c r="B15" s="834"/>
      <c r="C15" s="835"/>
      <c r="D15" s="835" t="s">
        <v>5</v>
      </c>
      <c r="E15" s="836" t="s">
        <v>31</v>
      </c>
      <c r="F15" s="836" t="s">
        <v>32</v>
      </c>
      <c r="G15" s="837" t="s">
        <v>383</v>
      </c>
      <c r="H15" s="837">
        <v>40787</v>
      </c>
      <c r="I15" s="837">
        <v>40817</v>
      </c>
      <c r="J15" s="837">
        <v>40848</v>
      </c>
      <c r="K15" s="837">
        <v>40878</v>
      </c>
      <c r="L15" s="837">
        <v>40909</v>
      </c>
      <c r="M15" s="837">
        <v>40940</v>
      </c>
      <c r="N15" s="837">
        <v>40969</v>
      </c>
      <c r="O15" s="837">
        <v>41000</v>
      </c>
      <c r="P15" s="837">
        <v>41030</v>
      </c>
      <c r="Q15" s="837">
        <v>41061</v>
      </c>
      <c r="R15" s="837">
        <v>41091</v>
      </c>
      <c r="S15" s="837">
        <v>41122</v>
      </c>
      <c r="T15" s="837">
        <v>41153</v>
      </c>
      <c r="U15" s="838"/>
    </row>
    <row r="16" spans="2:21" s="839" customFormat="1" ht="9.75" customHeight="1" thickTop="1">
      <c r="B16" s="840"/>
      <c r="C16" s="841"/>
      <c r="D16" s="842"/>
      <c r="E16" s="842"/>
      <c r="F16" s="842"/>
      <c r="G16" s="842"/>
      <c r="H16" s="843"/>
      <c r="I16" s="843"/>
      <c r="J16" s="843"/>
      <c r="K16" s="843"/>
      <c r="L16" s="843"/>
      <c r="M16" s="843"/>
      <c r="N16" s="843"/>
      <c r="O16" s="843"/>
      <c r="P16" s="843"/>
      <c r="Q16" s="843"/>
      <c r="R16" s="843"/>
      <c r="S16" s="843"/>
      <c r="T16" s="844"/>
      <c r="U16" s="845"/>
    </row>
    <row r="17" spans="2:21" s="839" customFormat="1" ht="19.5" customHeight="1">
      <c r="B17" s="840"/>
      <c r="C17" s="846">
        <f>IF('[7]BASE'!C17=0,"",'[7]BASE'!C17)</f>
        <v>1</v>
      </c>
      <c r="D17" s="846" t="str">
        <f>IF('[7]BASE'!D17=0,"",'[7]BASE'!D17)</f>
        <v>ABASTO - OLAVARRIA 1</v>
      </c>
      <c r="E17" s="846">
        <f>IF('[7]BASE'!E17=0,"",'[7]BASE'!E17)</f>
        <v>500</v>
      </c>
      <c r="F17" s="846">
        <f>IF('[7]BASE'!F17=0,"",'[7]BASE'!F17)</f>
        <v>291</v>
      </c>
      <c r="G17" s="846" t="str">
        <f>IF('[6]BASE'!G17=0,"",'[6]BASE'!G17)</f>
        <v>B</v>
      </c>
      <c r="H17" s="847">
        <f>IF('[7]BASE'!HM17=0,"",'[7]BASE'!HM17)</f>
      </c>
      <c r="I17" s="847">
        <f>IF('[7]BASE'!HN17=0,"",'[7]BASE'!HN17)</f>
      </c>
      <c r="J17" s="847">
        <f>IF('[7]BASE'!HO17=0,"",'[7]BASE'!HO17)</f>
      </c>
      <c r="K17" s="847">
        <f>IF('[7]BASE'!HP17=0,"",'[7]BASE'!HP17)</f>
      </c>
      <c r="L17" s="847">
        <f>IF('[7]BASE'!HQ17=0,"",'[7]BASE'!HQ17)</f>
      </c>
      <c r="M17" s="847">
        <f>IF('[7]BASE'!HR17=0,"",'[7]BASE'!HR17)</f>
      </c>
      <c r="N17" s="847">
        <f>IF('[7]BASE'!HS17=0,"",'[7]BASE'!HS17)</f>
      </c>
      <c r="O17" s="847">
        <f>IF('[7]BASE'!HT17=0,"",'[7]BASE'!HT17)</f>
      </c>
      <c r="P17" s="847">
        <f>IF('[7]BASE'!HU17=0,"",'[7]BASE'!HU17)</f>
      </c>
      <c r="Q17" s="847">
        <f>IF('[7]BASE'!HV17=0,"",'[7]BASE'!HV17)</f>
      </c>
      <c r="R17" s="847">
        <f>IF('[7]BASE'!HW17=0,"",'[7]BASE'!HW17)</f>
      </c>
      <c r="S17" s="847">
        <f>IF('[7]BASE'!HX17=0,"",'[7]BASE'!HX17)</f>
      </c>
      <c r="T17" s="848"/>
      <c r="U17" s="845"/>
    </row>
    <row r="18" spans="2:21" s="839" customFormat="1" ht="19.5" customHeight="1">
      <c r="B18" s="840"/>
      <c r="C18" s="846">
        <f>IF('[7]BASE'!C18=0,"",'[7]BASE'!C18)</f>
        <v>2</v>
      </c>
      <c r="D18" s="846" t="str">
        <f>IF('[7]BASE'!D18=0,"",'[7]BASE'!D18)</f>
        <v>ABASTO - OLAVARRIA 2</v>
      </c>
      <c r="E18" s="846">
        <f>IF('[7]BASE'!E18=0,"",'[7]BASE'!E18)</f>
        <v>500</v>
      </c>
      <c r="F18" s="846">
        <f>IF('[7]BASE'!F18=0,"",'[7]BASE'!F18)</f>
        <v>301.9</v>
      </c>
      <c r="G18" s="846" t="e">
        <f>IF('[6]BASE'!G18=0,"",'[6]BASE'!G18)</f>
        <v>#REF!</v>
      </c>
      <c r="H18" s="847">
        <f>IF('[7]BASE'!HM18=0,"",'[7]BASE'!HM18)</f>
      </c>
      <c r="I18" s="847">
        <f>IF('[7]BASE'!HN18=0,"",'[7]BASE'!HN18)</f>
      </c>
      <c r="J18" s="847">
        <f>IF('[7]BASE'!HO18=0,"",'[7]BASE'!HO18)</f>
      </c>
      <c r="K18" s="847">
        <f>IF('[7]BASE'!HP18=0,"",'[7]BASE'!HP18)</f>
      </c>
      <c r="L18" s="847">
        <f>IF('[7]BASE'!HQ18=0,"",'[7]BASE'!HQ18)</f>
        <v>1</v>
      </c>
      <c r="M18" s="847">
        <f>IF('[7]BASE'!HR18=0,"",'[7]BASE'!HR18)</f>
      </c>
      <c r="N18" s="847">
        <f>IF('[7]BASE'!HS18=0,"",'[7]BASE'!HS18)</f>
      </c>
      <c r="O18" s="847">
        <f>IF('[7]BASE'!HT18=0,"",'[7]BASE'!HT18)</f>
      </c>
      <c r="P18" s="847">
        <f>IF('[7]BASE'!HU18=0,"",'[7]BASE'!HU18)</f>
      </c>
      <c r="Q18" s="847">
        <f>IF('[7]BASE'!HV18=0,"",'[7]BASE'!HV18)</f>
      </c>
      <c r="R18" s="847">
        <f>IF('[7]BASE'!HW18=0,"",'[7]BASE'!HW18)</f>
      </c>
      <c r="S18" s="847">
        <f>IF('[7]BASE'!HX18=0,"",'[7]BASE'!HX18)</f>
      </c>
      <c r="T18" s="848"/>
      <c r="U18" s="845"/>
    </row>
    <row r="19" spans="2:21" s="839" customFormat="1" ht="19.5" customHeight="1">
      <c r="B19" s="840"/>
      <c r="C19" s="846">
        <f>IF('[7]BASE'!C19=0,"",'[7]BASE'!C19)</f>
        <v>3</v>
      </c>
      <c r="D19" s="846" t="str">
        <f>IF('[7]BASE'!D19=0,"",'[7]BASE'!D19)</f>
        <v>AGUA DEL CAJON - CHOCON OESTE</v>
      </c>
      <c r="E19" s="846">
        <f>IF('[7]BASE'!E19=0,"",'[7]BASE'!E19)</f>
        <v>500</v>
      </c>
      <c r="F19" s="846">
        <f>IF('[7]BASE'!F19=0,"",'[7]BASE'!F19)</f>
        <v>52</v>
      </c>
      <c r="G19" s="846" t="e">
        <f>IF('[6]BASE'!G19=0,"",'[6]BASE'!G19)</f>
        <v>#REF!</v>
      </c>
      <c r="H19" s="847">
        <f>IF('[7]BASE'!HM19=0,"",'[7]BASE'!HM19)</f>
      </c>
      <c r="I19" s="847">
        <f>IF('[7]BASE'!HN19=0,"",'[7]BASE'!HN19)</f>
      </c>
      <c r="J19" s="847">
        <f>IF('[7]BASE'!HO19=0,"",'[7]BASE'!HO19)</f>
      </c>
      <c r="K19" s="847">
        <f>IF('[7]BASE'!HP19=0,"",'[7]BASE'!HP19)</f>
      </c>
      <c r="L19" s="847">
        <f>IF('[7]BASE'!HQ19=0,"",'[7]BASE'!HQ19)</f>
      </c>
      <c r="M19" s="847">
        <f>IF('[7]BASE'!HR19=0,"",'[7]BASE'!HR19)</f>
      </c>
      <c r="N19" s="847">
        <f>IF('[7]BASE'!HS19=0,"",'[7]BASE'!HS19)</f>
      </c>
      <c r="O19" s="847">
        <f>IF('[7]BASE'!HT19=0,"",'[7]BASE'!HT19)</f>
      </c>
      <c r="P19" s="847">
        <f>IF('[7]BASE'!HU19=0,"",'[7]BASE'!HU19)</f>
      </c>
      <c r="Q19" s="847">
        <f>IF('[7]BASE'!HV19=0,"",'[7]BASE'!HV19)</f>
      </c>
      <c r="R19" s="847">
        <f>IF('[7]BASE'!HW19=0,"",'[7]BASE'!HW19)</f>
      </c>
      <c r="S19" s="847">
        <f>IF('[7]BASE'!HX19=0,"",'[7]BASE'!HX19)</f>
      </c>
      <c r="T19" s="848"/>
      <c r="U19" s="845"/>
    </row>
    <row r="20" spans="2:21" s="839" customFormat="1" ht="19.5" customHeight="1">
      <c r="B20" s="840"/>
      <c r="C20" s="846">
        <f>IF('[7]BASE'!C20=0,"",'[7]BASE'!C20)</f>
        <v>4</v>
      </c>
      <c r="D20" s="846" t="str">
        <f>IF('[7]BASE'!D20=0,"",'[7]BASE'!D20)</f>
        <v>ALICURA - E.T. P.del A. 1 (5LG1)</v>
      </c>
      <c r="E20" s="846">
        <f>IF('[7]BASE'!E20=0,"",'[7]BASE'!E20)</f>
        <v>500</v>
      </c>
      <c r="F20" s="846">
        <f>IF('[7]BASE'!F20=0,"",'[7]BASE'!F20)</f>
        <v>76</v>
      </c>
      <c r="G20" s="846" t="str">
        <f>IF('[6]BASE'!G20=0,"",'[6]BASE'!G20)</f>
        <v>C</v>
      </c>
      <c r="H20" s="847">
        <f>IF('[7]BASE'!HM20=0,"",'[7]BASE'!HM20)</f>
      </c>
      <c r="I20" s="847">
        <f>IF('[7]BASE'!HN20=0,"",'[7]BASE'!HN20)</f>
      </c>
      <c r="J20" s="847">
        <f>IF('[7]BASE'!HO20=0,"",'[7]BASE'!HO20)</f>
      </c>
      <c r="K20" s="847">
        <f>IF('[7]BASE'!HP20=0,"",'[7]BASE'!HP20)</f>
      </c>
      <c r="L20" s="847">
        <f>IF('[7]BASE'!HQ20=0,"",'[7]BASE'!HQ20)</f>
      </c>
      <c r="M20" s="847">
        <f>IF('[7]BASE'!HR20=0,"",'[7]BASE'!HR20)</f>
      </c>
      <c r="N20" s="847">
        <f>IF('[7]BASE'!HS20=0,"",'[7]BASE'!HS20)</f>
      </c>
      <c r="O20" s="847">
        <f>IF('[7]BASE'!HT20=0,"",'[7]BASE'!HT20)</f>
      </c>
      <c r="P20" s="847">
        <f>IF('[7]BASE'!HU20=0,"",'[7]BASE'!HU20)</f>
      </c>
      <c r="Q20" s="847">
        <f>IF('[7]BASE'!HV20=0,"",'[7]BASE'!HV20)</f>
      </c>
      <c r="R20" s="847">
        <f>IF('[7]BASE'!HW20=0,"",'[7]BASE'!HW20)</f>
      </c>
      <c r="S20" s="847">
        <f>IF('[7]BASE'!HX20=0,"",'[7]BASE'!HX20)</f>
      </c>
      <c r="T20" s="848"/>
      <c r="U20" s="845"/>
    </row>
    <row r="21" spans="2:21" s="839" customFormat="1" ht="19.5" customHeight="1">
      <c r="B21" s="840"/>
      <c r="C21" s="846">
        <f>IF('[7]BASE'!C21=0,"",'[7]BASE'!C21)</f>
        <v>5</v>
      </c>
      <c r="D21" s="846" t="str">
        <f>IF('[7]BASE'!D21=0,"",'[7]BASE'!D21)</f>
        <v>ALICURA - E.T. P.del A. 2 (5LG2)</v>
      </c>
      <c r="E21" s="846">
        <f>IF('[7]BASE'!E21=0,"",'[7]BASE'!E21)</f>
        <v>500</v>
      </c>
      <c r="F21" s="846">
        <f>IF('[7]BASE'!F21=0,"",'[7]BASE'!F21)</f>
        <v>76</v>
      </c>
      <c r="G21" s="846" t="str">
        <f>IF('[6]BASE'!G21=0,"",'[6]BASE'!G21)</f>
        <v>C</v>
      </c>
      <c r="H21" s="847">
        <f>IF('[7]BASE'!HM21=0,"",'[7]BASE'!HM21)</f>
      </c>
      <c r="I21" s="847">
        <f>IF('[7]BASE'!HN21=0,"",'[7]BASE'!HN21)</f>
      </c>
      <c r="J21" s="847">
        <f>IF('[7]BASE'!HO21=0,"",'[7]BASE'!HO21)</f>
      </c>
      <c r="K21" s="847">
        <f>IF('[7]BASE'!HP21=0,"",'[7]BASE'!HP21)</f>
      </c>
      <c r="L21" s="847">
        <f>IF('[7]BASE'!HQ21=0,"",'[7]BASE'!HQ21)</f>
      </c>
      <c r="M21" s="847">
        <f>IF('[7]BASE'!HR21=0,"",'[7]BASE'!HR21)</f>
      </c>
      <c r="N21" s="847">
        <f>IF('[7]BASE'!HS21=0,"",'[7]BASE'!HS21)</f>
      </c>
      <c r="O21" s="847">
        <f>IF('[7]BASE'!HT21=0,"",'[7]BASE'!HT21)</f>
      </c>
      <c r="P21" s="847">
        <f>IF('[7]BASE'!HU21=0,"",'[7]BASE'!HU21)</f>
      </c>
      <c r="Q21" s="847">
        <f>IF('[7]BASE'!HV21=0,"",'[7]BASE'!HV21)</f>
      </c>
      <c r="R21" s="847">
        <f>IF('[7]BASE'!HW21=0,"",'[7]BASE'!HW21)</f>
      </c>
      <c r="S21" s="847">
        <f>IF('[7]BASE'!HX21=0,"",'[7]BASE'!HX21)</f>
      </c>
      <c r="T21" s="848"/>
      <c r="U21" s="845"/>
    </row>
    <row r="22" spans="2:21" s="839" customFormat="1" ht="19.5" customHeight="1">
      <c r="B22" s="840"/>
      <c r="C22" s="846">
        <f>IF('[7]BASE'!C22=0,"",'[7]BASE'!C22)</f>
        <v>6</v>
      </c>
      <c r="D22" s="846" t="str">
        <f>IF('[7]BASE'!D22=0,"",'[7]BASE'!D22)</f>
        <v>ALMAFUERTE - EMBALSE </v>
      </c>
      <c r="E22" s="846">
        <f>IF('[7]BASE'!E22=0,"",'[7]BASE'!E22)</f>
        <v>500</v>
      </c>
      <c r="F22" s="846">
        <f>IF('[7]BASE'!F22=0,"",'[7]BASE'!F22)</f>
        <v>12</v>
      </c>
      <c r="G22" s="846" t="str">
        <f>IF('[6]BASE'!G22=0,"",'[6]BASE'!G22)</f>
        <v>A</v>
      </c>
      <c r="H22" s="847">
        <f>IF('[7]BASE'!HM22=0,"",'[7]BASE'!HM22)</f>
      </c>
      <c r="I22" s="847">
        <f>IF('[7]BASE'!HN22=0,"",'[7]BASE'!HN22)</f>
      </c>
      <c r="J22" s="847">
        <f>IF('[7]BASE'!HO22=0,"",'[7]BASE'!HO22)</f>
      </c>
      <c r="K22" s="847">
        <f>IF('[7]BASE'!HP22=0,"",'[7]BASE'!HP22)</f>
      </c>
      <c r="L22" s="847">
        <f>IF('[7]BASE'!HQ22=0,"",'[7]BASE'!HQ22)</f>
      </c>
      <c r="M22" s="847">
        <f>IF('[7]BASE'!HR22=0,"",'[7]BASE'!HR22)</f>
      </c>
      <c r="N22" s="847">
        <f>IF('[7]BASE'!HS22=0,"",'[7]BASE'!HS22)</f>
      </c>
      <c r="O22" s="847">
        <f>IF('[7]BASE'!HT22=0,"",'[7]BASE'!HT22)</f>
      </c>
      <c r="P22" s="847">
        <f>IF('[7]BASE'!HU22=0,"",'[7]BASE'!HU22)</f>
      </c>
      <c r="Q22" s="847">
        <f>IF('[7]BASE'!HV22=0,"",'[7]BASE'!HV22)</f>
      </c>
      <c r="R22" s="847">
        <f>IF('[7]BASE'!HW22=0,"",'[7]BASE'!HW22)</f>
      </c>
      <c r="S22" s="847">
        <f>IF('[7]BASE'!HX22=0,"",'[7]BASE'!HX22)</f>
      </c>
      <c r="T22" s="848"/>
      <c r="U22" s="845"/>
    </row>
    <row r="23" spans="2:21" s="839" customFormat="1" ht="19.5" customHeight="1">
      <c r="B23" s="840"/>
      <c r="C23" s="846">
        <f>IF('[7]BASE'!C23=0,"",'[7]BASE'!C23)</f>
        <v>7</v>
      </c>
      <c r="D23" s="846" t="str">
        <f>IF('[7]BASE'!D23=0,"",'[7]BASE'!D23)</f>
        <v> ALMAFUERTE - ROSARIO OESTE</v>
      </c>
      <c r="E23" s="846">
        <f>IF('[7]BASE'!E23=0,"",'[7]BASE'!E23)</f>
        <v>500</v>
      </c>
      <c r="F23" s="846">
        <f>IF('[7]BASE'!F23=0,"",'[7]BASE'!F23)</f>
        <v>345</v>
      </c>
      <c r="G23" s="846" t="str">
        <f>IF('[6]BASE'!G23=0,"",'[6]BASE'!G23)</f>
        <v>B</v>
      </c>
      <c r="H23" s="847">
        <f>IF('[7]BASE'!HM23=0,"",'[7]BASE'!HM23)</f>
      </c>
      <c r="I23" s="847">
        <f>IF('[7]BASE'!HN23=0,"",'[7]BASE'!HN23)</f>
      </c>
      <c r="J23" s="847">
        <f>IF('[7]BASE'!HO23=0,"",'[7]BASE'!HO23)</f>
      </c>
      <c r="K23" s="847">
        <f>IF('[7]BASE'!HP23=0,"",'[7]BASE'!HP23)</f>
        <v>2</v>
      </c>
      <c r="L23" s="847">
        <f>IF('[7]BASE'!HQ23=0,"",'[7]BASE'!HQ23)</f>
      </c>
      <c r="M23" s="847">
        <f>IF('[7]BASE'!HR23=0,"",'[7]BASE'!HR23)</f>
        <v>4</v>
      </c>
      <c r="N23" s="847">
        <f>IF('[7]BASE'!HS23=0,"",'[7]BASE'!HS23)</f>
      </c>
      <c r="O23" s="847">
        <f>IF('[7]BASE'!HT23=0,"",'[7]BASE'!HT23)</f>
        <v>1</v>
      </c>
      <c r="P23" s="847">
        <f>IF('[7]BASE'!HU23=0,"",'[7]BASE'!HU23)</f>
        <v>1</v>
      </c>
      <c r="Q23" s="847">
        <f>IF('[7]BASE'!HV23=0,"",'[7]BASE'!HV23)</f>
      </c>
      <c r="R23" s="847">
        <f>IF('[7]BASE'!HW23=0,"",'[7]BASE'!HW23)</f>
      </c>
      <c r="S23" s="847">
        <f>IF('[7]BASE'!HX23=0,"",'[7]BASE'!HX23)</f>
        <v>1</v>
      </c>
      <c r="T23" s="848"/>
      <c r="U23" s="845"/>
    </row>
    <row r="24" spans="2:21" s="839" customFormat="1" ht="19.5" customHeight="1">
      <c r="B24" s="840"/>
      <c r="C24" s="846">
        <f>IF('[7]BASE'!C24=0,"",'[7]BASE'!C24)</f>
        <v>8</v>
      </c>
      <c r="D24" s="846" t="str">
        <f>IF('[7]BASE'!D24=0,"",'[7]BASE'!D24)</f>
        <v>BAHIA BLANCA - CHOELE CHOEL 1</v>
      </c>
      <c r="E24" s="846">
        <f>IF('[7]BASE'!E24=0,"",'[7]BASE'!E24)</f>
        <v>500</v>
      </c>
      <c r="F24" s="846">
        <f>IF('[7]BASE'!F24=0,"",'[7]BASE'!F24)</f>
        <v>346</v>
      </c>
      <c r="G24" s="846" t="str">
        <f>IF('[6]BASE'!G24=0,"",'[6]BASE'!G24)</f>
        <v>B</v>
      </c>
      <c r="H24" s="847">
        <f>IF('[7]BASE'!HM24=0,"",'[7]BASE'!HM24)</f>
      </c>
      <c r="I24" s="847">
        <f>IF('[7]BASE'!HN24=0,"",'[7]BASE'!HN24)</f>
      </c>
      <c r="J24" s="847">
        <f>IF('[7]BASE'!HO24=0,"",'[7]BASE'!HO24)</f>
      </c>
      <c r="K24" s="847">
        <f>IF('[7]BASE'!HP24=0,"",'[7]BASE'!HP24)</f>
      </c>
      <c r="L24" s="847">
        <f>IF('[7]BASE'!HQ24=0,"",'[7]BASE'!HQ24)</f>
      </c>
      <c r="M24" s="847">
        <f>IF('[7]BASE'!HR24=0,"",'[7]BASE'!HR24)</f>
      </c>
      <c r="N24" s="847">
        <f>IF('[7]BASE'!HS24=0,"",'[7]BASE'!HS24)</f>
      </c>
      <c r="O24" s="847">
        <f>IF('[7]BASE'!HT24=0,"",'[7]BASE'!HT24)</f>
      </c>
      <c r="P24" s="847">
        <f>IF('[7]BASE'!HU24=0,"",'[7]BASE'!HU24)</f>
      </c>
      <c r="Q24" s="847">
        <f>IF('[7]BASE'!HV24=0,"",'[7]BASE'!HV24)</f>
      </c>
      <c r="R24" s="847">
        <f>IF('[7]BASE'!HW24=0,"",'[7]BASE'!HW24)</f>
      </c>
      <c r="S24" s="847">
        <f>IF('[7]BASE'!HX24=0,"",'[7]BASE'!HX24)</f>
      </c>
      <c r="T24" s="848"/>
      <c r="U24" s="845"/>
    </row>
    <row r="25" spans="2:21" s="839" customFormat="1" ht="19.5" customHeight="1">
      <c r="B25" s="840"/>
      <c r="C25" s="846">
        <f>IF('[7]BASE'!C25=0,"",'[7]BASE'!C25)</f>
        <v>9</v>
      </c>
      <c r="D25" s="846" t="str">
        <f>IF('[7]BASE'!D25=0,"",'[7]BASE'!D25)</f>
        <v>BAHIA BLANCA - CHOELE CHOEL 2</v>
      </c>
      <c r="E25" s="846">
        <f>IF('[7]BASE'!E25=0,"",'[7]BASE'!E25)</f>
        <v>500</v>
      </c>
      <c r="F25" s="846">
        <f>IF('[7]BASE'!F25=0,"",'[7]BASE'!F25)</f>
        <v>348.4</v>
      </c>
      <c r="G25" s="846" t="e">
        <f>IF('[6]BASE'!G25=0,"",'[6]BASE'!G25)</f>
        <v>#REF!</v>
      </c>
      <c r="H25" s="847">
        <f>IF('[7]BASE'!HM25=0,"",'[7]BASE'!HM25)</f>
      </c>
      <c r="I25" s="847">
        <f>IF('[7]BASE'!HN25=0,"",'[7]BASE'!HN25)</f>
      </c>
      <c r="J25" s="847">
        <f>IF('[7]BASE'!HO25=0,"",'[7]BASE'!HO25)</f>
      </c>
      <c r="K25" s="847">
        <f>IF('[7]BASE'!HP25=0,"",'[7]BASE'!HP25)</f>
      </c>
      <c r="L25" s="847">
        <f>IF('[7]BASE'!HQ25=0,"",'[7]BASE'!HQ25)</f>
        <v>2</v>
      </c>
      <c r="M25" s="847">
        <f>IF('[7]BASE'!HR25=0,"",'[7]BASE'!HR25)</f>
      </c>
      <c r="N25" s="847">
        <f>IF('[7]BASE'!HS25=0,"",'[7]BASE'!HS25)</f>
      </c>
      <c r="O25" s="847">
        <f>IF('[7]BASE'!HT25=0,"",'[7]BASE'!HT25)</f>
      </c>
      <c r="P25" s="847">
        <f>IF('[7]BASE'!HU25=0,"",'[7]BASE'!HU25)</f>
      </c>
      <c r="Q25" s="847">
        <f>IF('[7]BASE'!HV25=0,"",'[7]BASE'!HV25)</f>
      </c>
      <c r="R25" s="847">
        <f>IF('[7]BASE'!HW25=0,"",'[7]BASE'!HW25)</f>
      </c>
      <c r="S25" s="847">
        <f>IF('[7]BASE'!HX25=0,"",'[7]BASE'!HX25)</f>
      </c>
      <c r="T25" s="848"/>
      <c r="U25" s="845"/>
    </row>
    <row r="26" spans="2:21" s="839" customFormat="1" ht="19.5" customHeight="1">
      <c r="B26" s="840"/>
      <c r="C26" s="846">
        <f>IF('[7]BASE'!C26=0,"",'[7]BASE'!C26)</f>
        <v>10</v>
      </c>
      <c r="D26" s="846" t="str">
        <f>IF('[7]BASE'!D26=0,"",'[7]BASE'!D26)</f>
        <v>CERR. de la CTA - P.BAND. (A3)</v>
      </c>
      <c r="E26" s="846">
        <f>IF('[7]BASE'!E26=0,"",'[7]BASE'!E26)</f>
        <v>500</v>
      </c>
      <c r="F26" s="846">
        <f>IF('[7]BASE'!F26=0,"",'[7]BASE'!F26)</f>
        <v>27</v>
      </c>
      <c r="G26" s="846" t="str">
        <f>IF('[6]BASE'!G26=0,"",'[6]BASE'!G26)</f>
        <v>C</v>
      </c>
      <c r="H26" s="847">
        <f>IF('[7]BASE'!HM26=0,"",'[7]BASE'!HM26)</f>
      </c>
      <c r="I26" s="847">
        <f>IF('[7]BASE'!HN26=0,"",'[7]BASE'!HN26)</f>
      </c>
      <c r="J26" s="847">
        <f>IF('[7]BASE'!HO26=0,"",'[7]BASE'!HO26)</f>
      </c>
      <c r="K26" s="847">
        <f>IF('[7]BASE'!HP26=0,"",'[7]BASE'!HP26)</f>
      </c>
      <c r="L26" s="847">
        <f>IF('[7]BASE'!HQ26=0,"",'[7]BASE'!HQ26)</f>
      </c>
      <c r="M26" s="847">
        <f>IF('[7]BASE'!HR26=0,"",'[7]BASE'!HR26)</f>
      </c>
      <c r="N26" s="847">
        <f>IF('[7]BASE'!HS26=0,"",'[7]BASE'!HS26)</f>
      </c>
      <c r="O26" s="847">
        <f>IF('[7]BASE'!HT26=0,"",'[7]BASE'!HT26)</f>
      </c>
      <c r="P26" s="847">
        <f>IF('[7]BASE'!HU26=0,"",'[7]BASE'!HU26)</f>
      </c>
      <c r="Q26" s="847">
        <f>IF('[7]BASE'!HV26=0,"",'[7]BASE'!HV26)</f>
      </c>
      <c r="R26" s="847">
        <f>IF('[7]BASE'!HW26=0,"",'[7]BASE'!HW26)</f>
      </c>
      <c r="S26" s="847">
        <f>IF('[7]BASE'!HX26=0,"",'[7]BASE'!HX26)</f>
      </c>
      <c r="T26" s="848"/>
      <c r="U26" s="845"/>
    </row>
    <row r="27" spans="2:21" s="839" customFormat="1" ht="19.5" customHeight="1">
      <c r="B27" s="840"/>
      <c r="C27" s="846">
        <f>IF('[7]BASE'!C27=0,"",'[7]BASE'!C27)</f>
        <v>11</v>
      </c>
      <c r="D27" s="846" t="str">
        <f>IF('[7]BASE'!D27=0,"",'[7]BASE'!D27)</f>
        <v>COLONIA ELIA - CAMPANA</v>
      </c>
      <c r="E27" s="846">
        <f>IF('[7]BASE'!E27=0,"",'[7]BASE'!E27)</f>
        <v>500</v>
      </c>
      <c r="F27" s="846">
        <f>IF('[7]BASE'!F27=0,"",'[7]BASE'!F27)</f>
        <v>194</v>
      </c>
      <c r="G27" s="846" t="str">
        <f>IF('[6]BASE'!G27=0,"",'[6]BASE'!G27)</f>
        <v>C</v>
      </c>
      <c r="H27" s="847">
        <f>IF('[7]BASE'!HM27=0,"",'[7]BASE'!HM27)</f>
      </c>
      <c r="I27" s="847">
        <f>IF('[7]BASE'!HN27=0,"",'[7]BASE'!HN27)</f>
      </c>
      <c r="J27" s="847">
        <f>IF('[7]BASE'!HO27=0,"",'[7]BASE'!HO27)</f>
      </c>
      <c r="K27" s="847">
        <f>IF('[7]BASE'!HP27=0,"",'[7]BASE'!HP27)</f>
        <v>1</v>
      </c>
      <c r="L27" s="847">
        <f>IF('[7]BASE'!HQ27=0,"",'[7]BASE'!HQ27)</f>
      </c>
      <c r="M27" s="847">
        <f>IF('[7]BASE'!HR27=0,"",'[7]BASE'!HR27)</f>
      </c>
      <c r="N27" s="847">
        <f>IF('[7]BASE'!HS27=0,"",'[7]BASE'!HS27)</f>
      </c>
      <c r="O27" s="847">
        <f>IF('[7]BASE'!HT27=0,"",'[7]BASE'!HT27)</f>
      </c>
      <c r="P27" s="847">
        <f>IF('[7]BASE'!HU27=0,"",'[7]BASE'!HU27)</f>
      </c>
      <c r="Q27" s="847">
        <f>IF('[7]BASE'!HV27=0,"",'[7]BASE'!HV27)</f>
      </c>
      <c r="R27" s="847">
        <f>IF('[7]BASE'!HW27=0,"",'[7]BASE'!HW27)</f>
      </c>
      <c r="S27" s="847">
        <f>IF('[7]BASE'!HX27=0,"",'[7]BASE'!HX27)</f>
      </c>
      <c r="T27" s="848"/>
      <c r="U27" s="845"/>
    </row>
    <row r="28" spans="2:21" s="839" customFormat="1" ht="19.5" customHeight="1">
      <c r="B28" s="840"/>
      <c r="C28" s="846">
        <f>IF('[7]BASE'!C28=0,"",'[7]BASE'!C28)</f>
        <v>12</v>
      </c>
      <c r="D28" s="846" t="str">
        <f>IF('[7]BASE'!D28=0,"",'[7]BASE'!D28)</f>
        <v>CHO. W. - CHOELE CHOEL (5WH1)</v>
      </c>
      <c r="E28" s="846">
        <f>IF('[7]BASE'!E28=0,"",'[7]BASE'!E28)</f>
        <v>500</v>
      </c>
      <c r="F28" s="846">
        <f>IF('[7]BASE'!F28=0,"",'[7]BASE'!F28)</f>
        <v>269</v>
      </c>
      <c r="G28" s="846" t="str">
        <f>IF('[6]BASE'!G28=0,"",'[6]BASE'!G28)</f>
        <v>B</v>
      </c>
      <c r="H28" s="847">
        <f>IF('[7]BASE'!HM28=0,"",'[7]BASE'!HM28)</f>
      </c>
      <c r="I28" s="847">
        <f>IF('[7]BASE'!HN28=0,"",'[7]BASE'!HN28)</f>
      </c>
      <c r="J28" s="847">
        <f>IF('[7]BASE'!HO28=0,"",'[7]BASE'!HO28)</f>
      </c>
      <c r="K28" s="847">
        <f>IF('[7]BASE'!HP28=0,"",'[7]BASE'!HP28)</f>
      </c>
      <c r="L28" s="847">
        <f>IF('[7]BASE'!HQ28=0,"",'[7]BASE'!HQ28)</f>
      </c>
      <c r="M28" s="847">
        <f>IF('[7]BASE'!HR28=0,"",'[7]BASE'!HR28)</f>
      </c>
      <c r="N28" s="847">
        <f>IF('[7]BASE'!HS28=0,"",'[7]BASE'!HS28)</f>
      </c>
      <c r="O28" s="847">
        <f>IF('[7]BASE'!HT28=0,"",'[7]BASE'!HT28)</f>
      </c>
      <c r="P28" s="847">
        <f>IF('[7]BASE'!HU28=0,"",'[7]BASE'!HU28)</f>
      </c>
      <c r="Q28" s="847">
        <f>IF('[7]BASE'!HV28=0,"",'[7]BASE'!HV28)</f>
      </c>
      <c r="R28" s="847">
        <f>IF('[7]BASE'!HW28=0,"",'[7]BASE'!HW28)</f>
      </c>
      <c r="S28" s="847">
        <f>IF('[7]BASE'!HX28=0,"",'[7]BASE'!HX28)</f>
      </c>
      <c r="T28" s="848"/>
      <c r="U28" s="845"/>
    </row>
    <row r="29" spans="2:21" s="839" customFormat="1" ht="19.5" customHeight="1">
      <c r="B29" s="840"/>
      <c r="C29" s="846">
        <f>IF('[7]BASE'!C29=0,"",'[7]BASE'!C29)</f>
        <v>13</v>
      </c>
      <c r="D29" s="846" t="str">
        <f>IF('[7]BASE'!D29=0,"",'[7]BASE'!D29)</f>
        <v>CHO.W. - CHO. 1 (5WC1)</v>
      </c>
      <c r="E29" s="846">
        <f>IF('[7]BASE'!E29=0,"",'[7]BASE'!E29)</f>
        <v>500</v>
      </c>
      <c r="F29" s="846">
        <f>IF('[7]BASE'!F29=0,"",'[7]BASE'!F29)</f>
        <v>4.5</v>
      </c>
      <c r="G29" s="846" t="str">
        <f>IF('[6]BASE'!G29=0,"",'[6]BASE'!G29)</f>
        <v>C</v>
      </c>
      <c r="H29" s="847">
        <f>IF('[7]BASE'!HM29=0,"",'[7]BASE'!HM29)</f>
      </c>
      <c r="I29" s="847">
        <f>IF('[7]BASE'!HN29=0,"",'[7]BASE'!HN29)</f>
      </c>
      <c r="J29" s="847">
        <f>IF('[7]BASE'!HO29=0,"",'[7]BASE'!HO29)</f>
      </c>
      <c r="K29" s="847">
        <f>IF('[7]BASE'!HP29=0,"",'[7]BASE'!HP29)</f>
      </c>
      <c r="L29" s="847">
        <f>IF('[7]BASE'!HQ29=0,"",'[7]BASE'!HQ29)</f>
      </c>
      <c r="M29" s="847">
        <f>IF('[7]BASE'!HR29=0,"",'[7]BASE'!HR29)</f>
      </c>
      <c r="N29" s="847">
        <f>IF('[7]BASE'!HS29=0,"",'[7]BASE'!HS29)</f>
      </c>
      <c r="O29" s="847">
        <f>IF('[7]BASE'!HT29=0,"",'[7]BASE'!HT29)</f>
      </c>
      <c r="P29" s="847">
        <f>IF('[7]BASE'!HU29=0,"",'[7]BASE'!HU29)</f>
      </c>
      <c r="Q29" s="847">
        <f>IF('[7]BASE'!HV29=0,"",'[7]BASE'!HV29)</f>
      </c>
      <c r="R29" s="847">
        <f>IF('[7]BASE'!HW29=0,"",'[7]BASE'!HW29)</f>
      </c>
      <c r="S29" s="847">
        <f>IF('[7]BASE'!HX29=0,"",'[7]BASE'!HX29)</f>
      </c>
      <c r="T29" s="848"/>
      <c r="U29" s="845"/>
    </row>
    <row r="30" spans="2:21" s="839" customFormat="1" ht="19.5" customHeight="1">
      <c r="B30" s="840"/>
      <c r="C30" s="846">
        <f>IF('[7]BASE'!C30=0,"",'[7]BASE'!C30)</f>
        <v>14</v>
      </c>
      <c r="D30" s="846" t="str">
        <f>IF('[7]BASE'!D30=0,"",'[7]BASE'!D30)</f>
        <v>CHO.W. - CHO. 2 (5WC2)</v>
      </c>
      <c r="E30" s="846">
        <f>IF('[7]BASE'!E30=0,"",'[7]BASE'!E30)</f>
        <v>500</v>
      </c>
      <c r="F30" s="846">
        <f>IF('[7]BASE'!F30=0,"",'[7]BASE'!F30)</f>
        <v>4.5</v>
      </c>
      <c r="G30" s="846" t="str">
        <f>IF('[6]BASE'!G30=0,"",'[6]BASE'!G30)</f>
        <v>C</v>
      </c>
      <c r="H30" s="847">
        <f>IF('[7]BASE'!HM30=0,"",'[7]BASE'!HM30)</f>
      </c>
      <c r="I30" s="847">
        <f>IF('[7]BASE'!HN30=0,"",'[7]BASE'!HN30)</f>
      </c>
      <c r="J30" s="847">
        <f>IF('[7]BASE'!HO30=0,"",'[7]BASE'!HO30)</f>
      </c>
      <c r="K30" s="847">
        <f>IF('[7]BASE'!HP30=0,"",'[7]BASE'!HP30)</f>
      </c>
      <c r="L30" s="847">
        <f>IF('[7]BASE'!HQ30=0,"",'[7]BASE'!HQ30)</f>
      </c>
      <c r="M30" s="847">
        <f>IF('[7]BASE'!HR30=0,"",'[7]BASE'!HR30)</f>
      </c>
      <c r="N30" s="847">
        <f>IF('[7]BASE'!HS30=0,"",'[7]BASE'!HS30)</f>
      </c>
      <c r="O30" s="847">
        <f>IF('[7]BASE'!HT30=0,"",'[7]BASE'!HT30)</f>
      </c>
      <c r="P30" s="847">
        <f>IF('[7]BASE'!HU30=0,"",'[7]BASE'!HU30)</f>
      </c>
      <c r="Q30" s="847">
        <f>IF('[7]BASE'!HV30=0,"",'[7]BASE'!HV30)</f>
      </c>
      <c r="R30" s="847">
        <f>IF('[7]BASE'!HW30=0,"",'[7]BASE'!HW30)</f>
      </c>
      <c r="S30" s="847">
        <f>IF('[7]BASE'!HX30=0,"",'[7]BASE'!HX30)</f>
      </c>
      <c r="T30" s="848"/>
      <c r="U30" s="845"/>
    </row>
    <row r="31" spans="2:21" s="839" customFormat="1" ht="19.5" customHeight="1">
      <c r="B31" s="840"/>
      <c r="C31" s="846">
        <f>IF('[7]BASE'!C31=0,"",'[7]BASE'!C31)</f>
        <v>15</v>
      </c>
      <c r="D31" s="846" t="str">
        <f>IF('[7]BASE'!D31=0,"",'[7]BASE'!D31)</f>
        <v>CHOCON - C.H. CHOCON 1</v>
      </c>
      <c r="E31" s="846">
        <f>IF('[7]BASE'!E31=0,"",'[7]BASE'!E31)</f>
        <v>500</v>
      </c>
      <c r="F31" s="846">
        <f>IF('[7]BASE'!F31=0,"",'[7]BASE'!F31)</f>
        <v>3</v>
      </c>
      <c r="G31" s="846" t="str">
        <f>IF('[6]BASE'!G31=0,"",'[6]BASE'!G31)</f>
        <v>C</v>
      </c>
      <c r="H31" s="847">
        <f>IF('[7]BASE'!HM31=0,"",'[7]BASE'!HM31)</f>
      </c>
      <c r="I31" s="847">
        <f>IF('[7]BASE'!HN31=0,"",'[7]BASE'!HN31)</f>
      </c>
      <c r="J31" s="847">
        <f>IF('[7]BASE'!HO31=0,"",'[7]BASE'!HO31)</f>
      </c>
      <c r="K31" s="847">
        <f>IF('[7]BASE'!HP31=0,"",'[7]BASE'!HP31)</f>
      </c>
      <c r="L31" s="847">
        <f>IF('[7]BASE'!HQ31=0,"",'[7]BASE'!HQ31)</f>
      </c>
      <c r="M31" s="847">
        <f>IF('[7]BASE'!HR31=0,"",'[7]BASE'!HR31)</f>
      </c>
      <c r="N31" s="847">
        <f>IF('[7]BASE'!HS31=0,"",'[7]BASE'!HS31)</f>
      </c>
      <c r="O31" s="847">
        <f>IF('[7]BASE'!HT31=0,"",'[7]BASE'!HT31)</f>
      </c>
      <c r="P31" s="847">
        <f>IF('[7]BASE'!HU31=0,"",'[7]BASE'!HU31)</f>
      </c>
      <c r="Q31" s="847">
        <f>IF('[7]BASE'!HV31=0,"",'[7]BASE'!HV31)</f>
      </c>
      <c r="R31" s="847">
        <f>IF('[7]BASE'!HW31=0,"",'[7]BASE'!HW31)</f>
      </c>
      <c r="S31" s="847">
        <f>IF('[7]BASE'!HX31=0,"",'[7]BASE'!HX31)</f>
      </c>
      <c r="T31" s="848"/>
      <c r="U31" s="845"/>
    </row>
    <row r="32" spans="2:21" s="839" customFormat="1" ht="19.5" customHeight="1">
      <c r="B32" s="840"/>
      <c r="C32" s="846">
        <f>IF('[7]BASE'!C32=0,"",'[7]BASE'!C32)</f>
        <v>16</v>
      </c>
      <c r="D32" s="846" t="str">
        <f>IF('[7]BASE'!D32=0,"",'[7]BASE'!D32)</f>
        <v>CHOCON - C.H. CHOCON 2</v>
      </c>
      <c r="E32" s="846">
        <f>IF('[7]BASE'!E32=0,"",'[7]BASE'!E32)</f>
        <v>500</v>
      </c>
      <c r="F32" s="846">
        <f>IF('[7]BASE'!F32=0,"",'[7]BASE'!F32)</f>
        <v>3</v>
      </c>
      <c r="G32" s="846" t="str">
        <f>IF('[6]BASE'!G32=0,"",'[6]BASE'!G32)</f>
        <v>C</v>
      </c>
      <c r="H32" s="847">
        <f>IF('[7]BASE'!HM32=0,"",'[7]BASE'!HM32)</f>
      </c>
      <c r="I32" s="847">
        <f>IF('[7]BASE'!HN32=0,"",'[7]BASE'!HN32)</f>
      </c>
      <c r="J32" s="847">
        <f>IF('[7]BASE'!HO32=0,"",'[7]BASE'!HO32)</f>
      </c>
      <c r="K32" s="847">
        <f>IF('[7]BASE'!HP32=0,"",'[7]BASE'!HP32)</f>
      </c>
      <c r="L32" s="847">
        <f>IF('[7]BASE'!HQ32=0,"",'[7]BASE'!HQ32)</f>
      </c>
      <c r="M32" s="847">
        <f>IF('[7]BASE'!HR32=0,"",'[7]BASE'!HR32)</f>
      </c>
      <c r="N32" s="847">
        <f>IF('[7]BASE'!HS32=0,"",'[7]BASE'!HS32)</f>
      </c>
      <c r="O32" s="847">
        <f>IF('[7]BASE'!HT32=0,"",'[7]BASE'!HT32)</f>
      </c>
      <c r="P32" s="847">
        <f>IF('[7]BASE'!HU32=0,"",'[7]BASE'!HU32)</f>
      </c>
      <c r="Q32" s="847">
        <f>IF('[7]BASE'!HV32=0,"",'[7]BASE'!HV32)</f>
      </c>
      <c r="R32" s="847">
        <f>IF('[7]BASE'!HW32=0,"",'[7]BASE'!HW32)</f>
      </c>
      <c r="S32" s="847">
        <f>IF('[7]BASE'!HX32=0,"",'[7]BASE'!HX32)</f>
      </c>
      <c r="T32" s="848"/>
      <c r="U32" s="845"/>
    </row>
    <row r="33" spans="2:21" s="839" customFormat="1" ht="19.5" customHeight="1">
      <c r="B33" s="840"/>
      <c r="C33" s="846">
        <f>IF('[7]BASE'!C33=0,"",'[7]BASE'!C33)</f>
        <v>17</v>
      </c>
      <c r="D33" s="846" t="str">
        <f>IF('[7]BASE'!D33=0,"",'[7]BASE'!D33)</f>
        <v>CHOCON - C.H. CHOCON 3</v>
      </c>
      <c r="E33" s="846">
        <f>IF('[7]BASE'!E33=0,"",'[7]BASE'!E33)</f>
        <v>500</v>
      </c>
      <c r="F33" s="846">
        <f>IF('[7]BASE'!F33=0,"",'[7]BASE'!F33)</f>
        <v>3</v>
      </c>
      <c r="G33" s="846" t="str">
        <f>IF('[6]BASE'!G33=0,"",'[6]BASE'!G33)</f>
        <v>C</v>
      </c>
      <c r="H33" s="847">
        <f>IF('[7]BASE'!HM33=0,"",'[7]BASE'!HM33)</f>
      </c>
      <c r="I33" s="847">
        <f>IF('[7]BASE'!HN33=0,"",'[7]BASE'!HN33)</f>
      </c>
      <c r="J33" s="847">
        <f>IF('[7]BASE'!HO33=0,"",'[7]BASE'!HO33)</f>
      </c>
      <c r="K33" s="847">
        <f>IF('[7]BASE'!HP33=0,"",'[7]BASE'!HP33)</f>
      </c>
      <c r="L33" s="847">
        <f>IF('[7]BASE'!HQ33=0,"",'[7]BASE'!HQ33)</f>
      </c>
      <c r="M33" s="847">
        <f>IF('[7]BASE'!HR33=0,"",'[7]BASE'!HR33)</f>
      </c>
      <c r="N33" s="847">
        <f>IF('[7]BASE'!HS33=0,"",'[7]BASE'!HS33)</f>
      </c>
      <c r="O33" s="847">
        <f>IF('[7]BASE'!HT33=0,"",'[7]BASE'!HT33)</f>
      </c>
      <c r="P33" s="847">
        <f>IF('[7]BASE'!HU33=0,"",'[7]BASE'!HU33)</f>
      </c>
      <c r="Q33" s="847">
        <f>IF('[7]BASE'!HV33=0,"",'[7]BASE'!HV33)</f>
      </c>
      <c r="R33" s="847">
        <f>IF('[7]BASE'!HW33=0,"",'[7]BASE'!HW33)</f>
      </c>
      <c r="S33" s="847">
        <f>IF('[7]BASE'!HX33=0,"",'[7]BASE'!HX33)</f>
      </c>
      <c r="T33" s="848"/>
      <c r="U33" s="845"/>
    </row>
    <row r="34" spans="2:21" s="839" customFormat="1" ht="19.5" customHeight="1">
      <c r="B34" s="840"/>
      <c r="C34" s="846">
        <f>IF('[7]BASE'!C34=0,"",'[7]BASE'!C34)</f>
        <v>18</v>
      </c>
      <c r="D34" s="846" t="str">
        <f>IF('[7]BASE'!D34=0,"",'[7]BASE'!D34)</f>
        <v>CHOCON - PUELCHES 1</v>
      </c>
      <c r="E34" s="846">
        <f>IF('[7]BASE'!E34=0,"",'[7]BASE'!E34)</f>
        <v>500</v>
      </c>
      <c r="F34" s="846">
        <f>IF('[7]BASE'!F34=0,"",'[7]BASE'!F34)</f>
        <v>304</v>
      </c>
      <c r="G34" s="846" t="str">
        <f>IF('[6]BASE'!G34=0,"",'[6]BASE'!G34)</f>
        <v>A</v>
      </c>
      <c r="H34" s="847">
        <f>IF('[7]BASE'!HM34=0,"",'[7]BASE'!HM34)</f>
      </c>
      <c r="I34" s="847">
        <f>IF('[7]BASE'!HN34=0,"",'[7]BASE'!HN34)</f>
      </c>
      <c r="J34" s="847">
        <f>IF('[7]BASE'!HO34=0,"",'[7]BASE'!HO34)</f>
      </c>
      <c r="K34" s="847">
        <f>IF('[7]BASE'!HP34=0,"",'[7]BASE'!HP34)</f>
      </c>
      <c r="L34" s="847">
        <f>IF('[7]BASE'!HQ34=0,"",'[7]BASE'!HQ34)</f>
      </c>
      <c r="M34" s="847">
        <f>IF('[7]BASE'!HR34=0,"",'[7]BASE'!HR34)</f>
      </c>
      <c r="N34" s="847">
        <f>IF('[7]BASE'!HS34=0,"",'[7]BASE'!HS34)</f>
      </c>
      <c r="O34" s="847">
        <f>IF('[7]BASE'!HT34=0,"",'[7]BASE'!HT34)</f>
      </c>
      <c r="P34" s="847">
        <f>IF('[7]BASE'!HU34=0,"",'[7]BASE'!HU34)</f>
      </c>
      <c r="Q34" s="847">
        <f>IF('[7]BASE'!HV34=0,"",'[7]BASE'!HV34)</f>
      </c>
      <c r="R34" s="847">
        <f>IF('[7]BASE'!HW34=0,"",'[7]BASE'!HW34)</f>
      </c>
      <c r="S34" s="847">
        <f>IF('[7]BASE'!HX34=0,"",'[7]BASE'!HX34)</f>
      </c>
      <c r="T34" s="848"/>
      <c r="U34" s="845"/>
    </row>
    <row r="35" spans="2:21" s="839" customFormat="1" ht="19.5" customHeight="1">
      <c r="B35" s="840"/>
      <c r="C35" s="846">
        <f>IF('[7]BASE'!C35=0,"",'[7]BASE'!C35)</f>
        <v>19</v>
      </c>
      <c r="D35" s="846" t="str">
        <f>IF('[7]BASE'!D35=0,"",'[7]BASE'!D35)</f>
        <v>CHOCON - PUELCHES 2</v>
      </c>
      <c r="E35" s="846">
        <f>IF('[7]BASE'!E35=0,"",'[7]BASE'!E35)</f>
        <v>500</v>
      </c>
      <c r="F35" s="846">
        <f>IF('[7]BASE'!F35=0,"",'[7]BASE'!F35)</f>
        <v>304</v>
      </c>
      <c r="G35" s="846" t="str">
        <f>IF('[6]BASE'!G35=0,"",'[6]BASE'!G35)</f>
        <v>A</v>
      </c>
      <c r="H35" s="847">
        <f>IF('[7]BASE'!HM35=0,"",'[7]BASE'!HM35)</f>
      </c>
      <c r="I35" s="847">
        <f>IF('[7]BASE'!HN35=0,"",'[7]BASE'!HN35)</f>
      </c>
      <c r="J35" s="847">
        <f>IF('[7]BASE'!HO35=0,"",'[7]BASE'!HO35)</f>
      </c>
      <c r="K35" s="847">
        <f>IF('[7]BASE'!HP35=0,"",'[7]BASE'!HP35)</f>
      </c>
      <c r="L35" s="847">
        <f>IF('[7]BASE'!HQ35=0,"",'[7]BASE'!HQ35)</f>
      </c>
      <c r="M35" s="847">
        <f>IF('[7]BASE'!HR35=0,"",'[7]BASE'!HR35)</f>
      </c>
      <c r="N35" s="847">
        <f>IF('[7]BASE'!HS35=0,"",'[7]BASE'!HS35)</f>
      </c>
      <c r="O35" s="847">
        <f>IF('[7]BASE'!HT35=0,"",'[7]BASE'!HT35)</f>
      </c>
      <c r="P35" s="847">
        <f>IF('[7]BASE'!HU35=0,"",'[7]BASE'!HU35)</f>
      </c>
      <c r="Q35" s="847">
        <f>IF('[7]BASE'!HV35=0,"",'[7]BASE'!HV35)</f>
      </c>
      <c r="R35" s="847">
        <f>IF('[7]BASE'!HW35=0,"",'[7]BASE'!HW35)</f>
      </c>
      <c r="S35" s="847">
        <f>IF('[7]BASE'!HX35=0,"",'[7]BASE'!HX35)</f>
      </c>
      <c r="T35" s="848"/>
      <c r="U35" s="845"/>
    </row>
    <row r="36" spans="2:21" s="839" customFormat="1" ht="19.5" customHeight="1">
      <c r="B36" s="840"/>
      <c r="C36" s="846">
        <f>IF('[7]BASE'!C36=0,"",'[7]BASE'!C36)</f>
        <v>20</v>
      </c>
      <c r="D36" s="846" t="str">
        <f>IF('[7]BASE'!D36=0,"",'[7]BASE'!D36)</f>
        <v>E.T.P.del AGUILA - CENTRAL P.del A. 1</v>
      </c>
      <c r="E36" s="846">
        <f>IF('[7]BASE'!E36=0,"",'[7]BASE'!E36)</f>
        <v>500</v>
      </c>
      <c r="F36" s="846">
        <f>IF('[7]BASE'!F36=0,"",'[7]BASE'!F36)</f>
        <v>5.6</v>
      </c>
      <c r="G36" s="846" t="str">
        <f>IF('[6]BASE'!G36=0,"",'[6]BASE'!G36)</f>
        <v>C</v>
      </c>
      <c r="H36" s="847">
        <f>IF('[7]BASE'!HM36=0,"",'[7]BASE'!HM36)</f>
      </c>
      <c r="I36" s="847">
        <f>IF('[7]BASE'!HN36=0,"",'[7]BASE'!HN36)</f>
      </c>
      <c r="J36" s="847">
        <f>IF('[7]BASE'!HO36=0,"",'[7]BASE'!HO36)</f>
      </c>
      <c r="K36" s="847">
        <f>IF('[7]BASE'!HP36=0,"",'[7]BASE'!HP36)</f>
      </c>
      <c r="L36" s="847">
        <f>IF('[7]BASE'!HQ36=0,"",'[7]BASE'!HQ36)</f>
      </c>
      <c r="M36" s="847">
        <f>IF('[7]BASE'!HR36=0,"",'[7]BASE'!HR36)</f>
      </c>
      <c r="N36" s="847">
        <f>IF('[7]BASE'!HS36=0,"",'[7]BASE'!HS36)</f>
      </c>
      <c r="O36" s="847">
        <f>IF('[7]BASE'!HT36=0,"",'[7]BASE'!HT36)</f>
      </c>
      <c r="P36" s="847">
        <f>IF('[7]BASE'!HU36=0,"",'[7]BASE'!HU36)</f>
      </c>
      <c r="Q36" s="847">
        <f>IF('[7]BASE'!HV36=0,"",'[7]BASE'!HV36)</f>
      </c>
      <c r="R36" s="847">
        <f>IF('[7]BASE'!HW36=0,"",'[7]BASE'!HW36)</f>
      </c>
      <c r="S36" s="847">
        <f>IF('[7]BASE'!HX36=0,"",'[7]BASE'!HX36)</f>
      </c>
      <c r="T36" s="848"/>
      <c r="U36" s="845"/>
    </row>
    <row r="37" spans="2:21" s="839" customFormat="1" ht="19.5" customHeight="1">
      <c r="B37" s="840"/>
      <c r="C37" s="846">
        <f>IF('[7]BASE'!C37=0,"",'[7]BASE'!C37)</f>
        <v>21</v>
      </c>
      <c r="D37" s="846" t="str">
        <f>IF('[7]BASE'!D37=0,"",'[7]BASE'!D37)</f>
        <v>E.T.P.del AGUILA - CENTRAL P.del A. 2</v>
      </c>
      <c r="E37" s="846">
        <f>IF('[7]BASE'!E37=0,"",'[7]BASE'!E37)</f>
        <v>500</v>
      </c>
      <c r="F37" s="846">
        <f>IF('[7]BASE'!F37=0,"",'[7]BASE'!F37)</f>
        <v>5.6</v>
      </c>
      <c r="G37" s="846" t="str">
        <f>IF('[6]BASE'!G37=0,"",'[6]BASE'!G37)</f>
        <v>C</v>
      </c>
      <c r="H37" s="847">
        <f>IF('[7]BASE'!HM37=0,"",'[7]BASE'!HM37)</f>
      </c>
      <c r="I37" s="847">
        <f>IF('[7]BASE'!HN37=0,"",'[7]BASE'!HN37)</f>
      </c>
      <c r="J37" s="847">
        <f>IF('[7]BASE'!HO37=0,"",'[7]BASE'!HO37)</f>
      </c>
      <c r="K37" s="847">
        <f>IF('[7]BASE'!HP37=0,"",'[7]BASE'!HP37)</f>
      </c>
      <c r="L37" s="847">
        <f>IF('[7]BASE'!HQ37=0,"",'[7]BASE'!HQ37)</f>
      </c>
      <c r="M37" s="847">
        <f>IF('[7]BASE'!HR37=0,"",'[7]BASE'!HR37)</f>
      </c>
      <c r="N37" s="847">
        <f>IF('[7]BASE'!HS37=0,"",'[7]BASE'!HS37)</f>
      </c>
      <c r="O37" s="847">
        <f>IF('[7]BASE'!HT37=0,"",'[7]BASE'!HT37)</f>
      </c>
      <c r="P37" s="847">
        <f>IF('[7]BASE'!HU37=0,"",'[7]BASE'!HU37)</f>
      </c>
      <c r="Q37" s="847">
        <f>IF('[7]BASE'!HV37=0,"",'[7]BASE'!HV37)</f>
      </c>
      <c r="R37" s="847">
        <f>IF('[7]BASE'!HW37=0,"",'[7]BASE'!HW37)</f>
      </c>
      <c r="S37" s="847">
        <f>IF('[7]BASE'!HX37=0,"",'[7]BASE'!HX37)</f>
      </c>
      <c r="T37" s="848"/>
      <c r="U37" s="845"/>
    </row>
    <row r="38" spans="2:21" s="839" customFormat="1" ht="19.5" customHeight="1">
      <c r="B38" s="840"/>
      <c r="C38" s="846">
        <f>IF('[7]BASE'!C38=0,"",'[7]BASE'!C38)</f>
        <v>22</v>
      </c>
      <c r="D38" s="846" t="str">
        <f>IF('[7]BASE'!D38=0,"",'[7]BASE'!D38)</f>
        <v>EL BRACHO - RECREO(5)</v>
      </c>
      <c r="E38" s="846">
        <f>IF('[7]BASE'!E38=0,"",'[7]BASE'!E38)</f>
        <v>500</v>
      </c>
      <c r="F38" s="846">
        <f>IF('[7]BASE'!F38=0,"",'[7]BASE'!F38)</f>
        <v>255</v>
      </c>
      <c r="G38" s="846" t="str">
        <f>IF('[6]BASE'!G38=0,"",'[6]BASE'!G38)</f>
        <v>C</v>
      </c>
      <c r="H38" s="847">
        <f>IF('[7]BASE'!HM38=0,"",'[7]BASE'!HM38)</f>
      </c>
      <c r="I38" s="847">
        <f>IF('[7]BASE'!HN38=0,"",'[7]BASE'!HN38)</f>
      </c>
      <c r="J38" s="847">
        <f>IF('[7]BASE'!HO38=0,"",'[7]BASE'!HO38)</f>
      </c>
      <c r="K38" s="847">
        <f>IF('[7]BASE'!HP38=0,"",'[7]BASE'!HP38)</f>
      </c>
      <c r="L38" s="847">
        <f>IF('[7]BASE'!HQ38=0,"",'[7]BASE'!HQ38)</f>
      </c>
      <c r="M38" s="847">
        <f>IF('[7]BASE'!HR38=0,"",'[7]BASE'!HR38)</f>
      </c>
      <c r="N38" s="847">
        <f>IF('[7]BASE'!HS38=0,"",'[7]BASE'!HS38)</f>
        <v>1</v>
      </c>
      <c r="O38" s="847">
        <f>IF('[7]BASE'!HT38=0,"",'[7]BASE'!HT38)</f>
      </c>
      <c r="P38" s="847">
        <f>IF('[7]BASE'!HU38=0,"",'[7]BASE'!HU38)</f>
      </c>
      <c r="Q38" s="847">
        <f>IF('[7]BASE'!HV38=0,"",'[7]BASE'!HV38)</f>
      </c>
      <c r="R38" s="847">
        <f>IF('[7]BASE'!HW38=0,"",'[7]BASE'!HW38)</f>
      </c>
      <c r="S38" s="847">
        <f>IF('[7]BASE'!HX38=0,"",'[7]BASE'!HX38)</f>
      </c>
      <c r="T38" s="848"/>
      <c r="U38" s="845"/>
    </row>
    <row r="39" spans="2:21" s="839" customFormat="1" ht="19.5" customHeight="1">
      <c r="B39" s="840"/>
      <c r="C39" s="846">
        <f>IF('[7]BASE'!C39=0,"",'[7]BASE'!C39)</f>
        <v>23</v>
      </c>
      <c r="D39" s="846" t="str">
        <f>IF('[7]BASE'!D39=0,"",'[7]BASE'!D39)</f>
        <v>EZEIZA - ABASTO 1</v>
      </c>
      <c r="E39" s="846">
        <f>IF('[7]BASE'!E39=0,"",'[7]BASE'!E39)</f>
        <v>500</v>
      </c>
      <c r="F39" s="846">
        <f>IF('[7]BASE'!F39=0,"",'[7]BASE'!F39)</f>
        <v>58</v>
      </c>
      <c r="G39" s="846" t="str">
        <f>IF('[6]BASE'!G39=0,"",'[6]BASE'!G39)</f>
        <v>C</v>
      </c>
      <c r="H39" s="847">
        <f>IF('[7]BASE'!HM39=0,"",'[7]BASE'!HM39)</f>
      </c>
      <c r="I39" s="847">
        <f>IF('[7]BASE'!HN39=0,"",'[7]BASE'!HN39)</f>
      </c>
      <c r="J39" s="847">
        <f>IF('[7]BASE'!HO39=0,"",'[7]BASE'!HO39)</f>
      </c>
      <c r="K39" s="847">
        <f>IF('[7]BASE'!HP39=0,"",'[7]BASE'!HP39)</f>
      </c>
      <c r="L39" s="847">
        <f>IF('[7]BASE'!HQ39=0,"",'[7]BASE'!HQ39)</f>
      </c>
      <c r="M39" s="847">
        <f>IF('[7]BASE'!HR39=0,"",'[7]BASE'!HR39)</f>
      </c>
      <c r="N39" s="847">
        <f>IF('[7]BASE'!HS39=0,"",'[7]BASE'!HS39)</f>
      </c>
      <c r="O39" s="847">
        <f>IF('[7]BASE'!HT39=0,"",'[7]BASE'!HT39)</f>
      </c>
      <c r="P39" s="847">
        <f>IF('[7]BASE'!HU39=0,"",'[7]BASE'!HU39)</f>
      </c>
      <c r="Q39" s="847">
        <f>IF('[7]BASE'!HV39=0,"",'[7]BASE'!HV39)</f>
        <v>1</v>
      </c>
      <c r="R39" s="847">
        <f>IF('[7]BASE'!HW39=0,"",'[7]BASE'!HW39)</f>
      </c>
      <c r="S39" s="847">
        <f>IF('[7]BASE'!HX39=0,"",'[7]BASE'!HX39)</f>
      </c>
      <c r="T39" s="848"/>
      <c r="U39" s="845"/>
    </row>
    <row r="40" spans="2:21" s="839" customFormat="1" ht="19.5" customHeight="1">
      <c r="B40" s="840"/>
      <c r="C40" s="846">
        <f>IF('[7]BASE'!C40=0,"",'[7]BASE'!C40)</f>
        <v>24</v>
      </c>
      <c r="D40" s="846" t="str">
        <f>IF('[7]BASE'!D40=0,"",'[7]BASE'!D40)</f>
        <v>EZEIZA - ABASTO 2</v>
      </c>
      <c r="E40" s="846">
        <f>IF('[7]BASE'!E40=0,"",'[7]BASE'!E40)</f>
        <v>500</v>
      </c>
      <c r="F40" s="846">
        <f>IF('[7]BASE'!F40=0,"",'[7]BASE'!F40)</f>
        <v>58</v>
      </c>
      <c r="G40" s="846" t="str">
        <f>IF('[6]BASE'!G40=0,"",'[6]BASE'!G40)</f>
        <v>C</v>
      </c>
      <c r="H40" s="847">
        <f>IF('[7]BASE'!HM40=0,"",'[7]BASE'!HM40)</f>
      </c>
      <c r="I40" s="847">
        <f>IF('[7]BASE'!HN40=0,"",'[7]BASE'!HN40)</f>
      </c>
      <c r="J40" s="847">
        <f>IF('[7]BASE'!HO40=0,"",'[7]BASE'!HO40)</f>
      </c>
      <c r="K40" s="847">
        <f>IF('[7]BASE'!HP40=0,"",'[7]BASE'!HP40)</f>
      </c>
      <c r="L40" s="847">
        <f>IF('[7]BASE'!HQ40=0,"",'[7]BASE'!HQ40)</f>
      </c>
      <c r="M40" s="847">
        <f>IF('[7]BASE'!HR40=0,"",'[7]BASE'!HR40)</f>
      </c>
      <c r="N40" s="847">
        <f>IF('[7]BASE'!HS40=0,"",'[7]BASE'!HS40)</f>
      </c>
      <c r="O40" s="847">
        <f>IF('[7]BASE'!HT40=0,"",'[7]BASE'!HT40)</f>
      </c>
      <c r="P40" s="847">
        <f>IF('[7]BASE'!HU40=0,"",'[7]BASE'!HU40)</f>
      </c>
      <c r="Q40" s="847">
        <f>IF('[7]BASE'!HV40=0,"",'[7]BASE'!HV40)</f>
      </c>
      <c r="R40" s="847">
        <f>IF('[7]BASE'!HW40=0,"",'[7]BASE'!HW40)</f>
        <v>1</v>
      </c>
      <c r="S40" s="847">
        <f>IF('[7]BASE'!HX40=0,"",'[7]BASE'!HX40)</f>
      </c>
      <c r="T40" s="848"/>
      <c r="U40" s="845"/>
    </row>
    <row r="41" spans="2:21" s="839" customFormat="1" ht="19.5" customHeight="1">
      <c r="B41" s="840"/>
      <c r="C41" s="846">
        <f>IF('[7]BASE'!C41=0,"",'[7]BASE'!C41)</f>
        <v>25</v>
      </c>
      <c r="D41" s="846" t="str">
        <f>IF('[7]BASE'!D41=0,"",'[7]BASE'!D41)</f>
        <v>EZEIZA - RODRIGUEZ 1</v>
      </c>
      <c r="E41" s="846">
        <f>IF('[7]BASE'!E41=0,"",'[7]BASE'!E41)</f>
        <v>500</v>
      </c>
      <c r="F41" s="846">
        <f>IF('[7]BASE'!F41=0,"",'[7]BASE'!F41)</f>
        <v>53</v>
      </c>
      <c r="G41" s="846" t="str">
        <f>IF('[6]BASE'!G41=0,"",'[6]BASE'!G41)</f>
        <v>C</v>
      </c>
      <c r="H41" s="847">
        <f>IF('[7]BASE'!HM41=0,"",'[7]BASE'!HM41)</f>
      </c>
      <c r="I41" s="847">
        <f>IF('[7]BASE'!HN41=0,"",'[7]BASE'!HN41)</f>
      </c>
      <c r="J41" s="847">
        <f>IF('[7]BASE'!HO41=0,"",'[7]BASE'!HO41)</f>
      </c>
      <c r="K41" s="847">
        <f>IF('[7]BASE'!HP41=0,"",'[7]BASE'!HP41)</f>
      </c>
      <c r="L41" s="847">
        <f>IF('[7]BASE'!HQ41=0,"",'[7]BASE'!HQ41)</f>
      </c>
      <c r="M41" s="847">
        <f>IF('[7]BASE'!HR41=0,"",'[7]BASE'!HR41)</f>
      </c>
      <c r="N41" s="847">
        <f>IF('[7]BASE'!HS41=0,"",'[7]BASE'!HS41)</f>
      </c>
      <c r="O41" s="847">
        <f>IF('[7]BASE'!HT41=0,"",'[7]BASE'!HT41)</f>
      </c>
      <c r="P41" s="847">
        <f>IF('[7]BASE'!HU41=0,"",'[7]BASE'!HU41)</f>
      </c>
      <c r="Q41" s="847">
        <f>IF('[7]BASE'!HV41=0,"",'[7]BASE'!HV41)</f>
      </c>
      <c r="R41" s="847">
        <f>IF('[7]BASE'!HW41=0,"",'[7]BASE'!HW41)</f>
      </c>
      <c r="S41" s="847">
        <f>IF('[7]BASE'!HX41=0,"",'[7]BASE'!HX41)</f>
      </c>
      <c r="T41" s="848"/>
      <c r="U41" s="845"/>
    </row>
    <row r="42" spans="2:21" s="839" customFormat="1" ht="19.5" customHeight="1">
      <c r="B42" s="840"/>
      <c r="C42" s="846">
        <f>IF('[7]BASE'!C42=0,"",'[7]BASE'!C42)</f>
        <v>26</v>
      </c>
      <c r="D42" s="846" t="str">
        <f>IF('[7]BASE'!D42=0,"",'[7]BASE'!D42)</f>
        <v>EZEIZA - RODRIGUEZ 2</v>
      </c>
      <c r="E42" s="846">
        <f>IF('[7]BASE'!E42=0,"",'[7]BASE'!E42)</f>
        <v>500</v>
      </c>
      <c r="F42" s="846">
        <f>IF('[7]BASE'!F42=0,"",'[7]BASE'!F42)</f>
        <v>53</v>
      </c>
      <c r="G42" s="846" t="str">
        <f>IF('[6]BASE'!G42=0,"",'[6]BASE'!G42)</f>
        <v>C</v>
      </c>
      <c r="H42" s="847">
        <f>IF('[7]BASE'!HM42=0,"",'[7]BASE'!HM42)</f>
      </c>
      <c r="I42" s="847">
        <f>IF('[7]BASE'!HN42=0,"",'[7]BASE'!HN42)</f>
      </c>
      <c r="J42" s="847">
        <f>IF('[7]BASE'!HO42=0,"",'[7]BASE'!HO42)</f>
      </c>
      <c r="K42" s="847">
        <f>IF('[7]BASE'!HP42=0,"",'[7]BASE'!HP42)</f>
      </c>
      <c r="L42" s="847">
        <f>IF('[7]BASE'!HQ42=0,"",'[7]BASE'!HQ42)</f>
      </c>
      <c r="M42" s="847">
        <f>IF('[7]BASE'!HR42=0,"",'[7]BASE'!HR42)</f>
      </c>
      <c r="N42" s="847">
        <f>IF('[7]BASE'!HS42=0,"",'[7]BASE'!HS42)</f>
      </c>
      <c r="O42" s="847">
        <f>IF('[7]BASE'!HT42=0,"",'[7]BASE'!HT42)</f>
      </c>
      <c r="P42" s="847">
        <f>IF('[7]BASE'!HU42=0,"",'[7]BASE'!HU42)</f>
      </c>
      <c r="Q42" s="847">
        <f>IF('[7]BASE'!HV42=0,"",'[7]BASE'!HV42)</f>
      </c>
      <c r="R42" s="847">
        <f>IF('[7]BASE'!HW42=0,"",'[7]BASE'!HW42)</f>
      </c>
      <c r="S42" s="847">
        <f>IF('[7]BASE'!HX42=0,"",'[7]BASE'!HX42)</f>
      </c>
      <c r="T42" s="848"/>
      <c r="U42" s="845"/>
    </row>
    <row r="43" spans="2:21" s="839" customFormat="1" ht="19.5" customHeight="1">
      <c r="B43" s="840"/>
      <c r="C43" s="846">
        <f>IF('[7]BASE'!C43=0,"",'[7]BASE'!C43)</f>
        <v>27</v>
      </c>
      <c r="D43" s="846" t="str">
        <f>IF('[7]BASE'!D43=0,"",'[7]BASE'!D43)</f>
        <v>EZEIZA- HENDERSON 1</v>
      </c>
      <c r="E43" s="846">
        <f>IF('[7]BASE'!E43=0,"",'[7]BASE'!E43)</f>
        <v>500</v>
      </c>
      <c r="F43" s="846">
        <f>IF('[7]BASE'!F43=0,"",'[7]BASE'!F43)</f>
        <v>313</v>
      </c>
      <c r="G43" s="846" t="str">
        <f>IF('[6]BASE'!G43=0,"",'[6]BASE'!G43)</f>
        <v>A</v>
      </c>
      <c r="H43" s="847">
        <f>IF('[7]BASE'!HM43=0,"",'[7]BASE'!HM43)</f>
      </c>
      <c r="I43" s="847">
        <f>IF('[7]BASE'!HN43=0,"",'[7]BASE'!HN43)</f>
      </c>
      <c r="J43" s="847">
        <f>IF('[7]BASE'!HO43=0,"",'[7]BASE'!HO43)</f>
      </c>
      <c r="K43" s="847">
        <f>IF('[7]BASE'!HP43=0,"",'[7]BASE'!HP43)</f>
      </c>
      <c r="L43" s="847">
        <f>IF('[7]BASE'!HQ43=0,"",'[7]BASE'!HQ43)</f>
      </c>
      <c r="M43" s="847">
        <f>IF('[7]BASE'!HR43=0,"",'[7]BASE'!HR43)</f>
      </c>
      <c r="N43" s="847">
        <f>IF('[7]BASE'!HS43=0,"",'[7]BASE'!HS43)</f>
      </c>
      <c r="O43" s="847">
        <f>IF('[7]BASE'!HT43=0,"",'[7]BASE'!HT43)</f>
      </c>
      <c r="P43" s="847">
        <f>IF('[7]BASE'!HU43=0,"",'[7]BASE'!HU43)</f>
      </c>
      <c r="Q43" s="847">
        <f>IF('[7]BASE'!HV43=0,"",'[7]BASE'!HV43)</f>
      </c>
      <c r="R43" s="847">
        <f>IF('[7]BASE'!HW43=0,"",'[7]BASE'!HW43)</f>
      </c>
      <c r="S43" s="847">
        <f>IF('[7]BASE'!HX43=0,"",'[7]BASE'!HX43)</f>
      </c>
      <c r="T43" s="848"/>
      <c r="U43" s="845"/>
    </row>
    <row r="44" spans="2:21" s="839" customFormat="1" ht="19.5" customHeight="1">
      <c r="B44" s="840"/>
      <c r="C44" s="846">
        <f>IF('[7]BASE'!C44=0,"",'[7]BASE'!C44)</f>
        <v>28</v>
      </c>
      <c r="D44" s="846" t="str">
        <f>IF('[7]BASE'!D44=0,"",'[7]BASE'!D44)</f>
        <v>EZEIZA - HENDERSON 2</v>
      </c>
      <c r="E44" s="846">
        <f>IF('[7]BASE'!E44=0,"",'[7]BASE'!E44)</f>
        <v>500</v>
      </c>
      <c r="F44" s="846">
        <f>IF('[7]BASE'!F44=0,"",'[7]BASE'!F44)</f>
        <v>313</v>
      </c>
      <c r="G44" s="846" t="str">
        <f>IF('[6]BASE'!G44=0,"",'[6]BASE'!G44)</f>
        <v>A</v>
      </c>
      <c r="H44" s="847">
        <f>IF('[7]BASE'!HM44=0,"",'[7]BASE'!HM44)</f>
      </c>
      <c r="I44" s="847">
        <f>IF('[7]BASE'!HN44=0,"",'[7]BASE'!HN44)</f>
      </c>
      <c r="J44" s="847">
        <f>IF('[7]BASE'!HO44=0,"",'[7]BASE'!HO44)</f>
        <v>1</v>
      </c>
      <c r="K44" s="847">
        <f>IF('[7]BASE'!HP44=0,"",'[7]BASE'!HP44)</f>
        <v>1</v>
      </c>
      <c r="L44" s="847">
        <f>IF('[7]BASE'!HQ44=0,"",'[7]BASE'!HQ44)</f>
      </c>
      <c r="M44" s="847">
        <f>IF('[7]BASE'!HR44=0,"",'[7]BASE'!HR44)</f>
      </c>
      <c r="N44" s="847">
        <f>IF('[7]BASE'!HS44=0,"",'[7]BASE'!HS44)</f>
      </c>
      <c r="O44" s="847">
        <f>IF('[7]BASE'!HT44=0,"",'[7]BASE'!HT44)</f>
      </c>
      <c r="P44" s="847">
        <f>IF('[7]BASE'!HU44=0,"",'[7]BASE'!HU44)</f>
      </c>
      <c r="Q44" s="847">
        <f>IF('[7]BASE'!HV44=0,"",'[7]BASE'!HV44)</f>
      </c>
      <c r="R44" s="847">
        <f>IF('[7]BASE'!HW44=0,"",'[7]BASE'!HW44)</f>
      </c>
      <c r="S44" s="847">
        <f>IF('[7]BASE'!HX44=0,"",'[7]BASE'!HX44)</f>
      </c>
      <c r="T44" s="848"/>
      <c r="U44" s="845"/>
    </row>
    <row r="45" spans="2:21" s="839" customFormat="1" ht="19.5" customHeight="1">
      <c r="B45" s="840"/>
      <c r="C45" s="846">
        <f>IF('[7]BASE'!C45=0,"",'[7]BASE'!C45)</f>
        <v>29</v>
      </c>
      <c r="D45" s="846" t="str">
        <f>IF('[7]BASE'!D45=0,"",'[7]BASE'!D45)</f>
        <v>GRAL. RODRIGUEZ - CAMPANA </v>
      </c>
      <c r="E45" s="846">
        <f>IF('[7]BASE'!E45=0,"",'[7]BASE'!E45)</f>
        <v>500</v>
      </c>
      <c r="F45" s="846">
        <f>IF('[7]BASE'!F45=0,"",'[7]BASE'!F45)</f>
        <v>42</v>
      </c>
      <c r="G45" s="846" t="str">
        <f>IF('[6]BASE'!G45=0,"",'[6]BASE'!G45)</f>
        <v>B</v>
      </c>
      <c r="H45" s="847">
        <f>IF('[7]BASE'!HM45=0,"",'[7]BASE'!HM45)</f>
        <v>1</v>
      </c>
      <c r="I45" s="847">
        <f>IF('[7]BASE'!HN45=0,"",'[7]BASE'!HN45)</f>
      </c>
      <c r="J45" s="847">
        <f>IF('[7]BASE'!HO45=0,"",'[7]BASE'!HO45)</f>
      </c>
      <c r="K45" s="847">
        <f>IF('[7]BASE'!HP45=0,"",'[7]BASE'!HP45)</f>
      </c>
      <c r="L45" s="847">
        <f>IF('[7]BASE'!HQ45=0,"",'[7]BASE'!HQ45)</f>
      </c>
      <c r="M45" s="847">
        <f>IF('[7]BASE'!HR45=0,"",'[7]BASE'!HR45)</f>
      </c>
      <c r="N45" s="847">
        <f>IF('[7]BASE'!HS45=0,"",'[7]BASE'!HS45)</f>
      </c>
      <c r="O45" s="847">
        <f>IF('[7]BASE'!HT45=0,"",'[7]BASE'!HT45)</f>
      </c>
      <c r="P45" s="847">
        <f>IF('[7]BASE'!HU45=0,"",'[7]BASE'!HU45)</f>
      </c>
      <c r="Q45" s="847">
        <f>IF('[7]BASE'!HV45=0,"",'[7]BASE'!HV45)</f>
      </c>
      <c r="R45" s="847">
        <f>IF('[7]BASE'!HW45=0,"",'[7]BASE'!HW45)</f>
      </c>
      <c r="S45" s="847">
        <f>IF('[7]BASE'!HX45=0,"",'[7]BASE'!HX45)</f>
      </c>
      <c r="T45" s="848"/>
      <c r="U45" s="845"/>
    </row>
    <row r="46" spans="2:21" s="839" customFormat="1" ht="19.5" customHeight="1">
      <c r="B46" s="840"/>
      <c r="C46" s="846">
        <f>IF('[7]BASE'!C46=0,"",'[7]BASE'!C46)</f>
        <v>30</v>
      </c>
      <c r="D46" s="846" t="str">
        <f>IF('[7]BASE'!D46=0,"",'[7]BASE'!D46)</f>
        <v>GRAL. RODRIGUEZ- ROSARIO OESTE </v>
      </c>
      <c r="E46" s="846">
        <f>IF('[7]BASE'!E46=0,"",'[7]BASE'!E46)</f>
        <v>500</v>
      </c>
      <c r="F46" s="846">
        <f>IF('[7]BASE'!F46=0,"",'[7]BASE'!F46)</f>
        <v>258</v>
      </c>
      <c r="G46" s="846" t="str">
        <f>IF('[6]BASE'!G46=0,"",'[6]BASE'!G46)</f>
        <v>C</v>
      </c>
      <c r="H46" s="847" t="str">
        <f>IF('[7]BASE'!HM46=0,"",'[7]BASE'!HM46)</f>
        <v>XXXX</v>
      </c>
      <c r="I46" s="847" t="str">
        <f>IF('[7]BASE'!HN46=0,"",'[7]BASE'!HN46)</f>
        <v>XXXX</v>
      </c>
      <c r="J46" s="847" t="str">
        <f>IF('[7]BASE'!HO46=0,"",'[7]BASE'!HO46)</f>
        <v>XXXX</v>
      </c>
      <c r="K46" s="847" t="str">
        <f>IF('[7]BASE'!HP46=0,"",'[7]BASE'!HP46)</f>
        <v>XXXX</v>
      </c>
      <c r="L46" s="847" t="str">
        <f>IF('[7]BASE'!HQ46=0,"",'[7]BASE'!HQ46)</f>
        <v>XXXX</v>
      </c>
      <c r="M46" s="847" t="str">
        <f>IF('[7]BASE'!HR46=0,"",'[7]BASE'!HR46)</f>
        <v>XXXX</v>
      </c>
      <c r="N46" s="847" t="str">
        <f>IF('[7]BASE'!HS46=0,"",'[7]BASE'!HS46)</f>
        <v>XXXX</v>
      </c>
      <c r="O46" s="847" t="str">
        <f>IF('[7]BASE'!HT46=0,"",'[7]BASE'!HT46)</f>
        <v>XXXX</v>
      </c>
      <c r="P46" s="847" t="str">
        <f>IF('[7]BASE'!HU46=0,"",'[7]BASE'!HU46)</f>
        <v>XXXX</v>
      </c>
      <c r="Q46" s="847" t="str">
        <f>IF('[7]BASE'!HV46=0,"",'[7]BASE'!HV46)</f>
        <v>XXXX</v>
      </c>
      <c r="R46" s="847" t="str">
        <f>IF('[7]BASE'!HW46=0,"",'[7]BASE'!HW46)</f>
        <v>XXXX</v>
      </c>
      <c r="S46" s="847" t="str">
        <f>IF('[7]BASE'!HX46=0,"",'[7]BASE'!HX46)</f>
        <v>XXXX</v>
      </c>
      <c r="T46" s="848"/>
      <c r="U46" s="845"/>
    </row>
    <row r="47" spans="2:21" s="839" customFormat="1" ht="19.5" customHeight="1">
      <c r="B47" s="840"/>
      <c r="C47" s="846">
        <f>IF('[7]BASE'!C47=0,"",'[7]BASE'!C47)</f>
        <v>31</v>
      </c>
      <c r="D47" s="846" t="str">
        <f>IF('[7]BASE'!D47=0,"",'[7]BASE'!D47)</f>
        <v>MALVINAS ARG. - ALMAFUERTE </v>
      </c>
      <c r="E47" s="846">
        <f>IF('[7]BASE'!E47=0,"",'[7]BASE'!E47)</f>
        <v>500</v>
      </c>
      <c r="F47" s="846">
        <f>IF('[7]BASE'!F47=0,"",'[7]BASE'!F47)</f>
        <v>105</v>
      </c>
      <c r="G47" s="846" t="str">
        <f>IF('[6]BASE'!G47=0,"",'[6]BASE'!G47)</f>
        <v>B</v>
      </c>
      <c r="H47" s="847">
        <f>IF('[7]BASE'!HM47=0,"",'[7]BASE'!HM47)</f>
      </c>
      <c r="I47" s="847">
        <f>IF('[7]BASE'!HN47=0,"",'[7]BASE'!HN47)</f>
      </c>
      <c r="J47" s="847">
        <f>IF('[7]BASE'!HO47=0,"",'[7]BASE'!HO47)</f>
      </c>
      <c r="K47" s="847">
        <f>IF('[7]BASE'!HP47=0,"",'[7]BASE'!HP47)</f>
      </c>
      <c r="L47" s="847">
        <f>IF('[7]BASE'!HQ47=0,"",'[7]BASE'!HQ47)</f>
      </c>
      <c r="M47" s="847">
        <f>IF('[7]BASE'!HR47=0,"",'[7]BASE'!HR47)</f>
      </c>
      <c r="N47" s="847">
        <f>IF('[7]BASE'!HS47=0,"",'[7]BASE'!HS47)</f>
      </c>
      <c r="O47" s="847">
        <f>IF('[7]BASE'!HT47=0,"",'[7]BASE'!HT47)</f>
      </c>
      <c r="P47" s="847">
        <f>IF('[7]BASE'!HU47=0,"",'[7]BASE'!HU47)</f>
      </c>
      <c r="Q47" s="847">
        <f>IF('[7]BASE'!HV47=0,"",'[7]BASE'!HV47)</f>
      </c>
      <c r="R47" s="847">
        <f>IF('[7]BASE'!HW47=0,"",'[7]BASE'!HW47)</f>
      </c>
      <c r="S47" s="847">
        <f>IF('[7]BASE'!HX47=0,"",'[7]BASE'!HX47)</f>
      </c>
      <c r="T47" s="848"/>
      <c r="U47" s="845"/>
    </row>
    <row r="48" spans="2:21" s="839" customFormat="1" ht="19.5" customHeight="1">
      <c r="B48" s="840"/>
      <c r="C48" s="846">
        <f>IF('[7]BASE'!C48=0,"",'[7]BASE'!C48)</f>
        <v>32</v>
      </c>
      <c r="D48" s="846" t="str">
        <f>IF('[7]BASE'!D48=0,"",'[7]BASE'!D48)</f>
        <v>OLAVARRIA - BAHIA BLANCA 1</v>
      </c>
      <c r="E48" s="846">
        <f>IF('[7]BASE'!E48=0,"",'[7]BASE'!E48)</f>
        <v>500</v>
      </c>
      <c r="F48" s="846">
        <f>IF('[7]BASE'!F48=0,"",'[7]BASE'!F48)</f>
        <v>255</v>
      </c>
      <c r="G48" s="846" t="str">
        <f>IF('[6]BASE'!G48=0,"",'[6]BASE'!G48)</f>
        <v>B</v>
      </c>
      <c r="H48" s="847">
        <f>IF('[7]BASE'!HM48=0,"",'[7]BASE'!HM48)</f>
      </c>
      <c r="I48" s="847">
        <f>IF('[7]BASE'!HN48=0,"",'[7]BASE'!HN48)</f>
      </c>
      <c r="J48" s="847">
        <f>IF('[7]BASE'!HO48=0,"",'[7]BASE'!HO48)</f>
      </c>
      <c r="K48" s="847">
        <f>IF('[7]BASE'!HP48=0,"",'[7]BASE'!HP48)</f>
      </c>
      <c r="L48" s="847">
        <f>IF('[7]BASE'!HQ48=0,"",'[7]BASE'!HQ48)</f>
      </c>
      <c r="M48" s="847">
        <f>IF('[7]BASE'!HR48=0,"",'[7]BASE'!HR48)</f>
      </c>
      <c r="N48" s="847">
        <f>IF('[7]BASE'!HS48=0,"",'[7]BASE'!HS48)</f>
      </c>
      <c r="O48" s="847">
        <f>IF('[7]BASE'!HT48=0,"",'[7]BASE'!HT48)</f>
      </c>
      <c r="P48" s="847">
        <f>IF('[7]BASE'!HU48=0,"",'[7]BASE'!HU48)</f>
      </c>
      <c r="Q48" s="847">
        <f>IF('[7]BASE'!HV48=0,"",'[7]BASE'!HV48)</f>
      </c>
      <c r="R48" s="847">
        <f>IF('[7]BASE'!HW48=0,"",'[7]BASE'!HW48)</f>
      </c>
      <c r="S48" s="847">
        <f>IF('[7]BASE'!HX48=0,"",'[7]BASE'!HX48)</f>
        <v>1</v>
      </c>
      <c r="T48" s="848"/>
      <c r="U48" s="845"/>
    </row>
    <row r="49" spans="2:21" s="839" customFormat="1" ht="19.5" customHeight="1">
      <c r="B49" s="840"/>
      <c r="C49" s="846">
        <f>IF('[7]BASE'!C49=0,"",'[7]BASE'!C49)</f>
        <v>33</v>
      </c>
      <c r="D49" s="846" t="str">
        <f>IF('[7]BASE'!D49=0,"",'[7]BASE'!D49)</f>
        <v>OLAVARRIA - BAHIA BLANCA 2</v>
      </c>
      <c r="E49" s="846">
        <f>IF('[7]BASE'!E49=0,"",'[7]BASE'!E49)</f>
        <v>500</v>
      </c>
      <c r="F49" s="846">
        <f>IF('[7]BASE'!F49=0,"",'[7]BASE'!F49)</f>
        <v>254.8</v>
      </c>
      <c r="G49" s="846" t="e">
        <f>IF('[6]BASE'!G49=0,"",'[6]BASE'!G49)</f>
        <v>#REF!</v>
      </c>
      <c r="H49" s="847">
        <f>IF('[7]BASE'!HM49=0,"",'[7]BASE'!HM49)</f>
      </c>
      <c r="I49" s="847">
        <f>IF('[7]BASE'!HN49=0,"",'[7]BASE'!HN49)</f>
      </c>
      <c r="J49" s="847">
        <f>IF('[7]BASE'!HO49=0,"",'[7]BASE'!HO49)</f>
      </c>
      <c r="K49" s="847">
        <f>IF('[7]BASE'!HP49=0,"",'[7]BASE'!HP49)</f>
      </c>
      <c r="L49" s="847">
        <f>IF('[7]BASE'!HQ49=0,"",'[7]BASE'!HQ49)</f>
      </c>
      <c r="M49" s="847">
        <f>IF('[7]BASE'!HR49=0,"",'[7]BASE'!HR49)</f>
      </c>
      <c r="N49" s="847">
        <f>IF('[7]BASE'!HS49=0,"",'[7]BASE'!HS49)</f>
      </c>
      <c r="O49" s="847">
        <f>IF('[7]BASE'!HT49=0,"",'[7]BASE'!HT49)</f>
      </c>
      <c r="P49" s="847">
        <f>IF('[7]BASE'!HU49=0,"",'[7]BASE'!HU49)</f>
      </c>
      <c r="Q49" s="847">
        <f>IF('[7]BASE'!HV49=0,"",'[7]BASE'!HV49)</f>
      </c>
      <c r="R49" s="847">
        <f>IF('[7]BASE'!HW49=0,"",'[7]BASE'!HW49)</f>
      </c>
      <c r="S49" s="847">
        <f>IF('[7]BASE'!HX49=0,"",'[7]BASE'!HX49)</f>
      </c>
      <c r="T49" s="848"/>
      <c r="U49" s="845"/>
    </row>
    <row r="50" spans="2:21" s="839" customFormat="1" ht="19.5" customHeight="1">
      <c r="B50" s="840"/>
      <c r="C50" s="846">
        <f>IF('[7]BASE'!C50=0,"",'[7]BASE'!C50)</f>
        <v>34</v>
      </c>
      <c r="D50" s="846" t="str">
        <f>IF('[7]BASE'!D50=0,"",'[7]BASE'!D50)</f>
        <v>P.del AGUILA  - CHOELE CHOEL</v>
      </c>
      <c r="E50" s="846">
        <f>IF('[7]BASE'!E50=0,"",'[7]BASE'!E50)</f>
        <v>500</v>
      </c>
      <c r="F50" s="846">
        <f>IF('[7]BASE'!F50=0,"",'[7]BASE'!F50)</f>
        <v>386.7</v>
      </c>
      <c r="G50" s="846" t="e">
        <f>IF('[6]BASE'!G50=0,"",'[6]BASE'!G50)</f>
        <v>#REF!</v>
      </c>
      <c r="H50" s="847">
        <f>IF('[7]BASE'!HM50=0,"",'[7]BASE'!HM50)</f>
      </c>
      <c r="I50" s="847">
        <f>IF('[7]BASE'!HN50=0,"",'[7]BASE'!HN50)</f>
      </c>
      <c r="J50" s="847">
        <f>IF('[7]BASE'!HO50=0,"",'[7]BASE'!HO50)</f>
      </c>
      <c r="K50" s="847">
        <f>IF('[7]BASE'!HP50=0,"",'[7]BASE'!HP50)</f>
      </c>
      <c r="L50" s="847">
        <f>IF('[7]BASE'!HQ50=0,"",'[7]BASE'!HQ50)</f>
      </c>
      <c r="M50" s="847">
        <f>IF('[7]BASE'!HR50=0,"",'[7]BASE'!HR50)</f>
      </c>
      <c r="N50" s="847">
        <f>IF('[7]BASE'!HS50=0,"",'[7]BASE'!HS50)</f>
      </c>
      <c r="O50" s="847">
        <f>IF('[7]BASE'!HT50=0,"",'[7]BASE'!HT50)</f>
      </c>
      <c r="P50" s="847">
        <f>IF('[7]BASE'!HU50=0,"",'[7]BASE'!HU50)</f>
      </c>
      <c r="Q50" s="847">
        <f>IF('[7]BASE'!HV50=0,"",'[7]BASE'!HV50)</f>
      </c>
      <c r="R50" s="847">
        <f>IF('[7]BASE'!HW50=0,"",'[7]BASE'!HW50)</f>
      </c>
      <c r="S50" s="847">
        <f>IF('[7]BASE'!HX50=0,"",'[7]BASE'!HX50)</f>
      </c>
      <c r="T50" s="848"/>
      <c r="U50" s="845"/>
    </row>
    <row r="51" spans="2:21" s="839" customFormat="1" ht="19.5" customHeight="1">
      <c r="B51" s="840"/>
      <c r="C51" s="846">
        <f>IF('[7]BASE'!C51=0,"",'[7]BASE'!C51)</f>
        <v>35</v>
      </c>
      <c r="D51" s="846" t="str">
        <f>IF('[7]BASE'!D51=0,"",'[7]BASE'!D51)</f>
        <v>P.del AGUILA  - CHO. W. 1 (5GW1)</v>
      </c>
      <c r="E51" s="846">
        <f>IF('[7]BASE'!E51=0,"",'[7]BASE'!E51)</f>
        <v>500</v>
      </c>
      <c r="F51" s="846">
        <f>IF('[7]BASE'!F51=0,"",'[7]BASE'!F51)</f>
        <v>165</v>
      </c>
      <c r="G51" s="846" t="str">
        <f>IF('[6]BASE'!G51=0,"",'[6]BASE'!G51)</f>
        <v>A</v>
      </c>
      <c r="H51" s="847">
        <f>IF('[7]BASE'!HM51=0,"",'[7]BASE'!HM51)</f>
        <v>1</v>
      </c>
      <c r="I51" s="847">
        <f>IF('[7]BASE'!HN51=0,"",'[7]BASE'!HN51)</f>
      </c>
      <c r="J51" s="847">
        <f>IF('[7]BASE'!HO51=0,"",'[7]BASE'!HO51)</f>
      </c>
      <c r="K51" s="847">
        <f>IF('[7]BASE'!HP51=0,"",'[7]BASE'!HP51)</f>
        <v>1</v>
      </c>
      <c r="L51" s="847">
        <f>IF('[7]BASE'!HQ51=0,"",'[7]BASE'!HQ51)</f>
      </c>
      <c r="M51" s="847">
        <f>IF('[7]BASE'!HR51=0,"",'[7]BASE'!HR51)</f>
      </c>
      <c r="N51" s="847">
        <f>IF('[7]BASE'!HS51=0,"",'[7]BASE'!HS51)</f>
      </c>
      <c r="O51" s="847">
        <f>IF('[7]BASE'!HT51=0,"",'[7]BASE'!HT51)</f>
      </c>
      <c r="P51" s="847">
        <f>IF('[7]BASE'!HU51=0,"",'[7]BASE'!HU51)</f>
      </c>
      <c r="Q51" s="847">
        <f>IF('[7]BASE'!HV51=0,"",'[7]BASE'!HV51)</f>
      </c>
      <c r="R51" s="847">
        <f>IF('[7]BASE'!HW51=0,"",'[7]BASE'!HW51)</f>
      </c>
      <c r="S51" s="847">
        <f>IF('[7]BASE'!HX51=0,"",'[7]BASE'!HX51)</f>
      </c>
      <c r="T51" s="848"/>
      <c r="U51" s="845"/>
    </row>
    <row r="52" spans="2:21" s="839" customFormat="1" ht="19.5" customHeight="1">
      <c r="B52" s="840"/>
      <c r="C52" s="846">
        <f>IF('[7]BASE'!C52=0,"",'[7]BASE'!C52)</f>
        <v>36</v>
      </c>
      <c r="D52" s="846" t="str">
        <f>IF('[7]BASE'!D52=0,"",'[7]BASE'!D52)</f>
        <v>P.del AGUILA  - CHO. W. 2 (5GW2)</v>
      </c>
      <c r="E52" s="846">
        <f>IF('[7]BASE'!E52=0,"",'[7]BASE'!E52)</f>
        <v>500</v>
      </c>
      <c r="F52" s="846">
        <f>IF('[7]BASE'!F52=0,"",'[7]BASE'!F52)</f>
        <v>170</v>
      </c>
      <c r="G52" s="846" t="str">
        <f>IF('[6]BASE'!G52=0,"",'[6]BASE'!G52)</f>
        <v>A</v>
      </c>
      <c r="H52" s="847">
        <f>IF('[7]BASE'!HM52=0,"",'[7]BASE'!HM52)</f>
      </c>
      <c r="I52" s="847">
        <f>IF('[7]BASE'!HN52=0,"",'[7]BASE'!HN52)</f>
      </c>
      <c r="J52" s="847">
        <f>IF('[7]BASE'!HO52=0,"",'[7]BASE'!HO52)</f>
      </c>
      <c r="K52" s="847">
        <f>IF('[7]BASE'!HP52=0,"",'[7]BASE'!HP52)</f>
      </c>
      <c r="L52" s="847">
        <f>IF('[7]BASE'!HQ52=0,"",'[7]BASE'!HQ52)</f>
      </c>
      <c r="M52" s="847">
        <f>IF('[7]BASE'!HR52=0,"",'[7]BASE'!HR52)</f>
      </c>
      <c r="N52" s="847">
        <f>IF('[7]BASE'!HS52=0,"",'[7]BASE'!HS52)</f>
      </c>
      <c r="O52" s="847">
        <f>IF('[7]BASE'!HT52=0,"",'[7]BASE'!HT52)</f>
      </c>
      <c r="P52" s="847">
        <f>IF('[7]BASE'!HU52=0,"",'[7]BASE'!HU52)</f>
      </c>
      <c r="Q52" s="847">
        <f>IF('[7]BASE'!HV52=0,"",'[7]BASE'!HV52)</f>
      </c>
      <c r="R52" s="847">
        <f>IF('[7]BASE'!HW52=0,"",'[7]BASE'!HW52)</f>
      </c>
      <c r="S52" s="847">
        <f>IF('[7]BASE'!HX52=0,"",'[7]BASE'!HX52)</f>
      </c>
      <c r="T52" s="848"/>
      <c r="U52" s="845"/>
    </row>
    <row r="53" spans="2:21" s="839" customFormat="1" ht="19.5" customHeight="1">
      <c r="B53" s="840"/>
      <c r="C53" s="846">
        <f>IF('[7]BASE'!C53=0,"",'[7]BASE'!C53)</f>
        <v>37</v>
      </c>
      <c r="D53" s="846" t="str">
        <f>IF('[7]BASE'!D53=0,"",'[7]BASE'!D53)</f>
        <v>PUELCHES - HENDERSON 1 (B1)</v>
      </c>
      <c r="E53" s="846">
        <f>IF('[7]BASE'!E53=0,"",'[7]BASE'!E53)</f>
        <v>500</v>
      </c>
      <c r="F53" s="846">
        <f>IF('[7]BASE'!F53=0,"",'[7]BASE'!F53)</f>
        <v>421</v>
      </c>
      <c r="G53" s="846" t="str">
        <f>IF('[6]BASE'!G53=0,"",'[6]BASE'!G53)</f>
        <v>A</v>
      </c>
      <c r="H53" s="847">
        <f>IF('[7]BASE'!HM53=0,"",'[7]BASE'!HM53)</f>
        <v>1</v>
      </c>
      <c r="I53" s="847">
        <f>IF('[7]BASE'!HN53=0,"",'[7]BASE'!HN53)</f>
      </c>
      <c r="J53" s="847">
        <f>IF('[7]BASE'!HO53=0,"",'[7]BASE'!HO53)</f>
      </c>
      <c r="K53" s="847">
        <f>IF('[7]BASE'!HP53=0,"",'[7]BASE'!HP53)</f>
      </c>
      <c r="L53" s="847">
        <f>IF('[7]BASE'!HQ53=0,"",'[7]BASE'!HQ53)</f>
      </c>
      <c r="M53" s="847">
        <f>IF('[7]BASE'!HR53=0,"",'[7]BASE'!HR53)</f>
        <v>1</v>
      </c>
      <c r="N53" s="847">
        <f>IF('[7]BASE'!HS53=0,"",'[7]BASE'!HS53)</f>
      </c>
      <c r="O53" s="847">
        <f>IF('[7]BASE'!HT53=0,"",'[7]BASE'!HT53)</f>
      </c>
      <c r="P53" s="847">
        <f>IF('[7]BASE'!HU53=0,"",'[7]BASE'!HU53)</f>
      </c>
      <c r="Q53" s="847">
        <f>IF('[7]BASE'!HV53=0,"",'[7]BASE'!HV53)</f>
      </c>
      <c r="R53" s="847">
        <f>IF('[7]BASE'!HW53=0,"",'[7]BASE'!HW53)</f>
      </c>
      <c r="S53" s="847">
        <f>IF('[7]BASE'!HX53=0,"",'[7]BASE'!HX53)</f>
      </c>
      <c r="T53" s="848"/>
      <c r="U53" s="845"/>
    </row>
    <row r="54" spans="2:21" s="839" customFormat="1" ht="19.5" customHeight="1">
      <c r="B54" s="840"/>
      <c r="C54" s="846">
        <f>IF('[7]BASE'!C54=0,"",'[7]BASE'!C54)</f>
        <v>38</v>
      </c>
      <c r="D54" s="846" t="str">
        <f>IF('[7]BASE'!D54=0,"",'[7]BASE'!D54)</f>
        <v>PUELCHES - HENDERSON 2 (B2)</v>
      </c>
      <c r="E54" s="846">
        <f>IF('[7]BASE'!E54=0,"",'[7]BASE'!E54)</f>
        <v>500</v>
      </c>
      <c r="F54" s="846">
        <f>IF('[7]BASE'!F54=0,"",'[7]BASE'!F54)</f>
        <v>421</v>
      </c>
      <c r="G54" s="846" t="str">
        <f>IF('[6]BASE'!G54=0,"",'[6]BASE'!G54)</f>
        <v>A</v>
      </c>
      <c r="H54" s="847" t="str">
        <f>IF('[7]BASE'!HM54=0,"",'[7]BASE'!HM54)</f>
        <v>XXXX</v>
      </c>
      <c r="I54" s="847" t="str">
        <f>IF('[7]BASE'!HN54=0,"",'[7]BASE'!HN54)</f>
        <v>XXXX</v>
      </c>
      <c r="J54" s="847" t="str">
        <f>IF('[7]BASE'!HO54=0,"",'[7]BASE'!HO54)</f>
        <v>XXXX</v>
      </c>
      <c r="K54" s="847" t="str">
        <f>IF('[7]BASE'!HP54=0,"",'[7]BASE'!HP54)</f>
        <v>XXXX</v>
      </c>
      <c r="L54" s="847" t="str">
        <f>IF('[7]BASE'!HQ54=0,"",'[7]BASE'!HQ54)</f>
        <v>XXXX</v>
      </c>
      <c r="M54" s="847" t="str">
        <f>IF('[7]BASE'!HR54=0,"",'[7]BASE'!HR54)</f>
        <v>XXXX</v>
      </c>
      <c r="N54" s="847" t="str">
        <f>IF('[7]BASE'!HS54=0,"",'[7]BASE'!HS54)</f>
        <v>XXXX</v>
      </c>
      <c r="O54" s="847" t="str">
        <f>IF('[7]BASE'!HT54=0,"",'[7]BASE'!HT54)</f>
        <v>XXXX</v>
      </c>
      <c r="P54" s="847" t="str">
        <f>IF('[7]BASE'!HU54=0,"",'[7]BASE'!HU54)</f>
        <v>XXXX</v>
      </c>
      <c r="Q54" s="847" t="str">
        <f>IF('[7]BASE'!HV54=0,"",'[7]BASE'!HV54)</f>
        <v>XXXX</v>
      </c>
      <c r="R54" s="847" t="str">
        <f>IF('[7]BASE'!HW54=0,"",'[7]BASE'!HW54)</f>
        <v>XXXX</v>
      </c>
      <c r="S54" s="847" t="str">
        <f>IF('[7]BASE'!HX54=0,"",'[7]BASE'!HX54)</f>
        <v>XXXX</v>
      </c>
      <c r="T54" s="848"/>
      <c r="U54" s="845"/>
    </row>
    <row r="55" spans="2:21" s="839" customFormat="1" ht="19.5" customHeight="1">
      <c r="B55" s="840"/>
      <c r="C55" s="846">
        <f>IF('[7]BASE'!C55=0,"",'[7]BASE'!C55)</f>
        <v>39</v>
      </c>
      <c r="D55" s="846" t="str">
        <f>IF('[7]BASE'!D55=0,"",'[7]BASE'!D55)</f>
        <v>RECREO - MALVINAS ARG. </v>
      </c>
      <c r="E55" s="846">
        <f>IF('[7]BASE'!E55=0,"",'[7]BASE'!E55)</f>
        <v>500</v>
      </c>
      <c r="F55" s="846">
        <f>IF('[7]BASE'!F55=0,"",'[7]BASE'!F55)</f>
        <v>259</v>
      </c>
      <c r="G55" s="846" t="str">
        <f>IF('[6]BASE'!G55=0,"",'[6]BASE'!G55)</f>
        <v>C</v>
      </c>
      <c r="H55" s="847">
        <f>IF('[7]BASE'!HM55=0,"",'[7]BASE'!HM55)</f>
      </c>
      <c r="I55" s="847">
        <f>IF('[7]BASE'!HN55=0,"",'[7]BASE'!HN55)</f>
      </c>
      <c r="J55" s="847">
        <f>IF('[7]BASE'!HO55=0,"",'[7]BASE'!HO55)</f>
      </c>
      <c r="K55" s="847">
        <f>IF('[7]BASE'!HP55=0,"",'[7]BASE'!HP55)</f>
      </c>
      <c r="L55" s="847">
        <f>IF('[7]BASE'!HQ55=0,"",'[7]BASE'!HQ55)</f>
      </c>
      <c r="M55" s="847">
        <f>IF('[7]BASE'!HR55=0,"",'[7]BASE'!HR55)</f>
      </c>
      <c r="N55" s="847">
        <f>IF('[7]BASE'!HS55=0,"",'[7]BASE'!HS55)</f>
      </c>
      <c r="O55" s="847">
        <f>IF('[7]BASE'!HT55=0,"",'[7]BASE'!HT55)</f>
      </c>
      <c r="P55" s="847">
        <f>IF('[7]BASE'!HU55=0,"",'[7]BASE'!HU55)</f>
      </c>
      <c r="Q55" s="847">
        <f>IF('[7]BASE'!HV55=0,"",'[7]BASE'!HV55)</f>
      </c>
      <c r="R55" s="847">
        <f>IF('[7]BASE'!HW55=0,"",'[7]BASE'!HW55)</f>
      </c>
      <c r="S55" s="847">
        <f>IF('[7]BASE'!HX55=0,"",'[7]BASE'!HX55)</f>
      </c>
      <c r="T55" s="848"/>
      <c r="U55" s="845"/>
    </row>
    <row r="56" spans="2:21" s="839" customFormat="1" ht="19.5" customHeight="1">
      <c r="B56" s="840"/>
      <c r="C56" s="846">
        <f>IF('[7]BASE'!C56=0,"",'[7]BASE'!C56)</f>
        <v>40</v>
      </c>
      <c r="D56" s="846" t="str">
        <f>IF('[7]BASE'!D56=0,"",'[7]BASE'!D56)</f>
        <v>RIO GRANDE - EMBALSE</v>
      </c>
      <c r="E56" s="846">
        <f>IF('[7]BASE'!E56=0,"",'[7]BASE'!E56)</f>
        <v>500</v>
      </c>
      <c r="F56" s="846">
        <f>IF('[7]BASE'!F56=0,"",'[7]BASE'!F56)</f>
        <v>30</v>
      </c>
      <c r="G56" s="846" t="str">
        <f>IF('[6]BASE'!G56=0,"",'[6]BASE'!G56)</f>
        <v>B</v>
      </c>
      <c r="H56" s="847">
        <f>IF('[7]BASE'!HM56=0,"",'[7]BASE'!HM56)</f>
      </c>
      <c r="I56" s="847">
        <f>IF('[7]BASE'!HN56=0,"",'[7]BASE'!HN56)</f>
      </c>
      <c r="J56" s="847">
        <f>IF('[7]BASE'!HO56=0,"",'[7]BASE'!HO56)</f>
      </c>
      <c r="K56" s="847">
        <f>IF('[7]BASE'!HP56=0,"",'[7]BASE'!HP56)</f>
      </c>
      <c r="L56" s="847">
        <f>IF('[7]BASE'!HQ56=0,"",'[7]BASE'!HQ56)</f>
      </c>
      <c r="M56" s="847">
        <f>IF('[7]BASE'!HR56=0,"",'[7]BASE'!HR56)</f>
      </c>
      <c r="N56" s="847">
        <f>IF('[7]BASE'!HS56=0,"",'[7]BASE'!HS56)</f>
      </c>
      <c r="O56" s="847">
        <f>IF('[7]BASE'!HT56=0,"",'[7]BASE'!HT56)</f>
      </c>
      <c r="P56" s="847">
        <f>IF('[7]BASE'!HU56=0,"",'[7]BASE'!HU56)</f>
      </c>
      <c r="Q56" s="847">
        <f>IF('[7]BASE'!HV56=0,"",'[7]BASE'!HV56)</f>
      </c>
      <c r="R56" s="847">
        <f>IF('[7]BASE'!HW56=0,"",'[7]BASE'!HW56)</f>
      </c>
      <c r="S56" s="847">
        <f>IF('[7]BASE'!HX56=0,"",'[7]BASE'!HX56)</f>
      </c>
      <c r="T56" s="848"/>
      <c r="U56" s="845"/>
    </row>
    <row r="57" spans="2:21" s="839" customFormat="1" ht="19.5" customHeight="1">
      <c r="B57" s="840"/>
      <c r="C57" s="846">
        <f>IF('[7]BASE'!C57=0,"",'[7]BASE'!C57)</f>
        <v>41</v>
      </c>
      <c r="D57" s="846" t="str">
        <f>IF('[7]BASE'!D57=0,"",'[7]BASE'!D57)</f>
        <v>RIO GRANDE - GRAN MENDOZA</v>
      </c>
      <c r="E57" s="846">
        <f>IF('[7]BASE'!E57=0,"",'[7]BASE'!E57)</f>
        <v>500</v>
      </c>
      <c r="F57" s="846">
        <f>IF('[7]BASE'!F57=0,"",'[7]BASE'!F57)</f>
        <v>407</v>
      </c>
      <c r="G57" s="846" t="str">
        <f>IF('[6]BASE'!G57=0,"",'[6]BASE'!G57)</f>
        <v>B</v>
      </c>
      <c r="H57" s="847" t="str">
        <f>IF('[7]BASE'!HM57=0,"",'[7]BASE'!HM57)</f>
        <v>XXXX</v>
      </c>
      <c r="I57" s="847" t="str">
        <f>IF('[7]BASE'!HN57=0,"",'[7]BASE'!HN57)</f>
        <v>XXXX</v>
      </c>
      <c r="J57" s="847" t="str">
        <f>IF('[7]BASE'!HO57=0,"",'[7]BASE'!HO57)</f>
        <v>XXXX</v>
      </c>
      <c r="K57" s="847" t="str">
        <f>IF('[7]BASE'!HP57=0,"",'[7]BASE'!HP57)</f>
        <v>XXXX</v>
      </c>
      <c r="L57" s="847" t="str">
        <f>IF('[7]BASE'!HQ57=0,"",'[7]BASE'!HQ57)</f>
        <v>XXXX</v>
      </c>
      <c r="M57" s="847" t="str">
        <f>IF('[7]BASE'!HR57=0,"",'[7]BASE'!HR57)</f>
        <v>XXXX</v>
      </c>
      <c r="N57" s="847" t="str">
        <f>IF('[7]BASE'!HS57=0,"",'[7]BASE'!HS57)</f>
        <v>XXXX</v>
      </c>
      <c r="O57" s="847" t="str">
        <f>IF('[7]BASE'!HT57=0,"",'[7]BASE'!HT57)</f>
        <v>XXXX</v>
      </c>
      <c r="P57" s="847" t="str">
        <f>IF('[7]BASE'!HU57=0,"",'[7]BASE'!HU57)</f>
        <v>XXXX</v>
      </c>
      <c r="Q57" s="847" t="str">
        <f>IF('[7]BASE'!HV57=0,"",'[7]BASE'!HV57)</f>
        <v>XXXX</v>
      </c>
      <c r="R57" s="847" t="str">
        <f>IF('[7]BASE'!HW57=0,"",'[7]BASE'!HW57)</f>
        <v>XXXX</v>
      </c>
      <c r="S57" s="847" t="str">
        <f>IF('[7]BASE'!HX57=0,"",'[7]BASE'!HX57)</f>
        <v>XXXX</v>
      </c>
      <c r="T57" s="848"/>
      <c r="U57" s="845"/>
    </row>
    <row r="58" spans="2:21" s="839" customFormat="1" ht="19.5" customHeight="1">
      <c r="B58" s="840"/>
      <c r="C58" s="846">
        <f>IF('[7]BASE'!C58=0,"",'[7]BASE'!C58)</f>
        <v>42</v>
      </c>
      <c r="D58" s="846" t="str">
        <f>IF('[7]BASE'!D58=0,"",'[7]BASE'!D58)</f>
        <v>RIO GRANDE - LUJAN</v>
      </c>
      <c r="E58" s="846">
        <f>IF('[7]BASE'!E58=0,"",'[7]BASE'!E58)</f>
        <v>500</v>
      </c>
      <c r="F58" s="846">
        <f>IF('[7]BASE'!F58=0,"",'[7]BASE'!F58)</f>
        <v>150</v>
      </c>
      <c r="G58" s="846" t="str">
        <f>IF('[6]BASE'!G58=0,"",'[6]BASE'!G58)</f>
        <v>A</v>
      </c>
      <c r="H58" s="847">
        <f>IF('[7]BASE'!HM58=0,"",'[7]BASE'!HM58)</f>
      </c>
      <c r="I58" s="847">
        <f>IF('[7]BASE'!HN58=0,"",'[7]BASE'!HN58)</f>
      </c>
      <c r="J58" s="847">
        <f>IF('[7]BASE'!HO58=0,"",'[7]BASE'!HO58)</f>
      </c>
      <c r="K58" s="847">
        <f>IF('[7]BASE'!HP58=0,"",'[7]BASE'!HP58)</f>
      </c>
      <c r="L58" s="847">
        <f>IF('[7]BASE'!HQ58=0,"",'[7]BASE'!HQ58)</f>
      </c>
      <c r="M58" s="847">
        <f>IF('[7]BASE'!HR58=0,"",'[7]BASE'!HR58)</f>
      </c>
      <c r="N58" s="847">
        <f>IF('[7]BASE'!HS58=0,"",'[7]BASE'!HS58)</f>
      </c>
      <c r="O58" s="847">
        <f>IF('[7]BASE'!HT58=0,"",'[7]BASE'!HT58)</f>
      </c>
      <c r="P58" s="847">
        <f>IF('[7]BASE'!HU58=0,"",'[7]BASE'!HU58)</f>
      </c>
      <c r="Q58" s="847">
        <f>IF('[7]BASE'!HV58=0,"",'[7]BASE'!HV58)</f>
      </c>
      <c r="R58" s="847">
        <f>IF('[7]BASE'!HW58=0,"",'[7]BASE'!HW58)</f>
      </c>
      <c r="S58" s="847">
        <f>IF('[7]BASE'!HX58=0,"",'[7]BASE'!HX58)</f>
      </c>
      <c r="T58" s="848"/>
      <c r="U58" s="845"/>
    </row>
    <row r="59" spans="2:21" s="839" customFormat="1" ht="19.5" customHeight="1">
      <c r="B59" s="840"/>
      <c r="C59" s="846">
        <f>IF('[7]BASE'!C59=0,"",'[7]BASE'!C59)</f>
        <v>43</v>
      </c>
      <c r="D59" s="846" t="str">
        <f>IF('[7]BASE'!D59=0,"",'[7]BASE'!D59)</f>
        <v>LUJAN - GRAN MENDOZA</v>
      </c>
      <c r="E59" s="846">
        <f>IF('[7]BASE'!E59=0,"",'[7]BASE'!E59)</f>
        <v>500</v>
      </c>
      <c r="F59" s="846">
        <f>IF('[7]BASE'!F59=0,"",'[7]BASE'!F59)</f>
        <v>257</v>
      </c>
      <c r="G59" s="846" t="str">
        <f>IF('[6]BASE'!G59=0,"",'[6]BASE'!G59)</f>
        <v>B</v>
      </c>
      <c r="H59" s="847">
        <f>IF('[7]BASE'!HM59=0,"",'[7]BASE'!HM59)</f>
      </c>
      <c r="I59" s="847">
        <f>IF('[7]BASE'!HN59=0,"",'[7]BASE'!HN59)</f>
      </c>
      <c r="J59" s="847">
        <f>IF('[7]BASE'!HO59=0,"",'[7]BASE'!HO59)</f>
        <v>1</v>
      </c>
      <c r="K59" s="847">
        <f>IF('[7]BASE'!HP59=0,"",'[7]BASE'!HP59)</f>
      </c>
      <c r="L59" s="847">
        <f>IF('[7]BASE'!HQ59=0,"",'[7]BASE'!HQ59)</f>
      </c>
      <c r="M59" s="847">
        <f>IF('[7]BASE'!HR59=0,"",'[7]BASE'!HR59)</f>
      </c>
      <c r="N59" s="847">
        <f>IF('[7]BASE'!HS59=0,"",'[7]BASE'!HS59)</f>
      </c>
      <c r="O59" s="847">
        <f>IF('[7]BASE'!HT59=0,"",'[7]BASE'!HT59)</f>
      </c>
      <c r="P59" s="847">
        <f>IF('[7]BASE'!HU59=0,"",'[7]BASE'!HU59)</f>
      </c>
      <c r="Q59" s="847">
        <f>IF('[7]BASE'!HV59=0,"",'[7]BASE'!HV59)</f>
      </c>
      <c r="R59" s="847">
        <f>IF('[7]BASE'!HW59=0,"",'[7]BASE'!HW59)</f>
      </c>
      <c r="S59" s="847">
        <f>IF('[7]BASE'!HX59=0,"",'[7]BASE'!HX59)</f>
      </c>
      <c r="T59" s="848"/>
      <c r="U59" s="845"/>
    </row>
    <row r="60" spans="2:21" s="839" customFormat="1" ht="19.5" customHeight="1">
      <c r="B60" s="840"/>
      <c r="C60" s="846">
        <f>IF('[7]BASE'!C60=0,"",'[7]BASE'!C60)</f>
        <v>44</v>
      </c>
      <c r="D60" s="846" t="str">
        <f>IF('[7]BASE'!D60=0,"",'[7]BASE'!D60)</f>
        <v>ROMANG - RESISTENCIA</v>
      </c>
      <c r="E60" s="846">
        <f>IF('[7]BASE'!E60=0,"",'[7]BASE'!E60)</f>
        <v>500</v>
      </c>
      <c r="F60" s="846">
        <f>IF('[7]BASE'!F60=0,"",'[7]BASE'!F60)</f>
        <v>256</v>
      </c>
      <c r="G60" s="846" t="str">
        <f>IF('[6]BASE'!G60=0,"",'[6]BASE'!G60)</f>
        <v>A</v>
      </c>
      <c r="H60" s="847">
        <f>IF('[7]BASE'!HM60=0,"",'[7]BASE'!HM60)</f>
      </c>
      <c r="I60" s="847">
        <f>IF('[7]BASE'!HN60=0,"",'[7]BASE'!HN60)</f>
        <v>1</v>
      </c>
      <c r="J60" s="847">
        <f>IF('[7]BASE'!HO60=0,"",'[7]BASE'!HO60)</f>
      </c>
      <c r="K60" s="847">
        <f>IF('[7]BASE'!HP60=0,"",'[7]BASE'!HP60)</f>
      </c>
      <c r="L60" s="847">
        <f>IF('[7]BASE'!HQ60=0,"",'[7]BASE'!HQ60)</f>
      </c>
      <c r="M60" s="847">
        <f>IF('[7]BASE'!HR60=0,"",'[7]BASE'!HR60)</f>
      </c>
      <c r="N60" s="847">
        <f>IF('[7]BASE'!HS60=0,"",'[7]BASE'!HS60)</f>
      </c>
      <c r="O60" s="847">
        <f>IF('[7]BASE'!HT60=0,"",'[7]BASE'!HT60)</f>
      </c>
      <c r="P60" s="847">
        <f>IF('[7]BASE'!HU60=0,"",'[7]BASE'!HU60)</f>
      </c>
      <c r="Q60" s="847">
        <f>IF('[7]BASE'!HV60=0,"",'[7]BASE'!HV60)</f>
      </c>
      <c r="R60" s="847">
        <f>IF('[7]BASE'!HW60=0,"",'[7]BASE'!HW60)</f>
      </c>
      <c r="S60" s="847">
        <f>IF('[7]BASE'!HX60=0,"",'[7]BASE'!HX60)</f>
        <v>2</v>
      </c>
      <c r="T60" s="848"/>
      <c r="U60" s="845"/>
    </row>
    <row r="61" spans="2:21" s="839" customFormat="1" ht="19.5" customHeight="1">
      <c r="B61" s="840"/>
      <c r="C61" s="846">
        <f>IF('[7]BASE'!C61=0,"",'[7]BASE'!C61)</f>
        <v>45</v>
      </c>
      <c r="D61" s="846" t="str">
        <f>IF('[7]BASE'!D61=0,"",'[7]BASE'!D61)</f>
        <v>ROSARIO OESTE -SANTO TOME</v>
      </c>
      <c r="E61" s="846">
        <f>IF('[7]BASE'!E61=0,"",'[7]BASE'!E61)</f>
        <v>500</v>
      </c>
      <c r="F61" s="846">
        <f>IF('[7]BASE'!F61=0,"",'[7]BASE'!F61)</f>
        <v>159</v>
      </c>
      <c r="G61" s="846" t="str">
        <f>IF('[6]BASE'!G61=0,"",'[6]BASE'!G61)</f>
        <v>C</v>
      </c>
      <c r="H61" s="847" t="str">
        <f>IF('[7]BASE'!HM61=0,"",'[7]BASE'!HM61)</f>
        <v>XXXX</v>
      </c>
      <c r="I61" s="847" t="str">
        <f>IF('[7]BASE'!HN61=0,"",'[7]BASE'!HN61)</f>
        <v>XXXX</v>
      </c>
      <c r="J61" s="847" t="str">
        <f>IF('[7]BASE'!HO61=0,"",'[7]BASE'!HO61)</f>
        <v>XXXX</v>
      </c>
      <c r="K61" s="847" t="str">
        <f>IF('[7]BASE'!HP61=0,"",'[7]BASE'!HP61)</f>
        <v>XXXX</v>
      </c>
      <c r="L61" s="847" t="str">
        <f>IF('[7]BASE'!HQ61=0,"",'[7]BASE'!HQ61)</f>
        <v>XXXX</v>
      </c>
      <c r="M61" s="847" t="str">
        <f>IF('[7]BASE'!HR61=0,"",'[7]BASE'!HR61)</f>
        <v>XXXX</v>
      </c>
      <c r="N61" s="847" t="str">
        <f>IF('[7]BASE'!HS61=0,"",'[7]BASE'!HS61)</f>
        <v>XXXX</v>
      </c>
      <c r="O61" s="847" t="str">
        <f>IF('[7]BASE'!HT61=0,"",'[7]BASE'!HT61)</f>
        <v>XXXX</v>
      </c>
      <c r="P61" s="847" t="str">
        <f>IF('[7]BASE'!HU61=0,"",'[7]BASE'!HU61)</f>
        <v>XXXX</v>
      </c>
      <c r="Q61" s="847" t="str">
        <f>IF('[7]BASE'!HV61=0,"",'[7]BASE'!HV61)</f>
        <v>XXXX</v>
      </c>
      <c r="R61" s="847" t="str">
        <f>IF('[7]BASE'!HW61=0,"",'[7]BASE'!HW61)</f>
        <v>XXXX</v>
      </c>
      <c r="S61" s="847" t="str">
        <f>IF('[7]BASE'!HX61=0,"",'[7]BASE'!HX61)</f>
        <v>XXXX</v>
      </c>
      <c r="T61" s="848"/>
      <c r="U61" s="845"/>
    </row>
    <row r="62" spans="2:21" s="839" customFormat="1" ht="19.5" customHeight="1">
      <c r="B62" s="840"/>
      <c r="C62" s="846">
        <f>IF('[7]BASE'!C62=0,"",'[7]BASE'!C62)</f>
      </c>
      <c r="D62" s="846" t="str">
        <f>IF('[7]BASE'!D62=0,"",'[7]BASE'!D62)</f>
        <v>ROSARIO OESTE - RIO CORONDA</v>
      </c>
      <c r="E62" s="846">
        <f>IF('[7]BASE'!E62=0,"",'[7]BASE'!E62)</f>
        <v>500</v>
      </c>
      <c r="F62" s="846">
        <f>IF('[7]BASE'!F62=0,"",'[7]BASE'!F62)</f>
        <v>64.99</v>
      </c>
      <c r="G62" s="846" t="str">
        <f>IF('[6]BASE'!G62=0,"",'[6]BASE'!G62)</f>
        <v>C</v>
      </c>
      <c r="H62" s="847">
        <f>IF('[7]BASE'!HM62=0,"",'[7]BASE'!HM62)</f>
      </c>
      <c r="I62" s="847">
        <f>IF('[7]BASE'!HN62=0,"",'[7]BASE'!HN62)</f>
      </c>
      <c r="J62" s="847">
        <f>IF('[7]BASE'!HO62=0,"",'[7]BASE'!HO62)</f>
      </c>
      <c r="K62" s="847">
        <f>IF('[7]BASE'!HP62=0,"",'[7]BASE'!HP62)</f>
      </c>
      <c r="L62" s="847">
        <f>IF('[7]BASE'!HQ62=0,"",'[7]BASE'!HQ62)</f>
      </c>
      <c r="M62" s="847">
        <f>IF('[7]BASE'!HR62=0,"",'[7]BASE'!HR62)</f>
      </c>
      <c r="N62" s="847">
        <f>IF('[7]BASE'!HS62=0,"",'[7]BASE'!HS62)</f>
      </c>
      <c r="O62" s="847">
        <f>IF('[7]BASE'!HT62=0,"",'[7]BASE'!HT62)</f>
      </c>
      <c r="P62" s="847">
        <f>IF('[7]BASE'!HU62=0,"",'[7]BASE'!HU62)</f>
      </c>
      <c r="Q62" s="847">
        <f>IF('[7]BASE'!HV62=0,"",'[7]BASE'!HV62)</f>
      </c>
      <c r="R62" s="847">
        <f>IF('[7]BASE'!HW62=0,"",'[7]BASE'!HW62)</f>
      </c>
      <c r="S62" s="847">
        <f>IF('[7]BASE'!HX62=0,"",'[7]BASE'!HX62)</f>
      </c>
      <c r="T62" s="848"/>
      <c r="U62" s="845"/>
    </row>
    <row r="63" spans="2:21" s="839" customFormat="1" ht="19.5" customHeight="1">
      <c r="B63" s="840"/>
      <c r="C63" s="846">
        <f>IF('[7]BASE'!C63=0,"",'[7]BASE'!C63)</f>
      </c>
      <c r="D63" s="846" t="str">
        <f>IF('[7]BASE'!D63=0,"",'[7]BASE'!D63)</f>
        <v>RIO CORONDA - SANTO TOME</v>
      </c>
      <c r="E63" s="846">
        <f>IF('[7]BASE'!E63=0,"",'[7]BASE'!E63)</f>
        <v>500</v>
      </c>
      <c r="F63" s="846">
        <f>IF('[7]BASE'!F63=0,"",'[7]BASE'!F63)</f>
        <v>137.94</v>
      </c>
      <c r="G63" s="846" t="str">
        <f>IF('[6]BASE'!G63=0,"",'[6]BASE'!G63)</f>
        <v>A</v>
      </c>
      <c r="H63" s="847">
        <f>IF('[7]BASE'!HM63=0,"",'[7]BASE'!HM63)</f>
      </c>
      <c r="I63" s="847">
        <f>IF('[7]BASE'!HN63=0,"",'[7]BASE'!HN63)</f>
      </c>
      <c r="J63" s="847">
        <f>IF('[7]BASE'!HO63=0,"",'[7]BASE'!HO63)</f>
        <v>1</v>
      </c>
      <c r="K63" s="847">
        <f>IF('[7]BASE'!HP63=0,"",'[7]BASE'!HP63)</f>
      </c>
      <c r="L63" s="847">
        <f>IF('[7]BASE'!HQ63=0,"",'[7]BASE'!HQ63)</f>
      </c>
      <c r="M63" s="847">
        <f>IF('[7]BASE'!HR63=0,"",'[7]BASE'!HR63)</f>
      </c>
      <c r="N63" s="847">
        <f>IF('[7]BASE'!HS63=0,"",'[7]BASE'!HS63)</f>
      </c>
      <c r="O63" s="847">
        <f>IF('[7]BASE'!HT63=0,"",'[7]BASE'!HT63)</f>
      </c>
      <c r="P63" s="847">
        <f>IF('[7]BASE'!HU63=0,"",'[7]BASE'!HU63)</f>
      </c>
      <c r="Q63" s="847">
        <f>IF('[7]BASE'!HV63=0,"",'[7]BASE'!HV63)</f>
      </c>
      <c r="R63" s="847">
        <f>IF('[7]BASE'!HW63=0,"",'[7]BASE'!HW63)</f>
      </c>
      <c r="S63" s="847">
        <f>IF('[7]BASE'!HX63=0,"",'[7]BASE'!HX63)</f>
      </c>
      <c r="T63" s="848"/>
      <c r="U63" s="845"/>
    </row>
    <row r="64" spans="2:21" s="839" customFormat="1" ht="19.5" customHeight="1">
      <c r="B64" s="840"/>
      <c r="C64" s="846">
        <f>IF('[7]BASE'!C64=0,"",'[7]BASE'!C64)</f>
        <v>46</v>
      </c>
      <c r="D64" s="846" t="str">
        <f>IF('[7]BASE'!D64=0,"",'[7]BASE'!D64)</f>
        <v>SALTO GRANDE - SANTO TOME </v>
      </c>
      <c r="E64" s="846">
        <f>IF('[7]BASE'!E64=0,"",'[7]BASE'!E64)</f>
        <v>500</v>
      </c>
      <c r="F64" s="846">
        <f>IF('[7]BASE'!F64=0,"",'[7]BASE'!F64)</f>
        <v>289</v>
      </c>
      <c r="G64" s="846" t="str">
        <f>IF('[6]BASE'!G64=0,"",'[6]BASE'!G64)</f>
        <v>C</v>
      </c>
      <c r="H64" s="847">
        <f>IF('[7]BASE'!HM64=0,"",'[7]BASE'!HM64)</f>
        <v>1</v>
      </c>
      <c r="I64" s="847">
        <f>IF('[7]BASE'!HN64=0,"",'[7]BASE'!HN64)</f>
      </c>
      <c r="J64" s="847">
        <f>IF('[7]BASE'!HO64=0,"",'[7]BASE'!HO64)</f>
        <v>1</v>
      </c>
      <c r="K64" s="847">
        <f>IF('[7]BASE'!HP64=0,"",'[7]BASE'!HP64)</f>
      </c>
      <c r="L64" s="847">
        <f>IF('[7]BASE'!HQ64=0,"",'[7]BASE'!HQ64)</f>
      </c>
      <c r="M64" s="847">
        <f>IF('[7]BASE'!HR64=0,"",'[7]BASE'!HR64)</f>
      </c>
      <c r="N64" s="847">
        <f>IF('[7]BASE'!HS64=0,"",'[7]BASE'!HS64)</f>
      </c>
      <c r="O64" s="847">
        <f>IF('[7]BASE'!HT64=0,"",'[7]BASE'!HT64)</f>
      </c>
      <c r="P64" s="847">
        <f>IF('[7]BASE'!HU64=0,"",'[7]BASE'!HU64)</f>
      </c>
      <c r="Q64" s="847">
        <f>IF('[7]BASE'!HV64=0,"",'[7]BASE'!HV64)</f>
      </c>
      <c r="R64" s="847">
        <f>IF('[7]BASE'!HW64=0,"",'[7]BASE'!HW64)</f>
      </c>
      <c r="S64" s="847">
        <f>IF('[7]BASE'!HX64=0,"",'[7]BASE'!HX64)</f>
      </c>
      <c r="T64" s="848"/>
      <c r="U64" s="845"/>
    </row>
    <row r="65" spans="2:21" s="839" customFormat="1" ht="19.5" customHeight="1">
      <c r="B65" s="840"/>
      <c r="C65" s="846">
        <f>IF('[7]BASE'!C65=0,"",'[7]BASE'!C65)</f>
        <v>47</v>
      </c>
      <c r="D65" s="846" t="str">
        <f>IF('[7]BASE'!D65=0,"",'[7]BASE'!D65)</f>
        <v>SANTO TOME - ROMANG </v>
      </c>
      <c r="E65" s="846">
        <f>IF('[7]BASE'!E65=0,"",'[7]BASE'!E65)</f>
        <v>500</v>
      </c>
      <c r="F65" s="846">
        <f>IF('[7]BASE'!F65=0,"",'[7]BASE'!F65)</f>
        <v>270</v>
      </c>
      <c r="G65" s="846" t="str">
        <f>IF('[6]BASE'!G65=0,"",'[6]BASE'!G65)</f>
        <v>C</v>
      </c>
      <c r="H65" s="847">
        <f>IF('[7]BASE'!HM65=0,"",'[7]BASE'!HM65)</f>
      </c>
      <c r="I65" s="847">
        <f>IF('[7]BASE'!HN65=0,"",'[7]BASE'!HN65)</f>
      </c>
      <c r="J65" s="847">
        <f>IF('[7]BASE'!HO65=0,"",'[7]BASE'!HO65)</f>
      </c>
      <c r="K65" s="847">
        <f>IF('[7]BASE'!HP65=0,"",'[7]BASE'!HP65)</f>
      </c>
      <c r="L65" s="847">
        <f>IF('[7]BASE'!HQ65=0,"",'[7]BASE'!HQ65)</f>
      </c>
      <c r="M65" s="847">
        <f>IF('[7]BASE'!HR65=0,"",'[7]BASE'!HR65)</f>
      </c>
      <c r="N65" s="847">
        <f>IF('[7]BASE'!HS65=0,"",'[7]BASE'!HS65)</f>
      </c>
      <c r="O65" s="847">
        <f>IF('[7]BASE'!HT65=0,"",'[7]BASE'!HT65)</f>
        <v>1</v>
      </c>
      <c r="P65" s="847">
        <f>IF('[7]BASE'!HU65=0,"",'[7]BASE'!HU65)</f>
      </c>
      <c r="Q65" s="847">
        <f>IF('[7]BASE'!HV65=0,"",'[7]BASE'!HV65)</f>
      </c>
      <c r="R65" s="847">
        <f>IF('[7]BASE'!HW65=0,"",'[7]BASE'!HW65)</f>
      </c>
      <c r="S65" s="847">
        <f>IF('[7]BASE'!HX65=0,"",'[7]BASE'!HX65)</f>
      </c>
      <c r="T65" s="848"/>
      <c r="U65" s="845"/>
    </row>
    <row r="66" spans="2:21" s="839" customFormat="1" ht="19.5" customHeight="1">
      <c r="B66" s="840"/>
      <c r="C66" s="846">
        <f>IF('[7]BASE'!C66=0,"",'[7]BASE'!C66)</f>
      </c>
      <c r="D66" s="846">
        <f>IF('[7]BASE'!D66=0,"",'[7]BASE'!D66)</f>
      </c>
      <c r="E66" s="846">
        <f>IF('[7]BASE'!E66=0,"",'[7]BASE'!E66)</f>
      </c>
      <c r="F66" s="846">
        <f>IF('[7]BASE'!F66=0,"",'[7]BASE'!F66)</f>
      </c>
      <c r="G66" s="846" t="str">
        <f>IF('[6]BASE'!G66=0,"",'[6]BASE'!G66)</f>
        <v>C</v>
      </c>
      <c r="H66" s="847">
        <f>IF('[7]BASE'!HM66=0,"",'[7]BASE'!HM66)</f>
      </c>
      <c r="I66" s="847">
        <f>IF('[7]BASE'!HN66=0,"",'[7]BASE'!HN66)</f>
      </c>
      <c r="J66" s="847">
        <f>IF('[7]BASE'!HO66=0,"",'[7]BASE'!HO66)</f>
      </c>
      <c r="K66" s="847">
        <f>IF('[7]BASE'!HP66=0,"",'[7]BASE'!HP66)</f>
      </c>
      <c r="L66" s="847">
        <f>IF('[7]BASE'!HQ66=0,"",'[7]BASE'!HQ66)</f>
      </c>
      <c r="M66" s="847">
        <f>IF('[7]BASE'!HR66=0,"",'[7]BASE'!HR66)</f>
      </c>
      <c r="N66" s="847">
        <f>IF('[7]BASE'!HS66=0,"",'[7]BASE'!HS66)</f>
      </c>
      <c r="O66" s="847">
        <f>IF('[7]BASE'!HT66=0,"",'[7]BASE'!HT66)</f>
      </c>
      <c r="P66" s="847">
        <f>IF('[7]BASE'!HU66=0,"",'[7]BASE'!HU66)</f>
      </c>
      <c r="Q66" s="847">
        <f>IF('[7]BASE'!HV66=0,"",'[7]BASE'!HV66)</f>
      </c>
      <c r="R66" s="847">
        <f>IF('[7]BASE'!HW66=0,"",'[7]BASE'!HW66)</f>
      </c>
      <c r="S66" s="847">
        <f>IF('[7]BASE'!HX66=0,"",'[7]BASE'!HX66)</f>
      </c>
      <c r="T66" s="848"/>
      <c r="U66" s="845"/>
    </row>
    <row r="67" spans="2:21" s="839" customFormat="1" ht="19.5" customHeight="1">
      <c r="B67" s="840"/>
      <c r="C67" s="846">
        <f>IF('[7]BASE'!C67=0,"",'[7]BASE'!C67)</f>
        <v>48</v>
      </c>
      <c r="D67" s="846" t="str">
        <f>IF('[7]BASE'!D67=0,"",'[7]BASE'!D67)</f>
        <v>GRAL. RODRIGUEZ - VILLA  LIA 1</v>
      </c>
      <c r="E67" s="846">
        <f>IF('[7]BASE'!E67=0,"",'[7]BASE'!E67)</f>
        <v>220</v>
      </c>
      <c r="F67" s="846">
        <f>IF('[7]BASE'!F67=0,"",'[7]BASE'!F67)</f>
        <v>61</v>
      </c>
      <c r="G67" s="846" t="str">
        <f>IF('[6]BASE'!G67=0,"",'[6]BASE'!G67)</f>
        <v>C</v>
      </c>
      <c r="H67" s="847">
        <f>IF('[7]BASE'!HM67=0,"",'[7]BASE'!HM67)</f>
      </c>
      <c r="I67" s="847">
        <f>IF('[7]BASE'!HN67=0,"",'[7]BASE'!HN67)</f>
      </c>
      <c r="J67" s="847">
        <f>IF('[7]BASE'!HO67=0,"",'[7]BASE'!HO67)</f>
      </c>
      <c r="K67" s="847">
        <f>IF('[7]BASE'!HP67=0,"",'[7]BASE'!HP67)</f>
      </c>
      <c r="L67" s="847">
        <f>IF('[7]BASE'!HQ67=0,"",'[7]BASE'!HQ67)</f>
        <v>1</v>
      </c>
      <c r="M67" s="847">
        <f>IF('[7]BASE'!HR67=0,"",'[7]BASE'!HR67)</f>
      </c>
      <c r="N67" s="847">
        <f>IF('[7]BASE'!HS67=0,"",'[7]BASE'!HS67)</f>
      </c>
      <c r="O67" s="847">
        <f>IF('[7]BASE'!HT67=0,"",'[7]BASE'!HT67)</f>
      </c>
      <c r="P67" s="847">
        <f>IF('[7]BASE'!HU67=0,"",'[7]BASE'!HU67)</f>
      </c>
      <c r="Q67" s="847">
        <f>IF('[7]BASE'!HV67=0,"",'[7]BASE'!HV67)</f>
      </c>
      <c r="R67" s="847">
        <f>IF('[7]BASE'!HW67=0,"",'[7]BASE'!HW67)</f>
      </c>
      <c r="S67" s="847">
        <f>IF('[7]BASE'!HX67=0,"",'[7]BASE'!HX67)</f>
      </c>
      <c r="T67" s="848"/>
      <c r="U67" s="845"/>
    </row>
    <row r="68" spans="2:21" s="839" customFormat="1" ht="19.5" customHeight="1">
      <c r="B68" s="840"/>
      <c r="C68" s="846">
        <f>IF('[7]BASE'!C68=0,"",'[7]BASE'!C68)</f>
        <v>49</v>
      </c>
      <c r="D68" s="846" t="str">
        <f>IF('[7]BASE'!D68=0,"",'[7]BASE'!D68)</f>
        <v>GRAL. RODRIGUEZ - VILLA  LIA 2</v>
      </c>
      <c r="E68" s="846">
        <f>IF('[7]BASE'!E68=0,"",'[7]BASE'!E68)</f>
        <v>220</v>
      </c>
      <c r="F68" s="846">
        <f>IF('[7]BASE'!F68=0,"",'[7]BASE'!F68)</f>
        <v>61</v>
      </c>
      <c r="G68" s="846" t="str">
        <f>IF('[6]BASE'!G68=0,"",'[6]BASE'!G68)</f>
        <v>C</v>
      </c>
      <c r="H68" s="847">
        <f>IF('[7]BASE'!HM68=0,"",'[7]BASE'!HM68)</f>
      </c>
      <c r="I68" s="847">
        <f>IF('[7]BASE'!HN68=0,"",'[7]BASE'!HN68)</f>
      </c>
      <c r="J68" s="847">
        <f>IF('[7]BASE'!HO68=0,"",'[7]BASE'!HO68)</f>
      </c>
      <c r="K68" s="847">
        <f>IF('[7]BASE'!HP68=0,"",'[7]BASE'!HP68)</f>
      </c>
      <c r="L68" s="847">
        <f>IF('[7]BASE'!HQ68=0,"",'[7]BASE'!HQ68)</f>
      </c>
      <c r="M68" s="847">
        <f>IF('[7]BASE'!HR68=0,"",'[7]BASE'!HR68)</f>
      </c>
      <c r="N68" s="847">
        <f>IF('[7]BASE'!HS68=0,"",'[7]BASE'!HS68)</f>
      </c>
      <c r="O68" s="847">
        <f>IF('[7]BASE'!HT68=0,"",'[7]BASE'!HT68)</f>
      </c>
      <c r="P68" s="847">
        <f>IF('[7]BASE'!HU68=0,"",'[7]BASE'!HU68)</f>
      </c>
      <c r="Q68" s="847">
        <f>IF('[7]BASE'!HV68=0,"",'[7]BASE'!HV68)</f>
      </c>
      <c r="R68" s="847">
        <f>IF('[7]BASE'!HW68=0,"",'[7]BASE'!HW68)</f>
      </c>
      <c r="S68" s="847">
        <f>IF('[7]BASE'!HX68=0,"",'[7]BASE'!HX68)</f>
      </c>
      <c r="T68" s="848"/>
      <c r="U68" s="845"/>
    </row>
    <row r="69" spans="2:21" s="839" customFormat="1" ht="19.5" customHeight="1">
      <c r="B69" s="840"/>
      <c r="C69" s="846">
        <f>IF('[7]BASE'!C69=0,"",'[7]BASE'!C69)</f>
        <v>50</v>
      </c>
      <c r="D69" s="846" t="str">
        <f>IF('[7]BASE'!D69=0,"",'[7]BASE'!D69)</f>
        <v>RAMALLO - SAN NICOLAS (2)</v>
      </c>
      <c r="E69" s="846">
        <f>IF('[7]BASE'!E69=0,"",'[7]BASE'!E69)</f>
        <v>220</v>
      </c>
      <c r="F69" s="846">
        <f>IF('[7]BASE'!F69=0,"",'[7]BASE'!F69)</f>
        <v>6</v>
      </c>
      <c r="G69" s="846" t="str">
        <f>IF('[6]BASE'!G69=0,"",'[6]BASE'!G69)</f>
        <v>C</v>
      </c>
      <c r="H69" s="847">
        <f>IF('[7]BASE'!HM69=0,"",'[7]BASE'!HM69)</f>
      </c>
      <c r="I69" s="847">
        <f>IF('[7]BASE'!HN69=0,"",'[7]BASE'!HN69)</f>
      </c>
      <c r="J69" s="847">
        <f>IF('[7]BASE'!HO69=0,"",'[7]BASE'!HO69)</f>
      </c>
      <c r="K69" s="847">
        <f>IF('[7]BASE'!HP69=0,"",'[7]BASE'!HP69)</f>
      </c>
      <c r="L69" s="847">
        <f>IF('[7]BASE'!HQ69=0,"",'[7]BASE'!HQ69)</f>
      </c>
      <c r="M69" s="847">
        <f>IF('[7]BASE'!HR69=0,"",'[7]BASE'!HR69)</f>
      </c>
      <c r="N69" s="847">
        <f>IF('[7]BASE'!HS69=0,"",'[7]BASE'!HS69)</f>
      </c>
      <c r="O69" s="847">
        <f>IF('[7]BASE'!HT69=0,"",'[7]BASE'!HT69)</f>
      </c>
      <c r="P69" s="847">
        <f>IF('[7]BASE'!HU69=0,"",'[7]BASE'!HU69)</f>
      </c>
      <c r="Q69" s="847">
        <f>IF('[7]BASE'!HV69=0,"",'[7]BASE'!HV69)</f>
      </c>
      <c r="R69" s="847">
        <f>IF('[7]BASE'!HW69=0,"",'[7]BASE'!HW69)</f>
      </c>
      <c r="S69" s="847">
        <f>IF('[7]BASE'!HX69=0,"",'[7]BASE'!HX69)</f>
      </c>
      <c r="T69" s="848"/>
      <c r="U69" s="845"/>
    </row>
    <row r="70" spans="2:21" s="839" customFormat="1" ht="19.5" customHeight="1">
      <c r="B70" s="840"/>
      <c r="C70" s="846">
        <f>IF('[7]BASE'!C70=0,"",'[7]BASE'!C70)</f>
        <v>51</v>
      </c>
      <c r="D70" s="846" t="str">
        <f>IF('[7]BASE'!D70=0,"",'[7]BASE'!D70)</f>
        <v>RAMALLO - SAN NICOLAS (1)</v>
      </c>
      <c r="E70" s="846">
        <f>IF('[7]BASE'!E70=0,"",'[7]BASE'!E70)</f>
        <v>220</v>
      </c>
      <c r="F70" s="846">
        <f>IF('[7]BASE'!F70=0,"",'[7]BASE'!F70)</f>
        <v>6</v>
      </c>
      <c r="G70" s="846" t="str">
        <f>IF('[6]BASE'!G70=0,"",'[6]BASE'!G70)</f>
        <v>C</v>
      </c>
      <c r="H70" s="847">
        <f>IF('[7]BASE'!HM70=0,"",'[7]BASE'!HM70)</f>
      </c>
      <c r="I70" s="847">
        <f>IF('[7]BASE'!HN70=0,"",'[7]BASE'!HN70)</f>
      </c>
      <c r="J70" s="847">
        <f>IF('[7]BASE'!HO70=0,"",'[7]BASE'!HO70)</f>
      </c>
      <c r="K70" s="847">
        <f>IF('[7]BASE'!HP70=0,"",'[7]BASE'!HP70)</f>
      </c>
      <c r="L70" s="847">
        <f>IF('[7]BASE'!HQ70=0,"",'[7]BASE'!HQ70)</f>
      </c>
      <c r="M70" s="847">
        <f>IF('[7]BASE'!HR70=0,"",'[7]BASE'!HR70)</f>
      </c>
      <c r="N70" s="847">
        <f>IF('[7]BASE'!HS70=0,"",'[7]BASE'!HS70)</f>
      </c>
      <c r="O70" s="847">
        <f>IF('[7]BASE'!HT70=0,"",'[7]BASE'!HT70)</f>
      </c>
      <c r="P70" s="847">
        <f>IF('[7]BASE'!HU70=0,"",'[7]BASE'!HU70)</f>
      </c>
      <c r="Q70" s="847">
        <f>IF('[7]BASE'!HV70=0,"",'[7]BASE'!HV70)</f>
      </c>
      <c r="R70" s="847">
        <f>IF('[7]BASE'!HW70=0,"",'[7]BASE'!HW70)</f>
      </c>
      <c r="S70" s="847">
        <f>IF('[7]BASE'!HX70=0,"",'[7]BASE'!HX70)</f>
      </c>
      <c r="T70" s="848"/>
      <c r="U70" s="845"/>
    </row>
    <row r="71" spans="2:21" s="839" customFormat="1" ht="19.5" customHeight="1">
      <c r="B71" s="840"/>
      <c r="C71" s="846">
        <f>IF('[7]BASE'!C71=0,"",'[7]BASE'!C71)</f>
        <v>52</v>
      </c>
      <c r="D71" s="846" t="str">
        <f>IF('[7]BASE'!D71=0,"",'[7]BASE'!D71)</f>
        <v>RAMALLO - VILLA LIA  1</v>
      </c>
      <c r="E71" s="846">
        <f>IF('[7]BASE'!E71=0,"",'[7]BASE'!E71)</f>
        <v>220</v>
      </c>
      <c r="F71" s="846">
        <f>IF('[7]BASE'!F71=0,"",'[7]BASE'!F71)</f>
        <v>114</v>
      </c>
      <c r="G71" s="846" t="str">
        <f>IF('[6]BASE'!G71=0,"",'[6]BASE'!G71)</f>
        <v>C</v>
      </c>
      <c r="H71" s="847">
        <f>IF('[7]BASE'!HM71=0,"",'[7]BASE'!HM71)</f>
      </c>
      <c r="I71" s="847">
        <f>IF('[7]BASE'!HN71=0,"",'[7]BASE'!HN71)</f>
      </c>
      <c r="J71" s="847">
        <f>IF('[7]BASE'!HO71=0,"",'[7]BASE'!HO71)</f>
      </c>
      <c r="K71" s="847">
        <f>IF('[7]BASE'!HP71=0,"",'[7]BASE'!HP71)</f>
      </c>
      <c r="L71" s="847">
        <f>IF('[7]BASE'!HQ71=0,"",'[7]BASE'!HQ71)</f>
      </c>
      <c r="M71" s="847">
        <f>IF('[7]BASE'!HR71=0,"",'[7]BASE'!HR71)</f>
        <v>1</v>
      </c>
      <c r="N71" s="847">
        <f>IF('[7]BASE'!HS71=0,"",'[7]BASE'!HS71)</f>
        <v>1</v>
      </c>
      <c r="O71" s="847">
        <f>IF('[7]BASE'!HT71=0,"",'[7]BASE'!HT71)</f>
      </c>
      <c r="P71" s="847">
        <f>IF('[7]BASE'!HU71=0,"",'[7]BASE'!HU71)</f>
        <v>2</v>
      </c>
      <c r="Q71" s="847">
        <f>IF('[7]BASE'!HV71=0,"",'[7]BASE'!HV71)</f>
      </c>
      <c r="R71" s="847">
        <f>IF('[7]BASE'!HW71=0,"",'[7]BASE'!HW71)</f>
      </c>
      <c r="S71" s="847">
        <f>IF('[7]BASE'!HX71=0,"",'[7]BASE'!HX71)</f>
        <v>2</v>
      </c>
      <c r="T71" s="848"/>
      <c r="U71" s="845"/>
    </row>
    <row r="72" spans="2:21" s="839" customFormat="1" ht="19.5" customHeight="1">
      <c r="B72" s="840"/>
      <c r="C72" s="846">
        <f>IF('[7]BASE'!C72=0,"",'[7]BASE'!C72)</f>
        <v>53</v>
      </c>
      <c r="D72" s="846" t="str">
        <f>IF('[7]BASE'!D72=0,"",'[7]BASE'!D72)</f>
        <v>RAMALLO - VILLA LIA  2</v>
      </c>
      <c r="E72" s="846">
        <f>IF('[7]BASE'!E72=0,"",'[7]BASE'!E72)</f>
        <v>220</v>
      </c>
      <c r="F72" s="846">
        <f>IF('[7]BASE'!F72=0,"",'[7]BASE'!F72)</f>
        <v>114</v>
      </c>
      <c r="G72" s="846" t="str">
        <f>IF('[6]BASE'!G72=0,"",'[6]BASE'!G72)</f>
        <v>C</v>
      </c>
      <c r="H72" s="847">
        <f>IF('[7]BASE'!HM72=0,"",'[7]BASE'!HM72)</f>
      </c>
      <c r="I72" s="847">
        <f>IF('[7]BASE'!HN72=0,"",'[7]BASE'!HN72)</f>
      </c>
      <c r="J72" s="847">
        <f>IF('[7]BASE'!HO72=0,"",'[7]BASE'!HO72)</f>
      </c>
      <c r="K72" s="847">
        <f>IF('[7]BASE'!HP72=0,"",'[7]BASE'!HP72)</f>
      </c>
      <c r="L72" s="847">
        <f>IF('[7]BASE'!HQ72=0,"",'[7]BASE'!HQ72)</f>
      </c>
      <c r="M72" s="847">
        <f>IF('[7]BASE'!HR72=0,"",'[7]BASE'!HR72)</f>
      </c>
      <c r="N72" s="847">
        <f>IF('[7]BASE'!HS72=0,"",'[7]BASE'!HS72)</f>
      </c>
      <c r="O72" s="847">
        <f>IF('[7]BASE'!HT72=0,"",'[7]BASE'!HT72)</f>
      </c>
      <c r="P72" s="847">
        <f>IF('[7]BASE'!HU72=0,"",'[7]BASE'!HU72)</f>
        <v>1</v>
      </c>
      <c r="Q72" s="847">
        <f>IF('[7]BASE'!HV72=0,"",'[7]BASE'!HV72)</f>
        <v>1</v>
      </c>
      <c r="R72" s="847">
        <f>IF('[7]BASE'!HW72=0,"",'[7]BASE'!HW72)</f>
      </c>
      <c r="S72" s="847">
        <f>IF('[7]BASE'!HX72=0,"",'[7]BASE'!HX72)</f>
      </c>
      <c r="T72" s="848"/>
      <c r="U72" s="845"/>
    </row>
    <row r="73" spans="2:21" s="839" customFormat="1" ht="19.5" customHeight="1">
      <c r="B73" s="840"/>
      <c r="C73" s="846">
        <f>IF('[7]BASE'!C73=0,"",'[7]BASE'!C73)</f>
        <v>54</v>
      </c>
      <c r="D73" s="846" t="str">
        <f>IF('[7]BASE'!D73=0,"",'[7]BASE'!D73)</f>
        <v>ROSARIO OESTE - RAMALLO  1</v>
      </c>
      <c r="E73" s="846">
        <f>IF('[7]BASE'!E73=0,"",'[7]BASE'!E73)</f>
        <v>220</v>
      </c>
      <c r="F73" s="846">
        <f>IF('[7]BASE'!F73=0,"",'[7]BASE'!F73)</f>
        <v>77</v>
      </c>
      <c r="G73" s="846" t="str">
        <f>IF('[6]BASE'!G73=0,"",'[6]BASE'!G73)</f>
        <v>C</v>
      </c>
      <c r="H73" s="847">
        <f>IF('[7]BASE'!HM73=0,"",'[7]BASE'!HM73)</f>
      </c>
      <c r="I73" s="847">
        <f>IF('[7]BASE'!HN73=0,"",'[7]BASE'!HN73)</f>
      </c>
      <c r="J73" s="847">
        <f>IF('[7]BASE'!HO73=0,"",'[7]BASE'!HO73)</f>
      </c>
      <c r="K73" s="847">
        <f>IF('[7]BASE'!HP73=0,"",'[7]BASE'!HP73)</f>
      </c>
      <c r="L73" s="847">
        <f>IF('[7]BASE'!HQ73=0,"",'[7]BASE'!HQ73)</f>
      </c>
      <c r="M73" s="847">
        <f>IF('[7]BASE'!HR73=0,"",'[7]BASE'!HR73)</f>
      </c>
      <c r="N73" s="847">
        <f>IF('[7]BASE'!HS73=0,"",'[7]BASE'!HS73)</f>
      </c>
      <c r="O73" s="847">
        <f>IF('[7]BASE'!HT73=0,"",'[7]BASE'!HT73)</f>
      </c>
      <c r="P73" s="847">
        <f>IF('[7]BASE'!HU73=0,"",'[7]BASE'!HU73)</f>
        <v>1</v>
      </c>
      <c r="Q73" s="847">
        <f>IF('[7]BASE'!HV73=0,"",'[7]BASE'!HV73)</f>
      </c>
      <c r="R73" s="847">
        <f>IF('[7]BASE'!HW73=0,"",'[7]BASE'!HW73)</f>
      </c>
      <c r="S73" s="847">
        <f>IF('[7]BASE'!HX73=0,"",'[7]BASE'!HX73)</f>
      </c>
      <c r="T73" s="848"/>
      <c r="U73" s="845"/>
    </row>
    <row r="74" spans="2:21" s="839" customFormat="1" ht="19.5" customHeight="1">
      <c r="B74" s="840"/>
      <c r="C74" s="846">
        <f>IF('[7]BASE'!C74=0,"",'[7]BASE'!C74)</f>
        <v>55</v>
      </c>
      <c r="D74" s="846" t="str">
        <f>IF('[7]BASE'!D74=0,"",'[7]BASE'!D74)</f>
        <v>ROSARIO OESTE - RAMALLO  2</v>
      </c>
      <c r="E74" s="846">
        <f>IF('[7]BASE'!E74=0,"",'[7]BASE'!E74)</f>
        <v>220</v>
      </c>
      <c r="F74" s="846">
        <f>IF('[7]BASE'!F74=0,"",'[7]BASE'!F74)</f>
        <v>77</v>
      </c>
      <c r="G74" s="846" t="str">
        <f>IF('[6]BASE'!G74=0,"",'[6]BASE'!G74)</f>
        <v>C</v>
      </c>
      <c r="H74" s="847">
        <f>IF('[7]BASE'!HM74=0,"",'[7]BASE'!HM74)</f>
      </c>
      <c r="I74" s="847">
        <f>IF('[7]BASE'!HN74=0,"",'[7]BASE'!HN74)</f>
      </c>
      <c r="J74" s="847">
        <f>IF('[7]BASE'!HO74=0,"",'[7]BASE'!HO74)</f>
      </c>
      <c r="K74" s="847">
        <f>IF('[7]BASE'!HP74=0,"",'[7]BASE'!HP74)</f>
      </c>
      <c r="L74" s="847">
        <f>IF('[7]BASE'!HQ74=0,"",'[7]BASE'!HQ74)</f>
      </c>
      <c r="M74" s="847">
        <f>IF('[7]BASE'!HR74=0,"",'[7]BASE'!HR74)</f>
      </c>
      <c r="N74" s="847">
        <f>IF('[7]BASE'!HS74=0,"",'[7]BASE'!HS74)</f>
      </c>
      <c r="O74" s="847">
        <f>IF('[7]BASE'!HT74=0,"",'[7]BASE'!HT74)</f>
      </c>
      <c r="P74" s="847">
        <f>IF('[7]BASE'!HU74=0,"",'[7]BASE'!HU74)</f>
      </c>
      <c r="Q74" s="847">
        <f>IF('[7]BASE'!HV74=0,"",'[7]BASE'!HV74)</f>
      </c>
      <c r="R74" s="847">
        <f>IF('[7]BASE'!HW74=0,"",'[7]BASE'!HW74)</f>
      </c>
      <c r="S74" s="847">
        <f>IF('[7]BASE'!HX74=0,"",'[7]BASE'!HX74)</f>
      </c>
      <c r="T74" s="848"/>
      <c r="U74" s="845"/>
    </row>
    <row r="75" spans="2:21" s="839" customFormat="1" ht="19.5" customHeight="1">
      <c r="B75" s="840"/>
      <c r="C75" s="846">
        <f>IF('[7]BASE'!C75=0,"",'[7]BASE'!C75)</f>
        <v>56</v>
      </c>
      <c r="D75" s="846" t="str">
        <f>IF('[7]BASE'!D75=0,"",'[7]BASE'!D75)</f>
        <v>VILLA LIA - ATUCHA 1</v>
      </c>
      <c r="E75" s="846">
        <f>IF('[7]BASE'!E75=0,"",'[7]BASE'!E75)</f>
        <v>220</v>
      </c>
      <c r="F75" s="846">
        <f>IF('[7]BASE'!F75=0,"",'[7]BASE'!F75)</f>
        <v>26</v>
      </c>
      <c r="G75" s="846" t="str">
        <f>IF('[6]BASE'!G75=0,"",'[6]BASE'!G75)</f>
        <v>C</v>
      </c>
      <c r="H75" s="847">
        <f>IF('[7]BASE'!HM75=0,"",'[7]BASE'!HM75)</f>
      </c>
      <c r="I75" s="847">
        <f>IF('[7]BASE'!HN75=0,"",'[7]BASE'!HN75)</f>
      </c>
      <c r="J75" s="847">
        <f>IF('[7]BASE'!HO75=0,"",'[7]BASE'!HO75)</f>
      </c>
      <c r="K75" s="847">
        <f>IF('[7]BASE'!HP75=0,"",'[7]BASE'!HP75)</f>
      </c>
      <c r="L75" s="847">
        <f>IF('[7]BASE'!HQ75=0,"",'[7]BASE'!HQ75)</f>
      </c>
      <c r="M75" s="847">
        <f>IF('[7]BASE'!HR75=0,"",'[7]BASE'!HR75)</f>
      </c>
      <c r="N75" s="847">
        <f>IF('[7]BASE'!HS75=0,"",'[7]BASE'!HS75)</f>
      </c>
      <c r="O75" s="847">
        <f>IF('[7]BASE'!HT75=0,"",'[7]BASE'!HT75)</f>
      </c>
      <c r="P75" s="847">
        <f>IF('[7]BASE'!HU75=0,"",'[7]BASE'!HU75)</f>
      </c>
      <c r="Q75" s="847">
        <f>IF('[7]BASE'!HV75=0,"",'[7]BASE'!HV75)</f>
      </c>
      <c r="R75" s="847">
        <f>IF('[7]BASE'!HW75=0,"",'[7]BASE'!HW75)</f>
      </c>
      <c r="S75" s="847">
        <f>IF('[7]BASE'!HX75=0,"",'[7]BASE'!HX75)</f>
      </c>
      <c r="T75" s="848"/>
      <c r="U75" s="845"/>
    </row>
    <row r="76" spans="2:21" s="839" customFormat="1" ht="19.5" customHeight="1">
      <c r="B76" s="840"/>
      <c r="C76" s="846">
        <f>IF('[7]BASE'!C76=0,"",'[7]BASE'!C76)</f>
        <v>57</v>
      </c>
      <c r="D76" s="846" t="str">
        <f>IF('[7]BASE'!D76=0,"",'[7]BASE'!D76)</f>
        <v>VILLA LIA - ATUCHA 2</v>
      </c>
      <c r="E76" s="846">
        <f>IF('[7]BASE'!E76=0,"",'[7]BASE'!E76)</f>
        <v>220</v>
      </c>
      <c r="F76" s="846">
        <f>IF('[7]BASE'!F76=0,"",'[7]BASE'!F76)</f>
        <v>26</v>
      </c>
      <c r="G76" s="846" t="str">
        <f>IF('[6]BASE'!G76=0,"",'[6]BASE'!G76)</f>
        <v>C</v>
      </c>
      <c r="H76" s="847">
        <f>IF('[7]BASE'!HM76=0,"",'[7]BASE'!HM76)</f>
      </c>
      <c r="I76" s="847">
        <f>IF('[7]BASE'!HN76=0,"",'[7]BASE'!HN76)</f>
      </c>
      <c r="J76" s="847">
        <f>IF('[7]BASE'!HO76=0,"",'[7]BASE'!HO76)</f>
      </c>
      <c r="K76" s="847">
        <f>IF('[7]BASE'!HP76=0,"",'[7]BASE'!HP76)</f>
      </c>
      <c r="L76" s="847">
        <f>IF('[7]BASE'!HQ76=0,"",'[7]BASE'!HQ76)</f>
      </c>
      <c r="M76" s="847">
        <f>IF('[7]BASE'!HR76=0,"",'[7]BASE'!HR76)</f>
      </c>
      <c r="N76" s="847">
        <f>IF('[7]BASE'!HS76=0,"",'[7]BASE'!HS76)</f>
      </c>
      <c r="O76" s="847">
        <f>IF('[7]BASE'!HT76=0,"",'[7]BASE'!HT76)</f>
      </c>
      <c r="P76" s="847">
        <f>IF('[7]BASE'!HU76=0,"",'[7]BASE'!HU76)</f>
      </c>
      <c r="Q76" s="847">
        <f>IF('[7]BASE'!HV76=0,"",'[7]BASE'!HV76)</f>
      </c>
      <c r="R76" s="847">
        <f>IF('[7]BASE'!HW76=0,"",'[7]BASE'!HW76)</f>
        <v>4</v>
      </c>
      <c r="S76" s="847">
        <f>IF('[7]BASE'!HX76=0,"",'[7]BASE'!HX76)</f>
      </c>
      <c r="T76" s="848"/>
      <c r="U76" s="845"/>
    </row>
    <row r="77" spans="2:21" s="839" customFormat="1" ht="19.5" customHeight="1">
      <c r="B77" s="840"/>
      <c r="C77" s="846">
        <f>IF('[7]BASE'!C77=0,"",'[7]BASE'!C77)</f>
      </c>
      <c r="D77" s="846">
        <f>IF('[7]BASE'!D77=0,"",'[7]BASE'!D77)</f>
      </c>
      <c r="E77" s="846">
        <f>IF('[7]BASE'!E77=0,"",'[7]BASE'!E77)</f>
      </c>
      <c r="F77" s="846">
        <f>IF('[7]BASE'!F77=0,"",'[7]BASE'!F77)</f>
      </c>
      <c r="G77" s="846" t="str">
        <f>IF('[6]BASE'!G77=0,"",'[6]BASE'!G77)</f>
        <v>C</v>
      </c>
      <c r="H77" s="847">
        <f>IF('[7]BASE'!HM77=0,"",'[7]BASE'!HM77)</f>
      </c>
      <c r="I77" s="847">
        <f>IF('[7]BASE'!HN77=0,"",'[7]BASE'!HN77)</f>
      </c>
      <c r="J77" s="847">
        <f>IF('[7]BASE'!HO77=0,"",'[7]BASE'!HO77)</f>
      </c>
      <c r="K77" s="847">
        <f>IF('[7]BASE'!HP77=0,"",'[7]BASE'!HP77)</f>
      </c>
      <c r="L77" s="847">
        <f>IF('[7]BASE'!HQ77=0,"",'[7]BASE'!HQ77)</f>
      </c>
      <c r="M77" s="847">
        <f>IF('[7]BASE'!HR77=0,"",'[7]BASE'!HR77)</f>
      </c>
      <c r="N77" s="847">
        <f>IF('[7]BASE'!HS77=0,"",'[7]BASE'!HS77)</f>
      </c>
      <c r="O77" s="847">
        <f>IF('[7]BASE'!HT77=0,"",'[7]BASE'!HT77)</f>
      </c>
      <c r="P77" s="847">
        <f>IF('[7]BASE'!HU77=0,"",'[7]BASE'!HU77)</f>
      </c>
      <c r="Q77" s="847">
        <f>IF('[7]BASE'!HV77=0,"",'[7]BASE'!HV77)</f>
      </c>
      <c r="R77" s="847">
        <f>IF('[7]BASE'!HW77=0,"",'[7]BASE'!HW77)</f>
      </c>
      <c r="S77" s="847">
        <f>IF('[7]BASE'!HX77=0,"",'[7]BASE'!HX77)</f>
      </c>
      <c r="T77" s="848"/>
      <c r="U77" s="845"/>
    </row>
    <row r="78" spans="2:21" s="839" customFormat="1" ht="19.5" customHeight="1">
      <c r="B78" s="840"/>
      <c r="C78" s="846">
        <f>IF('[7]BASE'!C78=0,"",'[7]BASE'!C78)</f>
        <v>58</v>
      </c>
      <c r="D78" s="846" t="str">
        <f>IF('[7]BASE'!D78=0,"",'[7]BASE'!D78)</f>
        <v>GRAL RODRIGUEZ - RAMALLO</v>
      </c>
      <c r="E78" s="846">
        <f>IF('[7]BASE'!E78=0,"",'[7]BASE'!E78)</f>
        <v>500</v>
      </c>
      <c r="F78" s="846">
        <f>IF('[7]BASE'!F78=0,"",'[7]BASE'!F78)</f>
        <v>183.9</v>
      </c>
      <c r="G78" s="846" t="str">
        <f>IF('[6]BASE'!G78=0,"",'[6]BASE'!G78)</f>
        <v>A</v>
      </c>
      <c r="H78" s="847">
        <f>IF('[7]BASE'!HM78=0,"",'[7]BASE'!HM78)</f>
      </c>
      <c r="I78" s="847">
        <f>IF('[7]BASE'!HN78=0,"",'[7]BASE'!HN78)</f>
      </c>
      <c r="J78" s="847">
        <f>IF('[7]BASE'!HO78=0,"",'[7]BASE'!HO78)</f>
      </c>
      <c r="K78" s="847">
        <f>IF('[7]BASE'!HP78=0,"",'[7]BASE'!HP78)</f>
        <v>1</v>
      </c>
      <c r="L78" s="847">
        <f>IF('[7]BASE'!HQ78=0,"",'[7]BASE'!HQ78)</f>
      </c>
      <c r="M78" s="847">
        <f>IF('[7]BASE'!HR78=0,"",'[7]BASE'!HR78)</f>
      </c>
      <c r="N78" s="847">
        <f>IF('[7]BASE'!HS78=0,"",'[7]BASE'!HS78)</f>
      </c>
      <c r="O78" s="847">
        <f>IF('[7]BASE'!HT78=0,"",'[7]BASE'!HT78)</f>
      </c>
      <c r="P78" s="847">
        <f>IF('[7]BASE'!HU78=0,"",'[7]BASE'!HU78)</f>
      </c>
      <c r="Q78" s="847">
        <f>IF('[7]BASE'!HV78=0,"",'[7]BASE'!HV78)</f>
      </c>
      <c r="R78" s="847">
        <f>IF('[7]BASE'!HW78=0,"",'[7]BASE'!HW78)</f>
      </c>
      <c r="S78" s="847">
        <f>IF('[7]BASE'!HX78=0,"",'[7]BASE'!HX78)</f>
      </c>
      <c r="T78" s="848"/>
      <c r="U78" s="845"/>
    </row>
    <row r="79" spans="2:21" s="839" customFormat="1" ht="19.5" customHeight="1">
      <c r="B79" s="840"/>
      <c r="C79" s="846">
        <f>IF('[7]BASE'!C79=0,"",'[7]BASE'!C79)</f>
        <v>59</v>
      </c>
      <c r="D79" s="846" t="str">
        <f>IF('[7]BASE'!D79=0,"",'[7]BASE'!D79)</f>
        <v>RAMALLO - ROSARIO OESTE</v>
      </c>
      <c r="E79" s="846">
        <f>IF('[7]BASE'!E79=0,"",'[7]BASE'!E79)</f>
        <v>500</v>
      </c>
      <c r="F79" s="846">
        <f>IF('[7]BASE'!F79=0,"",'[7]BASE'!F79)</f>
        <v>77</v>
      </c>
      <c r="G79" s="846" t="str">
        <f>IF('[6]BASE'!G79=0,"",'[6]BASE'!G79)</f>
        <v>A</v>
      </c>
      <c r="H79" s="847">
        <f>IF('[7]BASE'!HM79=0,"",'[7]BASE'!HM79)</f>
      </c>
      <c r="I79" s="847">
        <f>IF('[7]BASE'!HN79=0,"",'[7]BASE'!HN79)</f>
      </c>
      <c r="J79" s="847">
        <f>IF('[7]BASE'!HO79=0,"",'[7]BASE'!HO79)</f>
      </c>
      <c r="K79" s="847">
        <f>IF('[7]BASE'!HP79=0,"",'[7]BASE'!HP79)</f>
      </c>
      <c r="L79" s="847">
        <f>IF('[7]BASE'!HQ79=0,"",'[7]BASE'!HQ79)</f>
      </c>
      <c r="M79" s="847">
        <f>IF('[7]BASE'!HR79=0,"",'[7]BASE'!HR79)</f>
      </c>
      <c r="N79" s="847">
        <f>IF('[7]BASE'!HS79=0,"",'[7]BASE'!HS79)</f>
      </c>
      <c r="O79" s="847">
        <f>IF('[7]BASE'!HT79=0,"",'[7]BASE'!HT79)</f>
      </c>
      <c r="P79" s="847">
        <f>IF('[7]BASE'!HU79=0,"",'[7]BASE'!HU79)</f>
      </c>
      <c r="Q79" s="847">
        <f>IF('[7]BASE'!HV79=0,"",'[7]BASE'!HV79)</f>
      </c>
      <c r="R79" s="847">
        <f>IF('[7]BASE'!HW79=0,"",'[7]BASE'!HW79)</f>
      </c>
      <c r="S79" s="847">
        <f>IF('[7]BASE'!HX79=0,"",'[7]BASE'!HX79)</f>
      </c>
      <c r="T79" s="848"/>
      <c r="U79" s="845"/>
    </row>
    <row r="80" spans="2:21" s="839" customFormat="1" ht="19.5" customHeight="1">
      <c r="B80" s="840"/>
      <c r="C80" s="846">
        <f>IF('[7]BASE'!C80=0,"",'[7]BASE'!C80)</f>
        <v>60</v>
      </c>
      <c r="D80" s="846" t="str">
        <f>IF('[7]BASE'!D80=0,"",'[7]BASE'!D80)</f>
        <v>MACACHIN - HENDERSON</v>
      </c>
      <c r="E80" s="846">
        <f>IF('[7]BASE'!E80=0,"",'[7]BASE'!E80)</f>
        <v>500</v>
      </c>
      <c r="F80" s="846">
        <f>IF('[7]BASE'!F80=0,"",'[7]BASE'!F80)</f>
        <v>194</v>
      </c>
      <c r="G80" s="846" t="str">
        <f>IF('[6]BASE'!G80=0,"",'[6]BASE'!G80)</f>
        <v>A</v>
      </c>
      <c r="H80" s="847">
        <f>IF('[7]BASE'!HM80=0,"",'[7]BASE'!HM80)</f>
      </c>
      <c r="I80" s="847">
        <f>IF('[7]BASE'!HN80=0,"",'[7]BASE'!HN80)</f>
      </c>
      <c r="J80" s="847">
        <f>IF('[7]BASE'!HO80=0,"",'[7]BASE'!HO80)</f>
      </c>
      <c r="K80" s="847">
        <f>IF('[7]BASE'!HP80=0,"",'[7]BASE'!HP80)</f>
      </c>
      <c r="L80" s="847">
        <f>IF('[7]BASE'!HQ80=0,"",'[7]BASE'!HQ80)</f>
      </c>
      <c r="M80" s="847">
        <f>IF('[7]BASE'!HR80=0,"",'[7]BASE'!HR80)</f>
      </c>
      <c r="N80" s="847">
        <f>IF('[7]BASE'!HS80=0,"",'[7]BASE'!HS80)</f>
      </c>
      <c r="O80" s="847">
        <f>IF('[7]BASE'!HT80=0,"",'[7]BASE'!HT80)</f>
      </c>
      <c r="P80" s="847">
        <f>IF('[7]BASE'!HU80=0,"",'[7]BASE'!HU80)</f>
      </c>
      <c r="Q80" s="847">
        <f>IF('[7]BASE'!HV80=0,"",'[7]BASE'!HV80)</f>
      </c>
      <c r="R80" s="847">
        <f>IF('[7]BASE'!HW80=0,"",'[7]BASE'!HW80)</f>
      </c>
      <c r="S80" s="847">
        <f>IF('[7]BASE'!HX80=0,"",'[7]BASE'!HX80)</f>
      </c>
      <c r="T80" s="848"/>
      <c r="U80" s="845"/>
    </row>
    <row r="81" spans="2:21" s="839" customFormat="1" ht="19.5" customHeight="1">
      <c r="B81" s="840"/>
      <c r="C81" s="846">
        <f>IF('[7]BASE'!C81=0,"",'[7]BASE'!C81)</f>
        <v>61</v>
      </c>
      <c r="D81" s="846" t="str">
        <f>IF('[7]BASE'!D81=0,"",'[7]BASE'!D81)</f>
        <v>PUELCHES - MACACHIN</v>
      </c>
      <c r="E81" s="846">
        <f>IF('[7]BASE'!E81=0,"",'[7]BASE'!E81)</f>
        <v>500</v>
      </c>
      <c r="F81" s="846">
        <f>IF('[7]BASE'!F81=0,"",'[7]BASE'!F81)</f>
        <v>227</v>
      </c>
      <c r="G81" s="846" t="str">
        <f>IF('[6]BASE'!G81=0,"",'[6]BASE'!G81)</f>
        <v>A</v>
      </c>
      <c r="H81" s="847">
        <f>IF('[7]BASE'!HM81=0,"",'[7]BASE'!HM81)</f>
      </c>
      <c r="I81" s="847">
        <f>IF('[7]BASE'!HN81=0,"",'[7]BASE'!HN81)</f>
      </c>
      <c r="J81" s="847">
        <f>IF('[7]BASE'!HO81=0,"",'[7]BASE'!HO81)</f>
      </c>
      <c r="K81" s="847">
        <f>IF('[7]BASE'!HP81=0,"",'[7]BASE'!HP81)</f>
      </c>
      <c r="L81" s="847">
        <f>IF('[7]BASE'!HQ81=0,"",'[7]BASE'!HQ81)</f>
      </c>
      <c r="M81" s="847">
        <f>IF('[7]BASE'!HR81=0,"",'[7]BASE'!HR81)</f>
      </c>
      <c r="N81" s="847">
        <f>IF('[7]BASE'!HS81=0,"",'[7]BASE'!HS81)</f>
      </c>
      <c r="O81" s="847">
        <f>IF('[7]BASE'!HT81=0,"",'[7]BASE'!HT81)</f>
      </c>
      <c r="P81" s="847">
        <f>IF('[7]BASE'!HU81=0,"",'[7]BASE'!HU81)</f>
      </c>
      <c r="Q81" s="847">
        <f>IF('[7]BASE'!HV81=0,"",'[7]BASE'!HV81)</f>
      </c>
      <c r="R81" s="847">
        <f>IF('[7]BASE'!HW81=0,"",'[7]BASE'!HW81)</f>
      </c>
      <c r="S81" s="847">
        <f>IF('[7]BASE'!HX81=0,"",'[7]BASE'!HX81)</f>
      </c>
      <c r="T81" s="848"/>
      <c r="U81" s="845"/>
    </row>
    <row r="82" spans="2:21" s="839" customFormat="1" ht="19.5" customHeight="1">
      <c r="B82" s="840"/>
      <c r="C82" s="846">
        <f>IF('[7]BASE'!C82=0,"",'[7]BASE'!C82)</f>
      </c>
      <c r="D82" s="846">
        <f>IF('[7]BASE'!D82=0,"",'[7]BASE'!D82)</f>
      </c>
      <c r="E82" s="846">
        <f>IF('[7]BASE'!E82=0,"",'[7]BASE'!E82)</f>
      </c>
      <c r="F82" s="846">
        <f>IF('[7]BASE'!F82=0,"",'[7]BASE'!F82)</f>
      </c>
      <c r="G82" s="846" t="str">
        <f>IF('[6]BASE'!G82=0,"",'[6]BASE'!G82)</f>
        <v>B</v>
      </c>
      <c r="H82" s="847">
        <f>IF('[7]BASE'!HM82=0,"",'[7]BASE'!HM82)</f>
      </c>
      <c r="I82" s="847">
        <f>IF('[7]BASE'!HN82=0,"",'[7]BASE'!HN82)</f>
      </c>
      <c r="J82" s="847">
        <f>IF('[7]BASE'!HO82=0,"",'[7]BASE'!HO82)</f>
      </c>
      <c r="K82" s="847">
        <f>IF('[7]BASE'!HP82=0,"",'[7]BASE'!HP82)</f>
      </c>
      <c r="L82" s="847">
        <f>IF('[7]BASE'!HQ82=0,"",'[7]BASE'!HQ82)</f>
      </c>
      <c r="M82" s="847">
        <f>IF('[7]BASE'!HR82=0,"",'[7]BASE'!HR82)</f>
      </c>
      <c r="N82" s="847">
        <f>IF('[7]BASE'!HS82=0,"",'[7]BASE'!HS82)</f>
      </c>
      <c r="O82" s="847">
        <f>IF('[7]BASE'!HT82=0,"",'[7]BASE'!HT82)</f>
      </c>
      <c r="P82" s="847">
        <f>IF('[7]BASE'!HU82=0,"",'[7]BASE'!HU82)</f>
      </c>
      <c r="Q82" s="847">
        <f>IF('[7]BASE'!HV82=0,"",'[7]BASE'!HV82)</f>
      </c>
      <c r="R82" s="847">
        <f>IF('[7]BASE'!HW82=0,"",'[7]BASE'!HW82)</f>
      </c>
      <c r="S82" s="847">
        <f>IF('[7]BASE'!HX82=0,"",'[7]BASE'!HX82)</f>
      </c>
      <c r="T82" s="848"/>
      <c r="U82" s="845"/>
    </row>
    <row r="83" spans="2:21" s="839" customFormat="1" ht="19.5" customHeight="1">
      <c r="B83" s="840"/>
      <c r="C83" s="846">
        <f>IF('[7]BASE'!C83=0,"",'[7]BASE'!C83)</f>
      </c>
      <c r="D83" s="846">
        <f>IF('[7]BASE'!D83=0,"",'[7]BASE'!D83)</f>
      </c>
      <c r="E83" s="846">
        <f>IF('[7]BASE'!E83=0,"",'[7]BASE'!E83)</f>
      </c>
      <c r="F83" s="846">
        <f>IF('[7]BASE'!F83=0,"",'[7]BASE'!F83)</f>
      </c>
      <c r="G83" s="846" t="str">
        <f>IF('[6]BASE'!G83=0,"",'[6]BASE'!G83)</f>
        <v>B</v>
      </c>
      <c r="H83" s="847">
        <f>IF('[7]BASE'!HM83=0,"",'[7]BASE'!HM83)</f>
      </c>
      <c r="I83" s="847">
        <f>IF('[7]BASE'!HN83=0,"",'[7]BASE'!HN83)</f>
      </c>
      <c r="J83" s="847">
        <f>IF('[7]BASE'!HO83=0,"",'[7]BASE'!HO83)</f>
      </c>
      <c r="K83" s="847">
        <f>IF('[7]BASE'!HP83=0,"",'[7]BASE'!HP83)</f>
      </c>
      <c r="L83" s="847">
        <f>IF('[7]BASE'!HQ83=0,"",'[7]BASE'!HQ83)</f>
      </c>
      <c r="M83" s="847">
        <f>IF('[7]BASE'!HR83=0,"",'[7]BASE'!HR83)</f>
      </c>
      <c r="N83" s="847">
        <f>IF('[7]BASE'!HS83=0,"",'[7]BASE'!HS83)</f>
      </c>
      <c r="O83" s="847">
        <f>IF('[7]BASE'!HT83=0,"",'[7]BASE'!HT83)</f>
      </c>
      <c r="P83" s="847">
        <f>IF('[7]BASE'!HU83=0,"",'[7]BASE'!HU83)</f>
      </c>
      <c r="Q83" s="847">
        <f>IF('[7]BASE'!HV83=0,"",'[7]BASE'!HV83)</f>
      </c>
      <c r="R83" s="847">
        <f>IF('[7]BASE'!HW83=0,"",'[7]BASE'!HW83)</f>
      </c>
      <c r="S83" s="847">
        <f>IF('[7]BASE'!HX83=0,"",'[7]BASE'!HX83)</f>
      </c>
      <c r="T83" s="848"/>
      <c r="U83" s="845"/>
    </row>
    <row r="84" spans="2:21" s="839" customFormat="1" ht="19.5" customHeight="1">
      <c r="B84" s="840"/>
      <c r="C84" s="846">
        <f>IF('[7]BASE'!C84=0,"",'[7]BASE'!C84)</f>
        <v>62</v>
      </c>
      <c r="D84" s="846" t="str">
        <f>IF('[7]BASE'!D84=0,"",'[7]BASE'!D84)</f>
        <v>YACYRETÁ - RINCON I</v>
      </c>
      <c r="E84" s="846">
        <f>IF('[7]BASE'!E84=0,"",'[7]BASE'!E84)</f>
        <v>500</v>
      </c>
      <c r="F84" s="846">
        <f>IF('[7]BASE'!F84=0,"",'[7]BASE'!F84)</f>
        <v>3.6</v>
      </c>
      <c r="G84" s="846" t="str">
        <f>IF('[6]BASE'!G84=0,"",'[6]BASE'!G84)</f>
        <v>B</v>
      </c>
      <c r="H84" s="847">
        <f>IF('[7]BASE'!HM84=0,"",'[7]BASE'!HM84)</f>
      </c>
      <c r="I84" s="847">
        <f>IF('[7]BASE'!HN84=0,"",'[7]BASE'!HN84)</f>
      </c>
      <c r="J84" s="847">
        <f>IF('[7]BASE'!HO84=0,"",'[7]BASE'!HO84)</f>
      </c>
      <c r="K84" s="847">
        <f>IF('[7]BASE'!HP84=0,"",'[7]BASE'!HP84)</f>
      </c>
      <c r="L84" s="847">
        <f>IF('[7]BASE'!HQ84=0,"",'[7]BASE'!HQ84)</f>
      </c>
      <c r="M84" s="847">
        <f>IF('[7]BASE'!HR84=0,"",'[7]BASE'!HR84)</f>
      </c>
      <c r="N84" s="847">
        <f>IF('[7]BASE'!HS84=0,"",'[7]BASE'!HS84)</f>
      </c>
      <c r="O84" s="847">
        <f>IF('[7]BASE'!HT84=0,"",'[7]BASE'!HT84)</f>
      </c>
      <c r="P84" s="847">
        <f>IF('[7]BASE'!HU84=0,"",'[7]BASE'!HU84)</f>
      </c>
      <c r="Q84" s="847">
        <f>IF('[7]BASE'!HV84=0,"",'[7]BASE'!HV84)</f>
      </c>
      <c r="R84" s="847">
        <f>IF('[7]BASE'!HW84=0,"",'[7]BASE'!HW84)</f>
      </c>
      <c r="S84" s="847">
        <f>IF('[7]BASE'!HX84=0,"",'[7]BASE'!HX84)</f>
      </c>
      <c r="T84" s="848"/>
      <c r="U84" s="845"/>
    </row>
    <row r="85" spans="2:21" s="839" customFormat="1" ht="19.5" customHeight="1">
      <c r="B85" s="840"/>
      <c r="C85" s="846">
        <f>IF('[7]BASE'!C85=0,"",'[7]BASE'!C85)</f>
        <v>63</v>
      </c>
      <c r="D85" s="846" t="str">
        <f>IF('[7]BASE'!D85=0,"",'[7]BASE'!D85)</f>
        <v>YACYRETÁ - RINCON II</v>
      </c>
      <c r="E85" s="846">
        <f>IF('[7]BASE'!E85=0,"",'[7]BASE'!E85)</f>
        <v>500</v>
      </c>
      <c r="F85" s="846">
        <f>IF('[7]BASE'!F85=0,"",'[7]BASE'!F85)</f>
        <v>3.6</v>
      </c>
      <c r="G85" s="846" t="str">
        <f>IF('[6]BASE'!G85=0,"",'[6]BASE'!G85)</f>
        <v>A</v>
      </c>
      <c r="H85" s="847">
        <f>IF('[7]BASE'!HM85=0,"",'[7]BASE'!HM85)</f>
      </c>
      <c r="I85" s="847">
        <f>IF('[7]BASE'!HN85=0,"",'[7]BASE'!HN85)</f>
      </c>
      <c r="J85" s="847">
        <f>IF('[7]BASE'!HO85=0,"",'[7]BASE'!HO85)</f>
      </c>
      <c r="K85" s="847">
        <f>IF('[7]BASE'!HP85=0,"",'[7]BASE'!HP85)</f>
      </c>
      <c r="L85" s="847">
        <f>IF('[7]BASE'!HQ85=0,"",'[7]BASE'!HQ85)</f>
      </c>
      <c r="M85" s="847">
        <f>IF('[7]BASE'!HR85=0,"",'[7]BASE'!HR85)</f>
      </c>
      <c r="N85" s="847">
        <f>IF('[7]BASE'!HS85=0,"",'[7]BASE'!HS85)</f>
      </c>
      <c r="O85" s="847">
        <f>IF('[7]BASE'!HT85=0,"",'[7]BASE'!HT85)</f>
      </c>
      <c r="P85" s="847">
        <f>IF('[7]BASE'!HU85=0,"",'[7]BASE'!HU85)</f>
      </c>
      <c r="Q85" s="847">
        <f>IF('[7]BASE'!HV85=0,"",'[7]BASE'!HV85)</f>
      </c>
      <c r="R85" s="847">
        <f>IF('[7]BASE'!HW85=0,"",'[7]BASE'!HW85)</f>
      </c>
      <c r="S85" s="847">
        <f>IF('[7]BASE'!HX85=0,"",'[7]BASE'!HX85)</f>
      </c>
      <c r="T85" s="848"/>
      <c r="U85" s="845"/>
    </row>
    <row r="86" spans="2:21" s="839" customFormat="1" ht="19.5" customHeight="1">
      <c r="B86" s="840"/>
      <c r="C86" s="846">
        <f>IF('[7]BASE'!C86=0,"",'[7]BASE'!C86)</f>
        <v>64</v>
      </c>
      <c r="D86" s="846" t="str">
        <f>IF('[7]BASE'!D86=0,"",'[7]BASE'!D86)</f>
        <v>YACYRETÁ - RINCON III</v>
      </c>
      <c r="E86" s="846">
        <f>IF('[7]BASE'!E86=0,"",'[7]BASE'!E86)</f>
        <v>500</v>
      </c>
      <c r="F86" s="846">
        <f>IF('[7]BASE'!F86=0,"",'[7]BASE'!F86)</f>
        <v>3.6</v>
      </c>
      <c r="G86" s="846" t="str">
        <f>IF('[6]BASE'!G86=0,"",'[6]BASE'!G86)</f>
        <v>C</v>
      </c>
      <c r="H86" s="847">
        <f>IF('[7]BASE'!HM86=0,"",'[7]BASE'!HM86)</f>
      </c>
      <c r="I86" s="847">
        <f>IF('[7]BASE'!HN86=0,"",'[7]BASE'!HN86)</f>
      </c>
      <c r="J86" s="847">
        <f>IF('[7]BASE'!HO86=0,"",'[7]BASE'!HO86)</f>
      </c>
      <c r="K86" s="847">
        <f>IF('[7]BASE'!HP86=0,"",'[7]BASE'!HP86)</f>
      </c>
      <c r="L86" s="847">
        <f>IF('[7]BASE'!HQ86=0,"",'[7]BASE'!HQ86)</f>
      </c>
      <c r="M86" s="847">
        <f>IF('[7]BASE'!HR86=0,"",'[7]BASE'!HR86)</f>
      </c>
      <c r="N86" s="847">
        <f>IF('[7]BASE'!HS86=0,"",'[7]BASE'!HS86)</f>
      </c>
      <c r="O86" s="847">
        <f>IF('[7]BASE'!HT86=0,"",'[7]BASE'!HT86)</f>
      </c>
      <c r="P86" s="847">
        <f>IF('[7]BASE'!HU86=0,"",'[7]BASE'!HU86)</f>
      </c>
      <c r="Q86" s="847">
        <f>IF('[7]BASE'!HV86=0,"",'[7]BASE'!HV86)</f>
      </c>
      <c r="R86" s="847">
        <f>IF('[7]BASE'!HW86=0,"",'[7]BASE'!HW86)</f>
      </c>
      <c r="S86" s="847">
        <f>IF('[7]BASE'!HX86=0,"",'[7]BASE'!HX86)</f>
      </c>
      <c r="T86" s="848"/>
      <c r="U86" s="845"/>
    </row>
    <row r="87" spans="2:21" s="839" customFormat="1" ht="19.5" customHeight="1">
      <c r="B87" s="840"/>
      <c r="C87" s="846">
        <f>IF('[7]BASE'!C87=0,"",'[7]BASE'!C87)</f>
        <v>65</v>
      </c>
      <c r="D87" s="846" t="str">
        <f>IF('[7]BASE'!D87=0,"",'[7]BASE'!D87)</f>
        <v>RINCON - PASO DE LA PATRIA</v>
      </c>
      <c r="E87" s="846">
        <f>IF('[7]BASE'!E87=0,"",'[7]BASE'!E87)</f>
        <v>500</v>
      </c>
      <c r="F87" s="846">
        <f>IF('[7]BASE'!F87=0,"",'[7]BASE'!F87)</f>
        <v>227</v>
      </c>
      <c r="G87" s="846" t="str">
        <f>IF('[6]BASE'!G87=0,"",'[6]BASE'!G87)</f>
        <v>B</v>
      </c>
      <c r="H87" s="847">
        <f>IF('[7]BASE'!HM87=0,"",'[7]BASE'!HM87)</f>
      </c>
      <c r="I87" s="847">
        <f>IF('[7]BASE'!HN87=0,"",'[7]BASE'!HN87)</f>
      </c>
      <c r="J87" s="847">
        <f>IF('[7]BASE'!HO87=0,"",'[7]BASE'!HO87)</f>
      </c>
      <c r="K87" s="847">
        <f>IF('[7]BASE'!HP87=0,"",'[7]BASE'!HP87)</f>
      </c>
      <c r="L87" s="847">
        <f>IF('[7]BASE'!HQ87=0,"",'[7]BASE'!HQ87)</f>
      </c>
      <c r="M87" s="847">
        <f>IF('[7]BASE'!HR87=0,"",'[7]BASE'!HR87)</f>
      </c>
      <c r="N87" s="847">
        <f>IF('[7]BASE'!HS87=0,"",'[7]BASE'!HS87)</f>
      </c>
      <c r="O87" s="847">
        <f>IF('[7]BASE'!HT87=0,"",'[7]BASE'!HT87)</f>
      </c>
      <c r="P87" s="847">
        <f>IF('[7]BASE'!HU87=0,"",'[7]BASE'!HU87)</f>
      </c>
      <c r="Q87" s="847">
        <f>IF('[7]BASE'!HV87=0,"",'[7]BASE'!HV87)</f>
      </c>
      <c r="R87" s="847">
        <f>IF('[7]BASE'!HW87=0,"",'[7]BASE'!HW87)</f>
      </c>
      <c r="S87" s="847">
        <f>IF('[7]BASE'!HX87=0,"",'[7]BASE'!HX87)</f>
      </c>
      <c r="T87" s="848"/>
      <c r="U87" s="845"/>
    </row>
    <row r="88" spans="2:21" s="839" customFormat="1" ht="19.5" customHeight="1">
      <c r="B88" s="840"/>
      <c r="C88" s="846">
        <f>IF('[7]BASE'!C88=0,"",'[7]BASE'!C88)</f>
        <v>66</v>
      </c>
      <c r="D88" s="846" t="str">
        <f>IF('[7]BASE'!D88=0,"",'[7]BASE'!D88)</f>
        <v>PASO DE LA PATRIA - RESISTENCIA</v>
      </c>
      <c r="E88" s="846">
        <f>IF('[7]BASE'!E88=0,"",'[7]BASE'!E88)</f>
        <v>500</v>
      </c>
      <c r="F88" s="846">
        <f>IF('[7]BASE'!F88=0,"",'[7]BASE'!F88)</f>
        <v>40</v>
      </c>
      <c r="G88" s="846" t="str">
        <f>IF('[6]BASE'!G88=0,"",'[6]BASE'!G88)</f>
        <v>C</v>
      </c>
      <c r="H88" s="847">
        <f>IF('[7]BASE'!HM88=0,"",'[7]BASE'!HM88)</f>
      </c>
      <c r="I88" s="847">
        <f>IF('[7]BASE'!HN88=0,"",'[7]BASE'!HN88)</f>
      </c>
      <c r="J88" s="847">
        <f>IF('[7]BASE'!HO88=0,"",'[7]BASE'!HO88)</f>
      </c>
      <c r="K88" s="847">
        <f>IF('[7]BASE'!HP88=0,"",'[7]BASE'!HP88)</f>
      </c>
      <c r="L88" s="847">
        <f>IF('[7]BASE'!HQ88=0,"",'[7]BASE'!HQ88)</f>
      </c>
      <c r="M88" s="847">
        <f>IF('[7]BASE'!HR88=0,"",'[7]BASE'!HR88)</f>
      </c>
      <c r="N88" s="847">
        <f>IF('[7]BASE'!HS88=0,"",'[7]BASE'!HS88)</f>
      </c>
      <c r="O88" s="847">
        <f>IF('[7]BASE'!HT88=0,"",'[7]BASE'!HT88)</f>
      </c>
      <c r="P88" s="847">
        <f>IF('[7]BASE'!HU88=0,"",'[7]BASE'!HU88)</f>
      </c>
      <c r="Q88" s="847">
        <f>IF('[7]BASE'!HV88=0,"",'[7]BASE'!HV88)</f>
      </c>
      <c r="R88" s="847">
        <f>IF('[7]BASE'!HW88=0,"",'[7]BASE'!HW88)</f>
      </c>
      <c r="S88" s="847">
        <f>IF('[7]BASE'!HX88=0,"",'[7]BASE'!HX88)</f>
      </c>
      <c r="T88" s="848"/>
      <c r="U88" s="845"/>
    </row>
    <row r="89" spans="2:21" s="839" customFormat="1" ht="19.5" customHeight="1">
      <c r="B89" s="840"/>
      <c r="C89" s="846">
        <f>IF('[7]BASE'!C89=0,"",'[7]BASE'!C89)</f>
        <v>67</v>
      </c>
      <c r="D89" s="846" t="str">
        <f>IF('[7]BASE'!D89=0,"",'[7]BASE'!D89)</f>
        <v>RINCON - RESISTENCIA</v>
      </c>
      <c r="E89" s="846">
        <f>IF('[7]BASE'!E89=0,"",'[7]BASE'!E89)</f>
        <v>500</v>
      </c>
      <c r="F89" s="846">
        <f>IF('[7]BASE'!F89=0,"",'[7]BASE'!F89)</f>
        <v>267</v>
      </c>
      <c r="G89" s="846" t="str">
        <f>IF('[6]BASE'!G89=0,"",'[6]BASE'!G89)</f>
        <v>A</v>
      </c>
      <c r="H89" s="847" t="str">
        <f>IF('[7]BASE'!HM89=0,"",'[7]BASE'!HM89)</f>
        <v>XXXX</v>
      </c>
      <c r="I89" s="847" t="str">
        <f>IF('[7]BASE'!HN89=0,"",'[7]BASE'!HN89)</f>
        <v>XXXX</v>
      </c>
      <c r="J89" s="847" t="str">
        <f>IF('[7]BASE'!HO89=0,"",'[7]BASE'!HO89)</f>
        <v>XXXX</v>
      </c>
      <c r="K89" s="847" t="str">
        <f>IF('[7]BASE'!HP89=0,"",'[7]BASE'!HP89)</f>
        <v>XXXX</v>
      </c>
      <c r="L89" s="847" t="str">
        <f>IF('[7]BASE'!HQ89=0,"",'[7]BASE'!HQ89)</f>
        <v>XXXX</v>
      </c>
      <c r="M89" s="847" t="str">
        <f>IF('[7]BASE'!HR89=0,"",'[7]BASE'!HR89)</f>
        <v>XXXX</v>
      </c>
      <c r="N89" s="847" t="str">
        <f>IF('[7]BASE'!HS89=0,"",'[7]BASE'!HS89)</f>
        <v>XXXX</v>
      </c>
      <c r="O89" s="847" t="str">
        <f>IF('[7]BASE'!HT89=0,"",'[7]BASE'!HT89)</f>
        <v>XXXX</v>
      </c>
      <c r="P89" s="847" t="str">
        <f>IF('[7]BASE'!HU89=0,"",'[7]BASE'!HU89)</f>
        <v>XXXX</v>
      </c>
      <c r="Q89" s="847" t="str">
        <f>IF('[7]BASE'!HV89=0,"",'[7]BASE'!HV89)</f>
        <v>XXXX</v>
      </c>
      <c r="R89" s="847" t="str">
        <f>IF('[7]BASE'!HW89=0,"",'[7]BASE'!HW89)</f>
        <v>XXXX</v>
      </c>
      <c r="S89" s="847" t="str">
        <f>IF('[7]BASE'!HX89=0,"",'[7]BASE'!HX89)</f>
        <v>XXXX</v>
      </c>
      <c r="T89" s="848"/>
      <c r="U89" s="845"/>
    </row>
    <row r="90" spans="2:21" s="839" customFormat="1" ht="19.5" customHeight="1">
      <c r="B90" s="840"/>
      <c r="C90" s="846">
        <f>IF('[7]BASE'!C90=0,"",'[7]BASE'!C90)</f>
      </c>
      <c r="D90" s="846">
        <f>IF('[7]BASE'!D90=0,"",'[7]BASE'!D90)</f>
      </c>
      <c r="E90" s="846">
        <f>IF('[7]BASE'!E90=0,"",'[7]BASE'!E90)</f>
      </c>
      <c r="F90" s="846">
        <f>IF('[7]BASE'!F90=0,"",'[7]BASE'!F90)</f>
      </c>
      <c r="G90" s="846" t="str">
        <f>IF('[6]BASE'!G90=0,"",'[6]BASE'!G90)</f>
        <v>C</v>
      </c>
      <c r="H90" s="847">
        <f>IF('[7]BASE'!HM90=0,"",'[7]BASE'!HM90)</f>
      </c>
      <c r="I90" s="847">
        <f>IF('[7]BASE'!HN90=0,"",'[7]BASE'!HN90)</f>
      </c>
      <c r="J90" s="847">
        <f>IF('[7]BASE'!HO90=0,"",'[7]BASE'!HO90)</f>
      </c>
      <c r="K90" s="847">
        <f>IF('[7]BASE'!HP90=0,"",'[7]BASE'!HP90)</f>
      </c>
      <c r="L90" s="847">
        <f>IF('[7]BASE'!HQ90=0,"",'[7]BASE'!HQ90)</f>
      </c>
      <c r="M90" s="847">
        <f>IF('[7]BASE'!HR90=0,"",'[7]BASE'!HR90)</f>
      </c>
      <c r="N90" s="847">
        <f>IF('[7]BASE'!HS90=0,"",'[7]BASE'!HS90)</f>
      </c>
      <c r="O90" s="847">
        <f>IF('[7]BASE'!HT90=0,"",'[7]BASE'!HT90)</f>
      </c>
      <c r="P90" s="847">
        <f>IF('[7]BASE'!HU90=0,"",'[7]BASE'!HU90)</f>
      </c>
      <c r="Q90" s="847">
        <f>IF('[7]BASE'!HV90=0,"",'[7]BASE'!HV90)</f>
      </c>
      <c r="R90" s="847">
        <f>IF('[7]BASE'!HW90=0,"",'[7]BASE'!HW90)</f>
      </c>
      <c r="S90" s="847">
        <f>IF('[7]BASE'!HX90=0,"",'[7]BASE'!HX90)</f>
      </c>
      <c r="T90" s="848"/>
      <c r="U90" s="845"/>
    </row>
    <row r="91" spans="2:21" s="839" customFormat="1" ht="19.5" customHeight="1">
      <c r="B91" s="840"/>
      <c r="C91" s="846">
        <f>IF('[7]BASE'!C91=0,"",'[7]BASE'!C91)</f>
        <v>68</v>
      </c>
      <c r="D91" s="846" t="str">
        <f>IF('[7]BASE'!D91=0,"",'[7]BASE'!D91)</f>
        <v>RINCON - SALTO GRANDE</v>
      </c>
      <c r="E91" s="846">
        <f>IF('[7]BASE'!E91=0,"",'[7]BASE'!E91)</f>
        <v>500</v>
      </c>
      <c r="F91" s="846">
        <f>IF('[7]BASE'!F91=0,"",'[7]BASE'!F91)</f>
        <v>506</v>
      </c>
      <c r="G91" s="846" t="str">
        <f>IF('[6]BASE'!G91=0,"",'[6]BASE'!G91)</f>
        <v>A</v>
      </c>
      <c r="H91" s="847">
        <f>IF('[7]BASE'!HM91=0,"",'[7]BASE'!HM91)</f>
      </c>
      <c r="I91" s="847">
        <f>IF('[7]BASE'!HN91=0,"",'[7]BASE'!HN91)</f>
      </c>
      <c r="J91" s="847">
        <f>IF('[7]BASE'!HO91=0,"",'[7]BASE'!HO91)</f>
      </c>
      <c r="K91" s="847">
        <f>IF('[7]BASE'!HP91=0,"",'[7]BASE'!HP91)</f>
      </c>
      <c r="L91" s="847">
        <f>IF('[7]BASE'!HQ91=0,"",'[7]BASE'!HQ91)</f>
      </c>
      <c r="M91" s="847">
        <f>IF('[7]BASE'!HR91=0,"",'[7]BASE'!HR91)</f>
      </c>
      <c r="N91" s="847">
        <f>IF('[7]BASE'!HS91=0,"",'[7]BASE'!HS91)</f>
      </c>
      <c r="O91" s="847">
        <f>IF('[7]BASE'!HT91=0,"",'[7]BASE'!HT91)</f>
      </c>
      <c r="P91" s="847">
        <f>IF('[7]BASE'!HU91=0,"",'[7]BASE'!HU91)</f>
      </c>
      <c r="Q91" s="847">
        <f>IF('[7]BASE'!HV91=0,"",'[7]BASE'!HV91)</f>
      </c>
      <c r="R91" s="847">
        <f>IF('[7]BASE'!HW91=0,"",'[7]BASE'!HW91)</f>
        <v>1</v>
      </c>
      <c r="S91" s="847">
        <f>IF('[7]BASE'!HX91=0,"",'[7]BASE'!HX91)</f>
      </c>
      <c r="T91" s="848"/>
      <c r="U91" s="845"/>
    </row>
    <row r="92" spans="2:21" s="839" customFormat="1" ht="19.5" customHeight="1">
      <c r="B92" s="840"/>
      <c r="C92" s="846">
        <f>IF('[7]BASE'!C92=0,"",'[7]BASE'!C92)</f>
        <v>69</v>
      </c>
      <c r="D92" s="846" t="str">
        <f>IF('[7]BASE'!D92=0,"",'[7]BASE'!D92)</f>
        <v>RINCON - SAN ISIDRO</v>
      </c>
      <c r="E92" s="846">
        <f>IF('[7]BASE'!E92=0,"",'[7]BASE'!E92)</f>
        <v>500</v>
      </c>
      <c r="F92" s="846">
        <f>IF('[7]BASE'!F92=0,"",'[7]BASE'!F92)</f>
        <v>85</v>
      </c>
      <c r="G92" s="846" t="str">
        <f>IF('[6]BASE'!G92=0,"",'[6]BASE'!G92)</f>
        <v>C</v>
      </c>
      <c r="H92" s="847">
        <f>IF('[7]BASE'!HM92=0,"",'[7]BASE'!HM92)</f>
      </c>
      <c r="I92" s="847">
        <f>IF('[7]BASE'!HN92=0,"",'[7]BASE'!HN92)</f>
      </c>
      <c r="J92" s="847">
        <f>IF('[7]BASE'!HO92=0,"",'[7]BASE'!HO92)</f>
      </c>
      <c r="K92" s="847">
        <f>IF('[7]BASE'!HP92=0,"",'[7]BASE'!HP92)</f>
      </c>
      <c r="L92" s="847">
        <f>IF('[7]BASE'!HQ92=0,"",'[7]BASE'!HQ92)</f>
      </c>
      <c r="M92" s="847">
        <f>IF('[7]BASE'!HR92=0,"",'[7]BASE'!HR92)</f>
      </c>
      <c r="N92" s="847">
        <f>IF('[7]BASE'!HS92=0,"",'[7]BASE'!HS92)</f>
      </c>
      <c r="O92" s="847">
        <f>IF('[7]BASE'!HT92=0,"",'[7]BASE'!HT92)</f>
      </c>
      <c r="P92" s="847">
        <f>IF('[7]BASE'!HU92=0,"",'[7]BASE'!HU92)</f>
      </c>
      <c r="Q92" s="847">
        <f>IF('[7]BASE'!HV92=0,"",'[7]BASE'!HV92)</f>
      </c>
      <c r="R92" s="847">
        <f>IF('[7]BASE'!HW92=0,"",'[7]BASE'!HW92)</f>
      </c>
      <c r="S92" s="847">
        <f>IF('[7]BASE'!HX92=0,"",'[7]BASE'!HX92)</f>
      </c>
      <c r="T92" s="848"/>
      <c r="U92" s="845"/>
    </row>
    <row r="93" spans="2:21" s="839" customFormat="1" ht="19.5" customHeight="1">
      <c r="B93" s="840"/>
      <c r="C93" s="846">
        <f>IF('[7]BASE'!C93=0,"",'[7]BASE'!C93)</f>
      </c>
      <c r="D93" s="846">
        <f>IF('[7]BASE'!D93=0,"",'[7]BASE'!D93)</f>
      </c>
      <c r="E93" s="846">
        <f>IF('[7]BASE'!E93=0,"",'[7]BASE'!E93)</f>
      </c>
      <c r="F93" s="846">
        <f>IF('[7]BASE'!F93=0,"",'[7]BASE'!F93)</f>
      </c>
      <c r="G93" s="846" t="e">
        <f>IF('[6]BASE'!G93=0,"",'[6]BASE'!G93)</f>
        <v>#REF!</v>
      </c>
      <c r="H93" s="847">
        <f>IF('[7]BASE'!HM93=0,"",'[7]BASE'!HM93)</f>
      </c>
      <c r="I93" s="847">
        <f>IF('[7]BASE'!HN93=0,"",'[7]BASE'!HN93)</f>
      </c>
      <c r="J93" s="847">
        <f>IF('[7]BASE'!HO93=0,"",'[7]BASE'!HO93)</f>
      </c>
      <c r="K93" s="847">
        <f>IF('[7]BASE'!HP93=0,"",'[7]BASE'!HP93)</f>
      </c>
      <c r="L93" s="847">
        <f>IF('[7]BASE'!HQ93=0,"",'[7]BASE'!HQ93)</f>
      </c>
      <c r="M93" s="847">
        <f>IF('[7]BASE'!HR93=0,"",'[7]BASE'!HR93)</f>
      </c>
      <c r="N93" s="847">
        <f>IF('[7]BASE'!HS93=0,"",'[7]BASE'!HS93)</f>
      </c>
      <c r="O93" s="847">
        <f>IF('[7]BASE'!HT93=0,"",'[7]BASE'!HT93)</f>
      </c>
      <c r="P93" s="847">
        <f>IF('[7]BASE'!HU93=0,"",'[7]BASE'!HU93)</f>
      </c>
      <c r="Q93" s="847">
        <f>IF('[7]BASE'!HV93=0,"",'[7]BASE'!HV93)</f>
      </c>
      <c r="R93" s="847">
        <f>IF('[7]BASE'!HW93=0,"",'[7]BASE'!HW93)</f>
      </c>
      <c r="S93" s="847">
        <f>IF('[7]BASE'!HX93=0,"",'[7]BASE'!HX93)</f>
      </c>
      <c r="T93" s="848"/>
      <c r="U93" s="845"/>
    </row>
    <row r="94" spans="2:21" s="839" customFormat="1" ht="19.5" customHeight="1">
      <c r="B94" s="840"/>
      <c r="C94" s="846">
        <f>IF('[7]BASE'!C94=0,"",'[7]BASE'!C94)</f>
        <v>70</v>
      </c>
      <c r="D94" s="846" t="str">
        <f>IF('[7]BASE'!D94=0,"",'[7]BASE'!D94)</f>
        <v>RECREO - LA RIOJA SUR</v>
      </c>
      <c r="E94" s="846">
        <f>IF('[7]BASE'!E94=0,"",'[7]BASE'!E94)</f>
        <v>500</v>
      </c>
      <c r="F94" s="846">
        <f>IF('[7]BASE'!F94=0,"",'[7]BASE'!F94)</f>
        <v>150.3</v>
      </c>
      <c r="G94" s="846" t="str">
        <f>IF('[6]BASE'!G94=0,"",'[6]BASE'!G94)</f>
        <v>C</v>
      </c>
      <c r="H94" s="847">
        <f>IF('[7]BASE'!HM94=0,"",'[7]BASE'!HM94)</f>
      </c>
      <c r="I94" s="847">
        <f>IF('[7]BASE'!HN94=0,"",'[7]BASE'!HN94)</f>
      </c>
      <c r="J94" s="847">
        <f>IF('[7]BASE'!HO94=0,"",'[7]BASE'!HO94)</f>
      </c>
      <c r="K94" s="847">
        <f>IF('[7]BASE'!HP94=0,"",'[7]BASE'!HP94)</f>
      </c>
      <c r="L94" s="847">
        <f>IF('[7]BASE'!HQ94=0,"",'[7]BASE'!HQ94)</f>
      </c>
      <c r="M94" s="847">
        <f>IF('[7]BASE'!HR94=0,"",'[7]BASE'!HR94)</f>
      </c>
      <c r="N94" s="847">
        <f>IF('[7]BASE'!HS94=0,"",'[7]BASE'!HS94)</f>
      </c>
      <c r="O94" s="847">
        <f>IF('[7]BASE'!HT94=0,"",'[7]BASE'!HT94)</f>
      </c>
      <c r="P94" s="847">
        <f>IF('[7]BASE'!HU94=0,"",'[7]BASE'!HU94)</f>
      </c>
      <c r="Q94" s="847">
        <f>IF('[7]BASE'!HV94=0,"",'[7]BASE'!HV94)</f>
      </c>
      <c r="R94" s="847">
        <f>IF('[7]BASE'!HW94=0,"",'[7]BASE'!HW94)</f>
        <v>1</v>
      </c>
      <c r="S94" s="847">
        <f>IF('[7]BASE'!HX94=0,"",'[7]BASE'!HX94)</f>
      </c>
      <c r="T94" s="848"/>
      <c r="U94" s="845"/>
    </row>
    <row r="95" spans="2:21" s="839" customFormat="1" ht="19.5" customHeight="1">
      <c r="B95" s="840"/>
      <c r="C95" s="846">
        <f>IF('[7]BASE'!C95=0,"",'[7]BASE'!C95)</f>
        <v>71</v>
      </c>
      <c r="D95" s="846" t="str">
        <f>IF('[7]BASE'!D95=0,"",'[7]BASE'!D95)</f>
        <v>M.BELGRANO - G.RODRIGUEZ</v>
      </c>
      <c r="E95" s="846">
        <f>IF('[7]BASE'!E95=0,"",'[7]BASE'!E95)</f>
        <v>500</v>
      </c>
      <c r="F95" s="846">
        <f>IF('[7]BASE'!F95=0,"",'[7]BASE'!F95)</f>
        <v>41.4</v>
      </c>
      <c r="G95" s="846" t="str">
        <f>IF('[6]BASE'!G95=0,"",'[6]BASE'!G95)</f>
        <v>C</v>
      </c>
      <c r="H95" s="847">
        <f>IF('[7]BASE'!HM95=0,"",'[7]BASE'!HM95)</f>
      </c>
      <c r="I95" s="847">
        <f>IF('[7]BASE'!HN95=0,"",'[7]BASE'!HN95)</f>
      </c>
      <c r="J95" s="847">
        <f>IF('[7]BASE'!HO95=0,"",'[7]BASE'!HO95)</f>
      </c>
      <c r="K95" s="847">
        <f>IF('[7]BASE'!HP95=0,"",'[7]BASE'!HP95)</f>
      </c>
      <c r="L95" s="847">
        <f>IF('[7]BASE'!HQ95=0,"",'[7]BASE'!HQ95)</f>
      </c>
      <c r="M95" s="847">
        <f>IF('[7]BASE'!HR95=0,"",'[7]BASE'!HR95)</f>
      </c>
      <c r="N95" s="847">
        <f>IF('[7]BASE'!HS95=0,"",'[7]BASE'!HS95)</f>
      </c>
      <c r="O95" s="847">
        <f>IF('[7]BASE'!HT95=0,"",'[7]BASE'!HT95)</f>
      </c>
      <c r="P95" s="847">
        <f>IF('[7]BASE'!HU95=0,"",'[7]BASE'!HU95)</f>
      </c>
      <c r="Q95" s="847">
        <f>IF('[7]BASE'!HV95=0,"",'[7]BASE'!HV95)</f>
      </c>
      <c r="R95" s="847">
        <f>IF('[7]BASE'!HW95=0,"",'[7]BASE'!HW95)</f>
      </c>
      <c r="S95" s="847">
        <f>IF('[7]BASE'!HX95=0,"",'[7]BASE'!HX95)</f>
      </c>
      <c r="T95" s="848"/>
      <c r="U95" s="845"/>
    </row>
    <row r="96" spans="2:21" s="839" customFormat="1" ht="25.5" customHeight="1" thickBot="1">
      <c r="B96" s="840"/>
      <c r="C96" s="849"/>
      <c r="D96" s="849"/>
      <c r="E96" s="849"/>
      <c r="F96" s="850"/>
      <c r="G96" s="851" t="e">
        <f>IF('[6]BASE'!G96=0,"",'[6]BASE'!G96)</f>
        <v>#REF!</v>
      </c>
      <c r="H96" s="852"/>
      <c r="I96" s="852"/>
      <c r="J96" s="852"/>
      <c r="K96" s="852"/>
      <c r="L96" s="852"/>
      <c r="M96" s="852"/>
      <c r="N96" s="852"/>
      <c r="O96" s="852"/>
      <c r="P96" s="852"/>
      <c r="Q96" s="852"/>
      <c r="R96" s="852"/>
      <c r="S96" s="852"/>
      <c r="T96" s="848"/>
      <c r="U96" s="845"/>
    </row>
    <row r="97" spans="2:21" s="839" customFormat="1" ht="19.5" customHeight="1" thickBot="1" thickTop="1">
      <c r="B97" s="840"/>
      <c r="C97" s="853"/>
      <c r="D97" s="854"/>
      <c r="E97" s="855" t="s">
        <v>384</v>
      </c>
      <c r="F97" s="1783">
        <f>+'[7]BASE'!$HY$103</f>
        <v>9902.33</v>
      </c>
      <c r="G97" s="856"/>
      <c r="H97" s="857"/>
      <c r="I97" s="857"/>
      <c r="J97" s="857"/>
      <c r="K97" s="857"/>
      <c r="L97" s="857"/>
      <c r="M97" s="857"/>
      <c r="N97" s="857"/>
      <c r="O97" s="857"/>
      <c r="P97" s="857"/>
      <c r="Q97" s="857"/>
      <c r="R97" s="857"/>
      <c r="S97" s="857"/>
      <c r="T97" s="848"/>
      <c r="U97" s="845"/>
    </row>
    <row r="98" spans="2:21" s="839" customFormat="1" ht="19.5" customHeight="1" thickBot="1" thickTop="1">
      <c r="B98" s="840"/>
      <c r="C98" s="858"/>
      <c r="D98" s="859"/>
      <c r="E98" s="860"/>
      <c r="F98" s="861" t="s">
        <v>385</v>
      </c>
      <c r="H98" s="862">
        <f>SUM(H17:H95)</f>
        <v>4</v>
      </c>
      <c r="I98" s="862">
        <f aca="true" t="shared" si="0" ref="I98:S98">SUM(I17:I95)</f>
        <v>1</v>
      </c>
      <c r="J98" s="862">
        <f t="shared" si="0"/>
        <v>4</v>
      </c>
      <c r="K98" s="862">
        <f t="shared" si="0"/>
        <v>6</v>
      </c>
      <c r="L98" s="862">
        <f t="shared" si="0"/>
        <v>4</v>
      </c>
      <c r="M98" s="862">
        <f t="shared" si="0"/>
        <v>6</v>
      </c>
      <c r="N98" s="862">
        <f t="shared" si="0"/>
        <v>2</v>
      </c>
      <c r="O98" s="862">
        <f t="shared" si="0"/>
        <v>2</v>
      </c>
      <c r="P98" s="862">
        <f t="shared" si="0"/>
        <v>5</v>
      </c>
      <c r="Q98" s="862">
        <f t="shared" si="0"/>
        <v>2</v>
      </c>
      <c r="R98" s="862">
        <f t="shared" si="0"/>
        <v>7</v>
      </c>
      <c r="S98" s="862">
        <f t="shared" si="0"/>
        <v>6</v>
      </c>
      <c r="T98" s="863"/>
      <c r="U98" s="845"/>
    </row>
    <row r="99" spans="2:21" s="839" customFormat="1" ht="19.5" customHeight="1" thickBot="1" thickTop="1">
      <c r="B99" s="840"/>
      <c r="E99" s="860"/>
      <c r="F99" s="861" t="s">
        <v>386</v>
      </c>
      <c r="H99" s="864">
        <f>'[7]BASE'!HM104</f>
        <v>0.29</v>
      </c>
      <c r="I99" s="864">
        <f>'[7]BASE'!HN104</f>
        <v>0.33</v>
      </c>
      <c r="J99" s="864">
        <f>'[7]BASE'!HO104</f>
        <v>0.32</v>
      </c>
      <c r="K99" s="864">
        <f>'[7]BASE'!HP104</f>
        <v>0.32</v>
      </c>
      <c r="L99" s="864">
        <f>'[7]BASE'!HQ104</f>
        <v>0.34</v>
      </c>
      <c r="M99" s="864">
        <f>'[7]BASE'!HR104</f>
        <v>0.38</v>
      </c>
      <c r="N99" s="864">
        <f>'[7]BASE'!HS104</f>
        <v>0.42</v>
      </c>
      <c r="O99" s="864">
        <f>'[7]BASE'!HT104</f>
        <v>0.43</v>
      </c>
      <c r="P99" s="864">
        <f>'[7]BASE'!HU104</f>
        <v>0.44</v>
      </c>
      <c r="Q99" s="864">
        <f>'[7]BASE'!HV104</f>
        <v>0.47</v>
      </c>
      <c r="R99" s="864">
        <f>'[7]BASE'!HW104</f>
        <v>0.44</v>
      </c>
      <c r="S99" s="864">
        <f>'[7]BASE'!HX104</f>
        <v>0.44</v>
      </c>
      <c r="T99" s="864">
        <f>'[7]BASE'!HY104</f>
        <v>0.48</v>
      </c>
      <c r="U99" s="845"/>
    </row>
    <row r="100" spans="2:21" s="839" customFormat="1" ht="19.5" customHeight="1" thickTop="1">
      <c r="B100" s="840"/>
      <c r="C100" s="865"/>
      <c r="D100" s="866"/>
      <c r="E100" s="867"/>
      <c r="F100" s="868"/>
      <c r="G100" s="865"/>
      <c r="H100" s="869"/>
      <c r="I100" s="869"/>
      <c r="J100" s="869"/>
      <c r="K100" s="869"/>
      <c r="L100" s="869"/>
      <c r="M100" s="869"/>
      <c r="N100" s="869"/>
      <c r="O100" s="869"/>
      <c r="P100" s="869"/>
      <c r="Q100" s="869"/>
      <c r="R100" s="869"/>
      <c r="S100" s="869"/>
      <c r="T100" s="869"/>
      <c r="U100" s="845"/>
    </row>
    <row r="101" spans="2:21" s="839" customFormat="1" ht="19.5" customHeight="1" thickBot="1">
      <c r="B101" s="840"/>
      <c r="C101" s="866"/>
      <c r="D101" s="870"/>
      <c r="E101" s="871"/>
      <c r="F101" s="871"/>
      <c r="G101" s="872"/>
      <c r="H101" s="871"/>
      <c r="I101" s="871"/>
      <c r="J101" s="871"/>
      <c r="K101" s="871"/>
      <c r="L101" s="871"/>
      <c r="M101" s="871"/>
      <c r="N101" s="871"/>
      <c r="O101" s="871"/>
      <c r="P101" s="871"/>
      <c r="Q101" s="871"/>
      <c r="R101" s="871"/>
      <c r="S101" s="871"/>
      <c r="T101" s="871"/>
      <c r="U101" s="845"/>
    </row>
    <row r="102" spans="2:21" s="839" customFormat="1" ht="19.5" customHeight="1" thickBot="1" thickTop="1">
      <c r="B102" s="840"/>
      <c r="C102" s="872"/>
      <c r="D102" s="871"/>
      <c r="E102" s="804"/>
      <c r="F102" s="804"/>
      <c r="G102" s="804"/>
      <c r="H102" s="873" t="s">
        <v>387</v>
      </c>
      <c r="I102" s="874"/>
      <c r="J102" s="875">
        <f>T99</f>
        <v>0.48</v>
      </c>
      <c r="K102" s="876" t="s">
        <v>388</v>
      </c>
      <c r="L102" s="877"/>
      <c r="M102" s="878"/>
      <c r="N102" s="871"/>
      <c r="O102" s="871"/>
      <c r="P102" s="871"/>
      <c r="Q102" s="871"/>
      <c r="R102" s="871"/>
      <c r="S102" s="871"/>
      <c r="T102" s="871"/>
      <c r="U102" s="845"/>
    </row>
    <row r="103" spans="2:21" s="881" customFormat="1" ht="9.75" customHeight="1" thickTop="1">
      <c r="B103" s="879"/>
      <c r="C103" s="865"/>
      <c r="D103" s="866"/>
      <c r="E103" s="867"/>
      <c r="F103" s="868"/>
      <c r="G103" s="865"/>
      <c r="H103" s="869"/>
      <c r="I103" s="869"/>
      <c r="J103" s="869"/>
      <c r="K103" s="869"/>
      <c r="L103" s="869"/>
      <c r="M103" s="869"/>
      <c r="N103" s="869"/>
      <c r="O103" s="869"/>
      <c r="P103" s="869"/>
      <c r="Q103" s="869"/>
      <c r="R103" s="869"/>
      <c r="S103" s="869"/>
      <c r="T103" s="869"/>
      <c r="U103" s="880"/>
    </row>
    <row r="104" spans="2:21" s="819" customFormat="1" ht="9.75" customHeight="1" thickBot="1">
      <c r="B104" s="882"/>
      <c r="C104" s="883"/>
      <c r="D104" s="884"/>
      <c r="E104" s="884"/>
      <c r="F104" s="883"/>
      <c r="G104" s="883"/>
      <c r="H104" s="884"/>
      <c r="I104" s="884"/>
      <c r="J104" s="884"/>
      <c r="K104" s="884"/>
      <c r="L104" s="884"/>
      <c r="M104" s="884"/>
      <c r="N104" s="884"/>
      <c r="O104" s="884"/>
      <c r="P104" s="884"/>
      <c r="Q104" s="884"/>
      <c r="R104" s="884"/>
      <c r="S104" s="884"/>
      <c r="T104" s="884"/>
      <c r="U104" s="885"/>
    </row>
    <row r="105" spans="3:7" ht="13.5" thickTop="1">
      <c r="C105" s="886"/>
      <c r="F105" s="886"/>
      <c r="G105" s="886"/>
    </row>
    <row r="106" spans="3:194" ht="12.75">
      <c r="C106" s="886"/>
      <c r="D106" s="872"/>
      <c r="E106" s="872"/>
      <c r="F106" s="872"/>
      <c r="G106" s="872"/>
      <c r="H106" s="887"/>
      <c r="I106" s="887"/>
      <c r="J106" s="887"/>
      <c r="K106" s="887"/>
      <c r="L106" s="887"/>
      <c r="M106" s="887"/>
      <c r="N106" s="887"/>
      <c r="O106" s="887"/>
      <c r="P106" s="887"/>
      <c r="Q106" s="887"/>
      <c r="R106" s="887"/>
      <c r="S106" s="887"/>
      <c r="T106" s="887"/>
      <c r="U106" s="871"/>
      <c r="V106" s="871"/>
      <c r="W106" s="871"/>
      <c r="X106" s="871"/>
      <c r="Y106" s="871"/>
      <c r="Z106" s="871"/>
      <c r="AA106" s="871"/>
      <c r="AB106" s="871"/>
      <c r="AC106" s="871"/>
      <c r="AD106" s="871"/>
      <c r="AE106" s="871"/>
      <c r="AF106" s="871"/>
      <c r="AG106" s="871"/>
      <c r="AH106" s="871"/>
      <c r="AI106" s="871"/>
      <c r="AJ106" s="871"/>
      <c r="AK106" s="871"/>
      <c r="AL106" s="871"/>
      <c r="AM106" s="871"/>
      <c r="AN106" s="871"/>
      <c r="AO106" s="871"/>
      <c r="AP106" s="871"/>
      <c r="AQ106" s="871"/>
      <c r="AR106" s="871"/>
      <c r="AS106" s="871"/>
      <c r="AT106" s="871"/>
      <c r="AU106" s="871"/>
      <c r="AV106" s="871"/>
      <c r="AW106" s="871"/>
      <c r="AX106" s="871"/>
      <c r="AY106" s="871"/>
      <c r="AZ106" s="871"/>
      <c r="BA106" s="871"/>
      <c r="BB106" s="871"/>
      <c r="BC106" s="871"/>
      <c r="BD106" s="871"/>
      <c r="BE106" s="871"/>
      <c r="BF106" s="871"/>
      <c r="BG106" s="871"/>
      <c r="BH106" s="871"/>
      <c r="BI106" s="871"/>
      <c r="BJ106" s="871"/>
      <c r="BK106" s="871"/>
      <c r="BL106" s="871"/>
      <c r="BM106" s="871"/>
      <c r="BN106" s="871"/>
      <c r="BO106" s="871"/>
      <c r="BP106" s="871"/>
      <c r="BQ106" s="871"/>
      <c r="BR106" s="871"/>
      <c r="BS106" s="871"/>
      <c r="BT106" s="871"/>
      <c r="BU106" s="871"/>
      <c r="BV106" s="871"/>
      <c r="BW106" s="871"/>
      <c r="BX106" s="871"/>
      <c r="BY106" s="871"/>
      <c r="BZ106" s="871"/>
      <c r="CA106" s="871"/>
      <c r="CB106" s="871"/>
      <c r="CC106" s="871"/>
      <c r="CD106" s="871"/>
      <c r="CE106" s="871"/>
      <c r="CF106" s="871"/>
      <c r="CG106" s="871"/>
      <c r="CH106" s="871"/>
      <c r="CI106" s="871"/>
      <c r="CJ106" s="871"/>
      <c r="CK106" s="871"/>
      <c r="CL106" s="871"/>
      <c r="CM106" s="871"/>
      <c r="CN106" s="871"/>
      <c r="CO106" s="871"/>
      <c r="CP106" s="871"/>
      <c r="CQ106" s="871"/>
      <c r="CR106" s="871"/>
      <c r="CS106" s="871"/>
      <c r="CT106" s="871"/>
      <c r="CU106" s="871"/>
      <c r="CV106" s="871"/>
      <c r="CW106" s="871"/>
      <c r="CX106" s="871"/>
      <c r="CY106" s="871"/>
      <c r="CZ106" s="871"/>
      <c r="DA106" s="871"/>
      <c r="DB106" s="871"/>
      <c r="DC106" s="871"/>
      <c r="DD106" s="871"/>
      <c r="DE106" s="871"/>
      <c r="DF106" s="871"/>
      <c r="DG106" s="871"/>
      <c r="DH106" s="871"/>
      <c r="DI106" s="871"/>
      <c r="DJ106" s="871"/>
      <c r="DK106" s="871"/>
      <c r="DL106" s="871"/>
      <c r="DM106" s="871"/>
      <c r="DN106" s="871"/>
      <c r="DO106" s="871"/>
      <c r="DP106" s="871"/>
      <c r="DQ106" s="871"/>
      <c r="DR106" s="871"/>
      <c r="DS106" s="871"/>
      <c r="DT106" s="871"/>
      <c r="DU106" s="871"/>
      <c r="DV106" s="871"/>
      <c r="DW106" s="871"/>
      <c r="DX106" s="871"/>
      <c r="DY106" s="871"/>
      <c r="DZ106" s="871"/>
      <c r="EA106" s="871"/>
      <c r="EB106" s="871"/>
      <c r="EC106" s="871"/>
      <c r="ED106" s="871"/>
      <c r="EE106" s="871"/>
      <c r="EF106" s="871"/>
      <c r="EG106" s="871"/>
      <c r="EH106" s="871"/>
      <c r="EI106" s="871"/>
      <c r="EJ106" s="871"/>
      <c r="EK106" s="871"/>
      <c r="EL106" s="871"/>
      <c r="EM106" s="871"/>
      <c r="EN106" s="871"/>
      <c r="EO106" s="871"/>
      <c r="EP106" s="871"/>
      <c r="EQ106" s="871"/>
      <c r="ER106" s="871"/>
      <c r="ES106" s="871"/>
      <c r="ET106" s="871"/>
      <c r="EU106" s="871"/>
      <c r="EV106" s="871"/>
      <c r="EW106" s="871"/>
      <c r="EX106" s="871"/>
      <c r="EY106" s="871"/>
      <c r="EZ106" s="871"/>
      <c r="FA106" s="871"/>
      <c r="FB106" s="871"/>
      <c r="FC106" s="871"/>
      <c r="FD106" s="871"/>
      <c r="FE106" s="871"/>
      <c r="FF106" s="871"/>
      <c r="FG106" s="871"/>
      <c r="FH106" s="871"/>
      <c r="FI106" s="871"/>
      <c r="FJ106" s="871"/>
      <c r="FK106" s="871"/>
      <c r="FL106" s="871"/>
      <c r="FM106" s="871"/>
      <c r="FN106" s="871"/>
      <c r="FO106" s="871"/>
      <c r="FP106" s="871"/>
      <c r="FQ106" s="871"/>
      <c r="FR106" s="871"/>
      <c r="FS106" s="871"/>
      <c r="FT106" s="871"/>
      <c r="FU106" s="871"/>
      <c r="FV106" s="871"/>
      <c r="FW106" s="871"/>
      <c r="FX106" s="871"/>
      <c r="FY106" s="871"/>
      <c r="FZ106" s="871"/>
      <c r="GA106" s="871"/>
      <c r="GB106" s="871"/>
      <c r="GC106" s="871"/>
      <c r="GD106" s="871"/>
      <c r="GE106" s="871"/>
      <c r="GF106" s="871"/>
      <c r="GG106" s="871"/>
      <c r="GH106" s="871"/>
      <c r="GI106" s="871"/>
      <c r="GJ106" s="871"/>
      <c r="GK106" s="871"/>
      <c r="GL106" s="871"/>
    </row>
    <row r="107" spans="3:194" ht="12.75">
      <c r="C107" s="886"/>
      <c r="D107" s="872"/>
      <c r="E107" s="872"/>
      <c r="F107" s="872"/>
      <c r="G107" s="872"/>
      <c r="H107" s="887"/>
      <c r="I107" s="887"/>
      <c r="J107" s="887"/>
      <c r="K107" s="887"/>
      <c r="L107" s="887"/>
      <c r="M107" s="887"/>
      <c r="N107" s="887"/>
      <c r="O107" s="887"/>
      <c r="P107" s="887"/>
      <c r="Q107" s="887"/>
      <c r="R107" s="887"/>
      <c r="S107" s="887"/>
      <c r="T107" s="887"/>
      <c r="U107" s="871"/>
      <c r="V107" s="871"/>
      <c r="W107" s="871"/>
      <c r="X107" s="871"/>
      <c r="Y107" s="871"/>
      <c r="Z107" s="871"/>
      <c r="AA107" s="871"/>
      <c r="AB107" s="871"/>
      <c r="AC107" s="871"/>
      <c r="AD107" s="871"/>
      <c r="AE107" s="871"/>
      <c r="AF107" s="871"/>
      <c r="AG107" s="871"/>
      <c r="AH107" s="871"/>
      <c r="AI107" s="871"/>
      <c r="AJ107" s="871"/>
      <c r="AK107" s="871"/>
      <c r="AL107" s="871"/>
      <c r="AM107" s="871"/>
      <c r="AN107" s="871"/>
      <c r="AO107" s="871"/>
      <c r="AP107" s="871"/>
      <c r="AQ107" s="871"/>
      <c r="AR107" s="871"/>
      <c r="AS107" s="871"/>
      <c r="AT107" s="871"/>
      <c r="AU107" s="871"/>
      <c r="AV107" s="871"/>
      <c r="AW107" s="871"/>
      <c r="AX107" s="871"/>
      <c r="AY107" s="871"/>
      <c r="AZ107" s="871"/>
      <c r="BA107" s="871"/>
      <c r="BB107" s="871"/>
      <c r="BC107" s="871"/>
      <c r="BD107" s="871"/>
      <c r="BE107" s="871"/>
      <c r="BF107" s="871"/>
      <c r="BG107" s="871"/>
      <c r="BH107" s="871"/>
      <c r="BI107" s="871"/>
      <c r="BJ107" s="871"/>
      <c r="BK107" s="871"/>
      <c r="BL107" s="871"/>
      <c r="BM107" s="871"/>
      <c r="BN107" s="871"/>
      <c r="BO107" s="871"/>
      <c r="BP107" s="871"/>
      <c r="BQ107" s="871"/>
      <c r="BR107" s="871"/>
      <c r="BS107" s="871"/>
      <c r="BT107" s="871"/>
      <c r="BU107" s="871"/>
      <c r="BV107" s="871"/>
      <c r="BW107" s="871"/>
      <c r="BX107" s="871"/>
      <c r="BY107" s="871"/>
      <c r="BZ107" s="871"/>
      <c r="CA107" s="871"/>
      <c r="CB107" s="871"/>
      <c r="CC107" s="871"/>
      <c r="CD107" s="871"/>
      <c r="CE107" s="871"/>
      <c r="CF107" s="871"/>
      <c r="CG107" s="871"/>
      <c r="CH107" s="871"/>
      <c r="CI107" s="871"/>
      <c r="CJ107" s="871"/>
      <c r="CK107" s="871"/>
      <c r="CL107" s="871"/>
      <c r="CM107" s="871"/>
      <c r="CN107" s="871"/>
      <c r="CO107" s="871"/>
      <c r="CP107" s="871"/>
      <c r="CQ107" s="871"/>
      <c r="CR107" s="871"/>
      <c r="CS107" s="871"/>
      <c r="CT107" s="871"/>
      <c r="CU107" s="871"/>
      <c r="CV107" s="871"/>
      <c r="CW107" s="871"/>
      <c r="CX107" s="871"/>
      <c r="CY107" s="871"/>
      <c r="CZ107" s="871"/>
      <c r="DA107" s="871"/>
      <c r="DB107" s="871"/>
      <c r="DC107" s="871"/>
      <c r="DD107" s="871"/>
      <c r="DE107" s="871"/>
      <c r="DF107" s="871"/>
      <c r="DG107" s="871"/>
      <c r="DH107" s="871"/>
      <c r="DI107" s="871"/>
      <c r="DJ107" s="871"/>
      <c r="DK107" s="871"/>
      <c r="DL107" s="871"/>
      <c r="DM107" s="871"/>
      <c r="DN107" s="871"/>
      <c r="DO107" s="871"/>
      <c r="DP107" s="871"/>
      <c r="DQ107" s="871"/>
      <c r="DR107" s="871"/>
      <c r="DS107" s="871"/>
      <c r="DT107" s="871"/>
      <c r="DU107" s="871"/>
      <c r="DV107" s="871"/>
      <c r="DW107" s="871"/>
      <c r="DX107" s="871"/>
      <c r="DY107" s="871"/>
      <c r="DZ107" s="871"/>
      <c r="EA107" s="871"/>
      <c r="EB107" s="871"/>
      <c r="EC107" s="871"/>
      <c r="ED107" s="871"/>
      <c r="EE107" s="871"/>
      <c r="EF107" s="871"/>
      <c r="EG107" s="871"/>
      <c r="EH107" s="871"/>
      <c r="EI107" s="871"/>
      <c r="EJ107" s="871"/>
      <c r="EK107" s="871"/>
      <c r="EL107" s="871"/>
      <c r="EM107" s="871"/>
      <c r="EN107" s="871"/>
      <c r="EO107" s="871"/>
      <c r="EP107" s="871"/>
      <c r="EQ107" s="871"/>
      <c r="ER107" s="871"/>
      <c r="ES107" s="871"/>
      <c r="ET107" s="871"/>
      <c r="EU107" s="871"/>
      <c r="EV107" s="871"/>
      <c r="EW107" s="871"/>
      <c r="EX107" s="871"/>
      <c r="EY107" s="871"/>
      <c r="EZ107" s="871"/>
      <c r="FA107" s="871"/>
      <c r="FB107" s="871"/>
      <c r="FC107" s="871"/>
      <c r="FD107" s="871"/>
      <c r="FE107" s="871"/>
      <c r="FF107" s="871"/>
      <c r="FG107" s="871"/>
      <c r="FH107" s="871"/>
      <c r="FI107" s="871"/>
      <c r="FJ107" s="871"/>
      <c r="FK107" s="871"/>
      <c r="FL107" s="871"/>
      <c r="FM107" s="871"/>
      <c r="FN107" s="871"/>
      <c r="FO107" s="871"/>
      <c r="FP107" s="871"/>
      <c r="FQ107" s="871"/>
      <c r="FR107" s="871"/>
      <c r="FS107" s="871"/>
      <c r="FT107" s="871"/>
      <c r="FU107" s="871"/>
      <c r="FV107" s="871"/>
      <c r="FW107" s="871"/>
      <c r="FX107" s="871"/>
      <c r="FY107" s="871"/>
      <c r="FZ107" s="871"/>
      <c r="GA107" s="871"/>
      <c r="GB107" s="871"/>
      <c r="GC107" s="871"/>
      <c r="GD107" s="871"/>
      <c r="GE107" s="871"/>
      <c r="GF107" s="871"/>
      <c r="GG107" s="871"/>
      <c r="GH107" s="871"/>
      <c r="GI107" s="871"/>
      <c r="GJ107" s="871"/>
      <c r="GK107" s="871"/>
      <c r="GL107" s="871"/>
    </row>
    <row r="108" spans="3:194" ht="12.75">
      <c r="C108" s="886"/>
      <c r="D108" s="872"/>
      <c r="E108" s="872"/>
      <c r="F108" s="872"/>
      <c r="G108" s="872"/>
      <c r="H108" s="888"/>
      <c r="I108" s="888"/>
      <c r="J108" s="888"/>
      <c r="K108" s="888"/>
      <c r="L108" s="888"/>
      <c r="M108" s="888"/>
      <c r="N108" s="888"/>
      <c r="O108" s="888"/>
      <c r="P108" s="888"/>
      <c r="Q108" s="888"/>
      <c r="R108" s="888"/>
      <c r="S108" s="888"/>
      <c r="T108" s="888"/>
      <c r="U108" s="871"/>
      <c r="V108" s="871"/>
      <c r="W108" s="871"/>
      <c r="X108" s="871"/>
      <c r="Y108" s="871"/>
      <c r="Z108" s="871"/>
      <c r="AA108" s="871"/>
      <c r="AB108" s="871"/>
      <c r="AC108" s="871"/>
      <c r="AD108" s="871"/>
      <c r="AE108" s="871"/>
      <c r="AF108" s="871"/>
      <c r="AG108" s="871"/>
      <c r="AH108" s="871"/>
      <c r="AI108" s="871"/>
      <c r="AJ108" s="871"/>
      <c r="AK108" s="871"/>
      <c r="AL108" s="871"/>
      <c r="AM108" s="871"/>
      <c r="AN108" s="871"/>
      <c r="AO108" s="871"/>
      <c r="AP108" s="871"/>
      <c r="AQ108" s="871"/>
      <c r="AR108" s="871"/>
      <c r="AS108" s="871"/>
      <c r="AT108" s="871"/>
      <c r="AU108" s="871"/>
      <c r="AV108" s="871"/>
      <c r="AW108" s="871"/>
      <c r="AX108" s="871"/>
      <c r="AY108" s="871"/>
      <c r="AZ108" s="871"/>
      <c r="BA108" s="871"/>
      <c r="BB108" s="871"/>
      <c r="BC108" s="871"/>
      <c r="BD108" s="871"/>
      <c r="BE108" s="871"/>
      <c r="BF108" s="871"/>
      <c r="BG108" s="871"/>
      <c r="BH108" s="871"/>
      <c r="BI108" s="871"/>
      <c r="BJ108" s="871"/>
      <c r="BK108" s="871"/>
      <c r="BL108" s="871"/>
      <c r="BM108" s="871"/>
      <c r="BN108" s="871"/>
      <c r="BO108" s="871"/>
      <c r="BP108" s="871"/>
      <c r="BQ108" s="871"/>
      <c r="BR108" s="871"/>
      <c r="BS108" s="871"/>
      <c r="BT108" s="871"/>
      <c r="BU108" s="871"/>
      <c r="BV108" s="871"/>
      <c r="BW108" s="871"/>
      <c r="BX108" s="871"/>
      <c r="BY108" s="871"/>
      <c r="BZ108" s="871"/>
      <c r="CA108" s="871"/>
      <c r="CB108" s="871"/>
      <c r="CC108" s="871"/>
      <c r="CD108" s="871"/>
      <c r="CE108" s="871"/>
      <c r="CF108" s="871"/>
      <c r="CG108" s="871"/>
      <c r="CH108" s="871"/>
      <c r="CI108" s="871"/>
      <c r="CJ108" s="871"/>
      <c r="CK108" s="871"/>
      <c r="CL108" s="871"/>
      <c r="CM108" s="871"/>
      <c r="CN108" s="871"/>
      <c r="CO108" s="871"/>
      <c r="CP108" s="871"/>
      <c r="CQ108" s="871"/>
      <c r="CR108" s="871"/>
      <c r="CS108" s="871"/>
      <c r="CT108" s="871"/>
      <c r="CU108" s="871"/>
      <c r="CV108" s="871"/>
      <c r="CW108" s="871"/>
      <c r="CX108" s="871"/>
      <c r="CY108" s="871"/>
      <c r="CZ108" s="871"/>
      <c r="DA108" s="871"/>
      <c r="DB108" s="871"/>
      <c r="DC108" s="871"/>
      <c r="DD108" s="871"/>
      <c r="DE108" s="871"/>
      <c r="DF108" s="871"/>
      <c r="DG108" s="871"/>
      <c r="DH108" s="871"/>
      <c r="DI108" s="871"/>
      <c r="DJ108" s="871"/>
      <c r="DK108" s="871"/>
      <c r="DL108" s="871"/>
      <c r="DM108" s="871"/>
      <c r="DN108" s="871"/>
      <c r="DO108" s="871"/>
      <c r="DP108" s="871"/>
      <c r="DQ108" s="871"/>
      <c r="DR108" s="871"/>
      <c r="DS108" s="871"/>
      <c r="DT108" s="871"/>
      <c r="DU108" s="871"/>
      <c r="DV108" s="871"/>
      <c r="DW108" s="871"/>
      <c r="DX108" s="871"/>
      <c r="DY108" s="871"/>
      <c r="DZ108" s="871"/>
      <c r="EA108" s="871"/>
      <c r="EB108" s="871"/>
      <c r="EC108" s="871"/>
      <c r="ED108" s="871"/>
      <c r="EE108" s="871"/>
      <c r="EF108" s="871"/>
      <c r="EG108" s="871"/>
      <c r="EH108" s="871"/>
      <c r="EI108" s="871"/>
      <c r="EJ108" s="871"/>
      <c r="EK108" s="871"/>
      <c r="EL108" s="871"/>
      <c r="EM108" s="871"/>
      <c r="EN108" s="871"/>
      <c r="EO108" s="871"/>
      <c r="EP108" s="871"/>
      <c r="EQ108" s="871"/>
      <c r="ER108" s="871"/>
      <c r="ES108" s="871"/>
      <c r="ET108" s="871"/>
      <c r="EU108" s="871"/>
      <c r="EV108" s="871"/>
      <c r="EW108" s="871"/>
      <c r="EX108" s="871"/>
      <c r="EY108" s="871"/>
      <c r="EZ108" s="871"/>
      <c r="FA108" s="871"/>
      <c r="FB108" s="871"/>
      <c r="FC108" s="871"/>
      <c r="FD108" s="871"/>
      <c r="FE108" s="871"/>
      <c r="FF108" s="871"/>
      <c r="FG108" s="871"/>
      <c r="FH108" s="871"/>
      <c r="FI108" s="871"/>
      <c r="FJ108" s="871"/>
      <c r="FK108" s="871"/>
      <c r="FL108" s="871"/>
      <c r="FM108" s="871"/>
      <c r="FN108" s="871"/>
      <c r="FO108" s="871"/>
      <c r="FP108" s="871"/>
      <c r="FQ108" s="871"/>
      <c r="FR108" s="871"/>
      <c r="FS108" s="871"/>
      <c r="FT108" s="871"/>
      <c r="FU108" s="871"/>
      <c r="FV108" s="871"/>
      <c r="FW108" s="871"/>
      <c r="FX108" s="871"/>
      <c r="FY108" s="871"/>
      <c r="FZ108" s="871"/>
      <c r="GA108" s="871"/>
      <c r="GB108" s="871"/>
      <c r="GC108" s="871"/>
      <c r="GD108" s="871"/>
      <c r="GE108" s="871"/>
      <c r="GF108" s="871"/>
      <c r="GG108" s="871"/>
      <c r="GH108" s="871"/>
      <c r="GI108" s="871"/>
      <c r="GJ108" s="871"/>
      <c r="GK108" s="871"/>
      <c r="GL108" s="871"/>
    </row>
    <row r="109" spans="3:194" ht="12.75">
      <c r="C109" s="886"/>
      <c r="D109" s="872"/>
      <c r="E109" s="872"/>
      <c r="F109" s="872"/>
      <c r="G109" s="872"/>
      <c r="H109" s="887"/>
      <c r="I109" s="887"/>
      <c r="J109" s="887"/>
      <c r="K109" s="887"/>
      <c r="L109" s="887"/>
      <c r="M109" s="887"/>
      <c r="N109" s="887"/>
      <c r="O109" s="887"/>
      <c r="P109" s="887"/>
      <c r="Q109" s="887"/>
      <c r="R109" s="887"/>
      <c r="S109" s="887"/>
      <c r="T109" s="887"/>
      <c r="U109" s="871"/>
      <c r="V109" s="871"/>
      <c r="W109" s="871"/>
      <c r="X109" s="871"/>
      <c r="Y109" s="871"/>
      <c r="Z109" s="871"/>
      <c r="AA109" s="871"/>
      <c r="AB109" s="871"/>
      <c r="AC109" s="871"/>
      <c r="AD109" s="871"/>
      <c r="AE109" s="871"/>
      <c r="AF109" s="871"/>
      <c r="AG109" s="871"/>
      <c r="AH109" s="871"/>
      <c r="AI109" s="871"/>
      <c r="AJ109" s="871"/>
      <c r="AK109" s="871"/>
      <c r="AL109" s="871"/>
      <c r="AM109" s="871"/>
      <c r="AN109" s="871"/>
      <c r="AO109" s="871"/>
      <c r="AP109" s="871"/>
      <c r="AQ109" s="871"/>
      <c r="AR109" s="871"/>
      <c r="AS109" s="871"/>
      <c r="AT109" s="871"/>
      <c r="AU109" s="871"/>
      <c r="AV109" s="871"/>
      <c r="AW109" s="871"/>
      <c r="AX109" s="871"/>
      <c r="AY109" s="871"/>
      <c r="AZ109" s="871"/>
      <c r="BA109" s="871"/>
      <c r="BB109" s="871"/>
      <c r="BC109" s="871"/>
      <c r="BD109" s="871"/>
      <c r="BE109" s="871"/>
      <c r="BF109" s="871"/>
      <c r="BG109" s="871"/>
      <c r="BH109" s="871"/>
      <c r="BI109" s="871"/>
      <c r="BJ109" s="871"/>
      <c r="BK109" s="871"/>
      <c r="BL109" s="871"/>
      <c r="BM109" s="871"/>
      <c r="BN109" s="871"/>
      <c r="BO109" s="871"/>
      <c r="BP109" s="871"/>
      <c r="BQ109" s="871"/>
      <c r="BR109" s="871"/>
      <c r="BS109" s="871"/>
      <c r="BT109" s="871"/>
      <c r="BU109" s="871"/>
      <c r="BV109" s="871"/>
      <c r="BW109" s="871"/>
      <c r="BX109" s="871"/>
      <c r="BY109" s="871"/>
      <c r="BZ109" s="871"/>
      <c r="CA109" s="871"/>
      <c r="CB109" s="871"/>
      <c r="CC109" s="871"/>
      <c r="CD109" s="871"/>
      <c r="CE109" s="871"/>
      <c r="CF109" s="871"/>
      <c r="CG109" s="871"/>
      <c r="CH109" s="871"/>
      <c r="CI109" s="871"/>
      <c r="CJ109" s="871"/>
      <c r="CK109" s="871"/>
      <c r="CL109" s="871"/>
      <c r="CM109" s="871"/>
      <c r="CN109" s="871"/>
      <c r="CO109" s="871"/>
      <c r="CP109" s="871"/>
      <c r="CQ109" s="871"/>
      <c r="CR109" s="871"/>
      <c r="CS109" s="871"/>
      <c r="CT109" s="871"/>
      <c r="CU109" s="871"/>
      <c r="CV109" s="871"/>
      <c r="CW109" s="871"/>
      <c r="CX109" s="871"/>
      <c r="CY109" s="871"/>
      <c r="CZ109" s="871"/>
      <c r="DA109" s="871"/>
      <c r="DB109" s="871"/>
      <c r="DC109" s="871"/>
      <c r="DD109" s="871"/>
      <c r="DE109" s="871"/>
      <c r="DF109" s="871"/>
      <c r="DG109" s="871"/>
      <c r="DH109" s="871"/>
      <c r="DI109" s="871"/>
      <c r="DJ109" s="871"/>
      <c r="DK109" s="871"/>
      <c r="DL109" s="871"/>
      <c r="DM109" s="871"/>
      <c r="DN109" s="871"/>
      <c r="DO109" s="871"/>
      <c r="DP109" s="871"/>
      <c r="DQ109" s="871"/>
      <c r="DR109" s="871"/>
      <c r="DS109" s="871"/>
      <c r="DT109" s="871"/>
      <c r="DU109" s="871"/>
      <c r="DV109" s="871"/>
      <c r="DW109" s="871"/>
      <c r="DX109" s="871"/>
      <c r="DY109" s="871"/>
      <c r="DZ109" s="871"/>
      <c r="EA109" s="871"/>
      <c r="EB109" s="871"/>
      <c r="EC109" s="871"/>
      <c r="ED109" s="871"/>
      <c r="EE109" s="871"/>
      <c r="EF109" s="871"/>
      <c r="EG109" s="871"/>
      <c r="EH109" s="871"/>
      <c r="EI109" s="871"/>
      <c r="EJ109" s="871"/>
      <c r="EK109" s="871"/>
      <c r="EL109" s="871"/>
      <c r="EM109" s="871"/>
      <c r="EN109" s="871"/>
      <c r="EO109" s="871"/>
      <c r="EP109" s="871"/>
      <c r="EQ109" s="871"/>
      <c r="ER109" s="871"/>
      <c r="ES109" s="871"/>
      <c r="ET109" s="871"/>
      <c r="EU109" s="871"/>
      <c r="EV109" s="871"/>
      <c r="EW109" s="871"/>
      <c r="EX109" s="871"/>
      <c r="EY109" s="871"/>
      <c r="EZ109" s="871"/>
      <c r="FA109" s="871"/>
      <c r="FB109" s="871"/>
      <c r="FC109" s="871"/>
      <c r="FD109" s="871"/>
      <c r="FE109" s="871"/>
      <c r="FF109" s="871"/>
      <c r="FG109" s="871"/>
      <c r="FH109" s="871"/>
      <c r="FI109" s="871"/>
      <c r="FJ109" s="871"/>
      <c r="FK109" s="871"/>
      <c r="FL109" s="871"/>
      <c r="FM109" s="871"/>
      <c r="FN109" s="871"/>
      <c r="FO109" s="871"/>
      <c r="FP109" s="871"/>
      <c r="FQ109" s="871"/>
      <c r="FR109" s="871"/>
      <c r="FS109" s="871"/>
      <c r="FT109" s="871"/>
      <c r="FU109" s="871"/>
      <c r="FV109" s="871"/>
      <c r="FW109" s="871"/>
      <c r="FX109" s="871"/>
      <c r="FY109" s="871"/>
      <c r="FZ109" s="871"/>
      <c r="GA109" s="871"/>
      <c r="GB109" s="871"/>
      <c r="GC109" s="871"/>
      <c r="GD109" s="871"/>
      <c r="GE109" s="871"/>
      <c r="GF109" s="871"/>
      <c r="GG109" s="871"/>
      <c r="GH109" s="871"/>
      <c r="GI109" s="871"/>
      <c r="GJ109" s="871"/>
      <c r="GK109" s="871"/>
      <c r="GL109" s="871"/>
    </row>
    <row r="110" spans="3:194" ht="12.75">
      <c r="C110" s="886"/>
      <c r="D110" s="872"/>
      <c r="E110" s="872"/>
      <c r="F110" s="872"/>
      <c r="G110" s="872"/>
      <c r="H110" s="887"/>
      <c r="I110" s="887"/>
      <c r="J110" s="887"/>
      <c r="K110" s="887"/>
      <c r="L110" s="887"/>
      <c r="M110" s="887"/>
      <c r="N110" s="887"/>
      <c r="O110" s="887"/>
      <c r="P110" s="887"/>
      <c r="Q110" s="887"/>
      <c r="R110" s="887"/>
      <c r="S110" s="887"/>
      <c r="T110" s="887"/>
      <c r="U110" s="871"/>
      <c r="V110" s="871"/>
      <c r="W110" s="871"/>
      <c r="X110" s="871"/>
      <c r="Y110" s="871"/>
      <c r="Z110" s="871"/>
      <c r="AA110" s="871"/>
      <c r="AB110" s="871"/>
      <c r="AC110" s="871"/>
      <c r="AD110" s="871"/>
      <c r="AE110" s="871"/>
      <c r="AF110" s="871"/>
      <c r="AG110" s="871"/>
      <c r="AH110" s="871"/>
      <c r="AI110" s="871"/>
      <c r="AJ110" s="871"/>
      <c r="AK110" s="871"/>
      <c r="AL110" s="871"/>
      <c r="AM110" s="871"/>
      <c r="AN110" s="871"/>
      <c r="AO110" s="871"/>
      <c r="AP110" s="871"/>
      <c r="AQ110" s="871"/>
      <c r="AR110" s="871"/>
      <c r="AS110" s="871"/>
      <c r="AT110" s="871"/>
      <c r="AU110" s="871"/>
      <c r="AV110" s="871"/>
      <c r="AW110" s="871"/>
      <c r="AX110" s="871"/>
      <c r="AY110" s="871"/>
      <c r="AZ110" s="871"/>
      <c r="BA110" s="871"/>
      <c r="BB110" s="871"/>
      <c r="BC110" s="871"/>
      <c r="BD110" s="871"/>
      <c r="BE110" s="871"/>
      <c r="BF110" s="871"/>
      <c r="BG110" s="871"/>
      <c r="BH110" s="871"/>
      <c r="BI110" s="871"/>
      <c r="BJ110" s="871"/>
      <c r="BK110" s="871"/>
      <c r="BL110" s="871"/>
      <c r="BM110" s="871"/>
      <c r="BN110" s="871"/>
      <c r="BO110" s="871"/>
      <c r="BP110" s="871"/>
      <c r="BQ110" s="871"/>
      <c r="BR110" s="871"/>
      <c r="BS110" s="871"/>
      <c r="BT110" s="871"/>
      <c r="BU110" s="871"/>
      <c r="BV110" s="871"/>
      <c r="BW110" s="871"/>
      <c r="BX110" s="871"/>
      <c r="BY110" s="871"/>
      <c r="BZ110" s="871"/>
      <c r="CA110" s="871"/>
      <c r="CB110" s="871"/>
      <c r="CC110" s="871"/>
      <c r="CD110" s="871"/>
      <c r="CE110" s="871"/>
      <c r="CF110" s="871"/>
      <c r="CG110" s="871"/>
      <c r="CH110" s="871"/>
      <c r="CI110" s="871"/>
      <c r="CJ110" s="871"/>
      <c r="CK110" s="871"/>
      <c r="CL110" s="871"/>
      <c r="CM110" s="871"/>
      <c r="CN110" s="871"/>
      <c r="CO110" s="871"/>
      <c r="CP110" s="871"/>
      <c r="CQ110" s="871"/>
      <c r="CR110" s="871"/>
      <c r="CS110" s="871"/>
      <c r="CT110" s="871"/>
      <c r="CU110" s="871"/>
      <c r="CV110" s="871"/>
      <c r="CW110" s="871"/>
      <c r="CX110" s="871"/>
      <c r="CY110" s="871"/>
      <c r="CZ110" s="871"/>
      <c r="DA110" s="871"/>
      <c r="DB110" s="871"/>
      <c r="DC110" s="871"/>
      <c r="DD110" s="871"/>
      <c r="DE110" s="871"/>
      <c r="DF110" s="871"/>
      <c r="DG110" s="871"/>
      <c r="DH110" s="871"/>
      <c r="DI110" s="871"/>
      <c r="DJ110" s="871"/>
      <c r="DK110" s="871"/>
      <c r="DL110" s="871"/>
      <c r="DM110" s="871"/>
      <c r="DN110" s="871"/>
      <c r="DO110" s="871"/>
      <c r="DP110" s="871"/>
      <c r="DQ110" s="871"/>
      <c r="DR110" s="871"/>
      <c r="DS110" s="871"/>
      <c r="DT110" s="871"/>
      <c r="DU110" s="871"/>
      <c r="DV110" s="871"/>
      <c r="DW110" s="871"/>
      <c r="DX110" s="871"/>
      <c r="DY110" s="871"/>
      <c r="DZ110" s="871"/>
      <c r="EA110" s="871"/>
      <c r="EB110" s="871"/>
      <c r="EC110" s="871"/>
      <c r="ED110" s="871"/>
      <c r="EE110" s="871"/>
      <c r="EF110" s="871"/>
      <c r="EG110" s="871"/>
      <c r="EH110" s="871"/>
      <c r="EI110" s="871"/>
      <c r="EJ110" s="871"/>
      <c r="EK110" s="871"/>
      <c r="EL110" s="871"/>
      <c r="EM110" s="871"/>
      <c r="EN110" s="871"/>
      <c r="EO110" s="871"/>
      <c r="EP110" s="871"/>
      <c r="EQ110" s="871"/>
      <c r="ER110" s="871"/>
      <c r="ES110" s="871"/>
      <c r="ET110" s="871"/>
      <c r="EU110" s="871"/>
      <c r="EV110" s="871"/>
      <c r="EW110" s="871"/>
      <c r="EX110" s="871"/>
      <c r="EY110" s="871"/>
      <c r="EZ110" s="871"/>
      <c r="FA110" s="871"/>
      <c r="FB110" s="871"/>
      <c r="FC110" s="871"/>
      <c r="FD110" s="871"/>
      <c r="FE110" s="871"/>
      <c r="FF110" s="871"/>
      <c r="FG110" s="871"/>
      <c r="FH110" s="871"/>
      <c r="FI110" s="871"/>
      <c r="FJ110" s="871"/>
      <c r="FK110" s="871"/>
      <c r="FL110" s="871"/>
      <c r="FM110" s="871"/>
      <c r="FN110" s="871"/>
      <c r="FO110" s="871"/>
      <c r="FP110" s="871"/>
      <c r="FQ110" s="871"/>
      <c r="FR110" s="871"/>
      <c r="FS110" s="871"/>
      <c r="FT110" s="871"/>
      <c r="FU110" s="871"/>
      <c r="FV110" s="871"/>
      <c r="FW110" s="871"/>
      <c r="FX110" s="871"/>
      <c r="FY110" s="871"/>
      <c r="FZ110" s="871"/>
      <c r="GA110" s="871"/>
      <c r="GB110" s="871"/>
      <c r="GC110" s="871"/>
      <c r="GD110" s="871"/>
      <c r="GE110" s="871"/>
      <c r="GF110" s="871"/>
      <c r="GG110" s="871"/>
      <c r="GH110" s="871"/>
      <c r="GI110" s="871"/>
      <c r="GJ110" s="871"/>
      <c r="GK110" s="871"/>
      <c r="GL110" s="871"/>
    </row>
    <row r="111" spans="3:194" ht="12.75">
      <c r="C111" s="886"/>
      <c r="D111" s="872"/>
      <c r="E111" s="872"/>
      <c r="F111" s="872"/>
      <c r="G111" s="872"/>
      <c r="H111" s="887"/>
      <c r="I111" s="887"/>
      <c r="J111" s="887"/>
      <c r="K111" s="887"/>
      <c r="L111" s="887"/>
      <c r="M111" s="887"/>
      <c r="N111" s="887"/>
      <c r="O111" s="887"/>
      <c r="P111" s="887"/>
      <c r="Q111" s="887"/>
      <c r="R111" s="887"/>
      <c r="S111" s="887"/>
      <c r="T111" s="887"/>
      <c r="U111" s="871"/>
      <c r="V111" s="871"/>
      <c r="W111" s="871"/>
      <c r="X111" s="871"/>
      <c r="Y111" s="871"/>
      <c r="Z111" s="871"/>
      <c r="AA111" s="871"/>
      <c r="AB111" s="871"/>
      <c r="AC111" s="871"/>
      <c r="AD111" s="871"/>
      <c r="AE111" s="871"/>
      <c r="AF111" s="871"/>
      <c r="AG111" s="871"/>
      <c r="AH111" s="871"/>
      <c r="AI111" s="871"/>
      <c r="AJ111" s="871"/>
      <c r="AK111" s="871"/>
      <c r="AL111" s="871"/>
      <c r="AM111" s="871"/>
      <c r="AN111" s="871"/>
      <c r="AO111" s="871"/>
      <c r="AP111" s="871"/>
      <c r="AQ111" s="871"/>
      <c r="AR111" s="871"/>
      <c r="AS111" s="871"/>
      <c r="AT111" s="871"/>
      <c r="AU111" s="871"/>
      <c r="AV111" s="871"/>
      <c r="AW111" s="871"/>
      <c r="AX111" s="871"/>
      <c r="AY111" s="871"/>
      <c r="AZ111" s="871"/>
      <c r="BA111" s="871"/>
      <c r="BB111" s="871"/>
      <c r="BC111" s="871"/>
      <c r="BD111" s="871"/>
      <c r="BE111" s="871"/>
      <c r="BF111" s="871"/>
      <c r="BG111" s="871"/>
      <c r="BH111" s="871"/>
      <c r="BI111" s="871"/>
      <c r="BJ111" s="871"/>
      <c r="BK111" s="871"/>
      <c r="BL111" s="871"/>
      <c r="BM111" s="871"/>
      <c r="BN111" s="871"/>
      <c r="BO111" s="871"/>
      <c r="BP111" s="871"/>
      <c r="BQ111" s="871"/>
      <c r="BR111" s="871"/>
      <c r="BS111" s="871"/>
      <c r="BT111" s="871"/>
      <c r="BU111" s="871"/>
      <c r="BV111" s="871"/>
      <c r="BW111" s="871"/>
      <c r="BX111" s="871"/>
      <c r="BY111" s="871"/>
      <c r="BZ111" s="871"/>
      <c r="CA111" s="871"/>
      <c r="CB111" s="871"/>
      <c r="CC111" s="871"/>
      <c r="CD111" s="871"/>
      <c r="CE111" s="871"/>
      <c r="CF111" s="871"/>
      <c r="CG111" s="871"/>
      <c r="CH111" s="871"/>
      <c r="CI111" s="871"/>
      <c r="CJ111" s="871"/>
      <c r="CK111" s="871"/>
      <c r="CL111" s="871"/>
      <c r="CM111" s="871"/>
      <c r="CN111" s="871"/>
      <c r="CO111" s="871"/>
      <c r="CP111" s="871"/>
      <c r="CQ111" s="871"/>
      <c r="CR111" s="871"/>
      <c r="CS111" s="871"/>
      <c r="CT111" s="871"/>
      <c r="CU111" s="871"/>
      <c r="CV111" s="871"/>
      <c r="CW111" s="871"/>
      <c r="CX111" s="871"/>
      <c r="CY111" s="871"/>
      <c r="CZ111" s="871"/>
      <c r="DA111" s="871"/>
      <c r="DB111" s="871"/>
      <c r="DC111" s="871"/>
      <c r="DD111" s="871"/>
      <c r="DE111" s="871"/>
      <c r="DF111" s="871"/>
      <c r="DG111" s="871"/>
      <c r="DH111" s="871"/>
      <c r="DI111" s="871"/>
      <c r="DJ111" s="871"/>
      <c r="DK111" s="871"/>
      <c r="DL111" s="871"/>
      <c r="DM111" s="871"/>
      <c r="DN111" s="871"/>
      <c r="DO111" s="871"/>
      <c r="DP111" s="871"/>
      <c r="DQ111" s="871"/>
      <c r="DR111" s="871"/>
      <c r="DS111" s="871"/>
      <c r="DT111" s="871"/>
      <c r="DU111" s="871"/>
      <c r="DV111" s="871"/>
      <c r="DW111" s="871"/>
      <c r="DX111" s="871"/>
      <c r="DY111" s="871"/>
      <c r="DZ111" s="871"/>
      <c r="EA111" s="871"/>
      <c r="EB111" s="871"/>
      <c r="EC111" s="871"/>
      <c r="ED111" s="871"/>
      <c r="EE111" s="871"/>
      <c r="EF111" s="871"/>
      <c r="EG111" s="871"/>
      <c r="EH111" s="871"/>
      <c r="EI111" s="871"/>
      <c r="EJ111" s="871"/>
      <c r="EK111" s="871"/>
      <c r="EL111" s="871"/>
      <c r="EM111" s="871"/>
      <c r="EN111" s="871"/>
      <c r="EO111" s="871"/>
      <c r="EP111" s="871"/>
      <c r="EQ111" s="871"/>
      <c r="ER111" s="871"/>
      <c r="ES111" s="871"/>
      <c r="ET111" s="871"/>
      <c r="EU111" s="871"/>
      <c r="EV111" s="871"/>
      <c r="EW111" s="871"/>
      <c r="EX111" s="871"/>
      <c r="EY111" s="871"/>
      <c r="EZ111" s="871"/>
      <c r="FA111" s="871"/>
      <c r="FB111" s="871"/>
      <c r="FC111" s="871"/>
      <c r="FD111" s="871"/>
      <c r="FE111" s="871"/>
      <c r="FF111" s="871"/>
      <c r="FG111" s="871"/>
      <c r="FH111" s="871"/>
      <c r="FI111" s="871"/>
      <c r="FJ111" s="871"/>
      <c r="FK111" s="871"/>
      <c r="FL111" s="871"/>
      <c r="FM111" s="871"/>
      <c r="FN111" s="871"/>
      <c r="FO111" s="871"/>
      <c r="FP111" s="871"/>
      <c r="FQ111" s="871"/>
      <c r="FR111" s="871"/>
      <c r="FS111" s="871"/>
      <c r="FT111" s="871"/>
      <c r="FU111" s="871"/>
      <c r="FV111" s="871"/>
      <c r="FW111" s="871"/>
      <c r="FX111" s="871"/>
      <c r="FY111" s="871"/>
      <c r="FZ111" s="871"/>
      <c r="GA111" s="871"/>
      <c r="GB111" s="871"/>
      <c r="GC111" s="871"/>
      <c r="GD111" s="871"/>
      <c r="GE111" s="871"/>
      <c r="GF111" s="871"/>
      <c r="GG111" s="871"/>
      <c r="GH111" s="871"/>
      <c r="GI111" s="871"/>
      <c r="GJ111" s="871"/>
      <c r="GK111" s="871"/>
      <c r="GL111" s="871"/>
    </row>
    <row r="112" spans="3:194" ht="12.75">
      <c r="C112" s="886"/>
      <c r="D112" s="872"/>
      <c r="E112" s="872"/>
      <c r="F112" s="872"/>
      <c r="G112" s="872"/>
      <c r="H112" s="887"/>
      <c r="I112" s="887"/>
      <c r="J112" s="887"/>
      <c r="K112" s="887"/>
      <c r="L112" s="887"/>
      <c r="M112" s="887"/>
      <c r="N112" s="887"/>
      <c r="O112" s="887"/>
      <c r="P112" s="887"/>
      <c r="Q112" s="887"/>
      <c r="R112" s="887"/>
      <c r="S112" s="887"/>
      <c r="T112" s="887"/>
      <c r="U112" s="871"/>
      <c r="V112" s="871"/>
      <c r="W112" s="871"/>
      <c r="X112" s="871"/>
      <c r="Y112" s="871"/>
      <c r="Z112" s="871"/>
      <c r="AA112" s="871"/>
      <c r="AB112" s="871"/>
      <c r="AC112" s="871"/>
      <c r="AD112" s="871"/>
      <c r="AE112" s="871"/>
      <c r="AF112" s="871"/>
      <c r="AG112" s="871"/>
      <c r="AH112" s="871"/>
      <c r="AI112" s="871"/>
      <c r="AJ112" s="871"/>
      <c r="AK112" s="871"/>
      <c r="AL112" s="871"/>
      <c r="AM112" s="871"/>
      <c r="AN112" s="871"/>
      <c r="AO112" s="871"/>
      <c r="AP112" s="871"/>
      <c r="AQ112" s="871"/>
      <c r="AR112" s="871"/>
      <c r="AS112" s="871"/>
      <c r="AT112" s="871"/>
      <c r="AU112" s="871"/>
      <c r="AV112" s="871"/>
      <c r="AW112" s="871"/>
      <c r="AX112" s="871"/>
      <c r="AY112" s="871"/>
      <c r="AZ112" s="871"/>
      <c r="BA112" s="871"/>
      <c r="BB112" s="871"/>
      <c r="BC112" s="871"/>
      <c r="BD112" s="871"/>
      <c r="BE112" s="871"/>
      <c r="BF112" s="871"/>
      <c r="BG112" s="871"/>
      <c r="BH112" s="871"/>
      <c r="BI112" s="871"/>
      <c r="BJ112" s="871"/>
      <c r="BK112" s="871"/>
      <c r="BL112" s="871"/>
      <c r="BM112" s="871"/>
      <c r="BN112" s="871"/>
      <c r="BO112" s="871"/>
      <c r="BP112" s="871"/>
      <c r="BQ112" s="871"/>
      <c r="BR112" s="871"/>
      <c r="BS112" s="871"/>
      <c r="BT112" s="871"/>
      <c r="BU112" s="871"/>
      <c r="BV112" s="871"/>
      <c r="BW112" s="871"/>
      <c r="BX112" s="871"/>
      <c r="BY112" s="871"/>
      <c r="BZ112" s="871"/>
      <c r="CA112" s="871"/>
      <c r="CB112" s="871"/>
      <c r="CC112" s="871"/>
      <c r="CD112" s="871"/>
      <c r="CE112" s="871"/>
      <c r="CF112" s="871"/>
      <c r="CG112" s="871"/>
      <c r="CH112" s="871"/>
      <c r="CI112" s="871"/>
      <c r="CJ112" s="871"/>
      <c r="CK112" s="871"/>
      <c r="CL112" s="871"/>
      <c r="CM112" s="871"/>
      <c r="CN112" s="871"/>
      <c r="CO112" s="871"/>
      <c r="CP112" s="871"/>
      <c r="CQ112" s="871"/>
      <c r="CR112" s="871"/>
      <c r="CS112" s="871"/>
      <c r="CT112" s="871"/>
      <c r="CU112" s="871"/>
      <c r="CV112" s="871"/>
      <c r="CW112" s="871"/>
      <c r="CX112" s="871"/>
      <c r="CY112" s="871"/>
      <c r="CZ112" s="871"/>
      <c r="DA112" s="871"/>
      <c r="DB112" s="871"/>
      <c r="DC112" s="871"/>
      <c r="DD112" s="871"/>
      <c r="DE112" s="871"/>
      <c r="DF112" s="871"/>
      <c r="DG112" s="871"/>
      <c r="DH112" s="871"/>
      <c r="DI112" s="871"/>
      <c r="DJ112" s="871"/>
      <c r="DK112" s="871"/>
      <c r="DL112" s="871"/>
      <c r="DM112" s="871"/>
      <c r="DN112" s="871"/>
      <c r="DO112" s="871"/>
      <c r="DP112" s="871"/>
      <c r="DQ112" s="871"/>
      <c r="DR112" s="871"/>
      <c r="DS112" s="871"/>
      <c r="DT112" s="871"/>
      <c r="DU112" s="871"/>
      <c r="DV112" s="871"/>
      <c r="DW112" s="871"/>
      <c r="DX112" s="871"/>
      <c r="DY112" s="871"/>
      <c r="DZ112" s="871"/>
      <c r="EA112" s="871"/>
      <c r="EB112" s="871"/>
      <c r="EC112" s="871"/>
      <c r="ED112" s="871"/>
      <c r="EE112" s="871"/>
      <c r="EF112" s="871"/>
      <c r="EG112" s="871"/>
      <c r="EH112" s="871"/>
      <c r="EI112" s="871"/>
      <c r="EJ112" s="871"/>
      <c r="EK112" s="871"/>
      <c r="EL112" s="871"/>
      <c r="EM112" s="871"/>
      <c r="EN112" s="871"/>
      <c r="EO112" s="871"/>
      <c r="EP112" s="871"/>
      <c r="EQ112" s="871"/>
      <c r="ER112" s="871"/>
      <c r="ES112" s="871"/>
      <c r="ET112" s="871"/>
      <c r="EU112" s="871"/>
      <c r="EV112" s="871"/>
      <c r="EW112" s="871"/>
      <c r="EX112" s="871"/>
      <c r="EY112" s="871"/>
      <c r="EZ112" s="871"/>
      <c r="FA112" s="871"/>
      <c r="FB112" s="871"/>
      <c r="FC112" s="871"/>
      <c r="FD112" s="871"/>
      <c r="FE112" s="871"/>
      <c r="FF112" s="871"/>
      <c r="FG112" s="871"/>
      <c r="FH112" s="871"/>
      <c r="FI112" s="871"/>
      <c r="FJ112" s="871"/>
      <c r="FK112" s="871"/>
      <c r="FL112" s="871"/>
      <c r="FM112" s="871"/>
      <c r="FN112" s="871"/>
      <c r="FO112" s="871"/>
      <c r="FP112" s="871"/>
      <c r="FQ112" s="871"/>
      <c r="FR112" s="871"/>
      <c r="FS112" s="871"/>
      <c r="FT112" s="871"/>
      <c r="FU112" s="871"/>
      <c r="FV112" s="871"/>
      <c r="FW112" s="871"/>
      <c r="FX112" s="871"/>
      <c r="FY112" s="871"/>
      <c r="FZ112" s="871"/>
      <c r="GA112" s="871"/>
      <c r="GB112" s="871"/>
      <c r="GC112" s="871"/>
      <c r="GD112" s="871"/>
      <c r="GE112" s="871"/>
      <c r="GF112" s="871"/>
      <c r="GG112" s="871"/>
      <c r="GH112" s="871"/>
      <c r="GI112" s="871"/>
      <c r="GJ112" s="871"/>
      <c r="GK112" s="871"/>
      <c r="GL112" s="871"/>
    </row>
    <row r="113" spans="3:194" ht="12.75">
      <c r="C113" s="886"/>
      <c r="D113" s="872"/>
      <c r="E113" s="872"/>
      <c r="F113" s="872"/>
      <c r="G113" s="872"/>
      <c r="H113" s="887"/>
      <c r="I113" s="887"/>
      <c r="J113" s="887"/>
      <c r="K113" s="887"/>
      <c r="L113" s="887"/>
      <c r="M113" s="887"/>
      <c r="N113" s="887"/>
      <c r="O113" s="887"/>
      <c r="P113" s="887"/>
      <c r="Q113" s="887"/>
      <c r="R113" s="887"/>
      <c r="S113" s="887"/>
      <c r="T113" s="887"/>
      <c r="U113" s="871"/>
      <c r="V113" s="871"/>
      <c r="W113" s="871"/>
      <c r="X113" s="871"/>
      <c r="Y113" s="871"/>
      <c r="Z113" s="871"/>
      <c r="AA113" s="871"/>
      <c r="AB113" s="871"/>
      <c r="AC113" s="871"/>
      <c r="AD113" s="871"/>
      <c r="AE113" s="871"/>
      <c r="AF113" s="871"/>
      <c r="AG113" s="871"/>
      <c r="AH113" s="871"/>
      <c r="AI113" s="871"/>
      <c r="AJ113" s="871"/>
      <c r="AK113" s="871"/>
      <c r="AL113" s="871"/>
      <c r="AM113" s="871"/>
      <c r="AN113" s="871"/>
      <c r="AO113" s="871"/>
      <c r="AP113" s="871"/>
      <c r="AQ113" s="871"/>
      <c r="AR113" s="871"/>
      <c r="AS113" s="871"/>
      <c r="AT113" s="871"/>
      <c r="AU113" s="871"/>
      <c r="AV113" s="871"/>
      <c r="AW113" s="871"/>
      <c r="AX113" s="871"/>
      <c r="AY113" s="871"/>
      <c r="AZ113" s="871"/>
      <c r="BA113" s="871"/>
      <c r="BB113" s="871"/>
      <c r="BC113" s="871"/>
      <c r="BD113" s="871"/>
      <c r="BE113" s="871"/>
      <c r="BF113" s="871"/>
      <c r="BG113" s="871"/>
      <c r="BH113" s="871"/>
      <c r="BI113" s="871"/>
      <c r="BJ113" s="871"/>
      <c r="BK113" s="871"/>
      <c r="BL113" s="871"/>
      <c r="BM113" s="871"/>
      <c r="BN113" s="871"/>
      <c r="BO113" s="871"/>
      <c r="BP113" s="871"/>
      <c r="BQ113" s="871"/>
      <c r="BR113" s="871"/>
      <c r="BS113" s="871"/>
      <c r="BT113" s="871"/>
      <c r="BU113" s="871"/>
      <c r="BV113" s="871"/>
      <c r="BW113" s="871"/>
      <c r="BX113" s="871"/>
      <c r="BY113" s="871"/>
      <c r="BZ113" s="871"/>
      <c r="CA113" s="871"/>
      <c r="CB113" s="871"/>
      <c r="CC113" s="871"/>
      <c r="CD113" s="871"/>
      <c r="CE113" s="871"/>
      <c r="CF113" s="871"/>
      <c r="CG113" s="871"/>
      <c r="CH113" s="871"/>
      <c r="CI113" s="871"/>
      <c r="CJ113" s="871"/>
      <c r="CK113" s="871"/>
      <c r="CL113" s="871"/>
      <c r="CM113" s="871"/>
      <c r="CN113" s="871"/>
      <c r="CO113" s="871"/>
      <c r="CP113" s="871"/>
      <c r="CQ113" s="871"/>
      <c r="CR113" s="871"/>
      <c r="CS113" s="871"/>
      <c r="CT113" s="871"/>
      <c r="CU113" s="871"/>
      <c r="CV113" s="871"/>
      <c r="CW113" s="871"/>
      <c r="CX113" s="871"/>
      <c r="CY113" s="871"/>
      <c r="CZ113" s="871"/>
      <c r="DA113" s="871"/>
      <c r="DB113" s="871"/>
      <c r="DC113" s="871"/>
      <c r="DD113" s="871"/>
      <c r="DE113" s="871"/>
      <c r="DF113" s="871"/>
      <c r="DG113" s="871"/>
      <c r="DH113" s="871"/>
      <c r="DI113" s="871"/>
      <c r="DJ113" s="871"/>
      <c r="DK113" s="871"/>
      <c r="DL113" s="871"/>
      <c r="DM113" s="871"/>
      <c r="DN113" s="871"/>
      <c r="DO113" s="871"/>
      <c r="DP113" s="871"/>
      <c r="DQ113" s="871"/>
      <c r="DR113" s="871"/>
      <c r="DS113" s="871"/>
      <c r="DT113" s="871"/>
      <c r="DU113" s="871"/>
      <c r="DV113" s="871"/>
      <c r="DW113" s="871"/>
      <c r="DX113" s="871"/>
      <c r="DY113" s="871"/>
      <c r="DZ113" s="871"/>
      <c r="EA113" s="871"/>
      <c r="EB113" s="871"/>
      <c r="EC113" s="871"/>
      <c r="ED113" s="871"/>
      <c r="EE113" s="871"/>
      <c r="EF113" s="871"/>
      <c r="EG113" s="871"/>
      <c r="EH113" s="871"/>
      <c r="EI113" s="871"/>
      <c r="EJ113" s="871"/>
      <c r="EK113" s="871"/>
      <c r="EL113" s="871"/>
      <c r="EM113" s="871"/>
      <c r="EN113" s="871"/>
      <c r="EO113" s="871"/>
      <c r="EP113" s="871"/>
      <c r="EQ113" s="871"/>
      <c r="ER113" s="871"/>
      <c r="ES113" s="871"/>
      <c r="ET113" s="871"/>
      <c r="EU113" s="871"/>
      <c r="EV113" s="871"/>
      <c r="EW113" s="871"/>
      <c r="EX113" s="871"/>
      <c r="EY113" s="871"/>
      <c r="EZ113" s="871"/>
      <c r="FA113" s="871"/>
      <c r="FB113" s="871"/>
      <c r="FC113" s="871"/>
      <c r="FD113" s="871"/>
      <c r="FE113" s="871"/>
      <c r="FF113" s="871"/>
      <c r="FG113" s="871"/>
      <c r="FH113" s="871"/>
      <c r="FI113" s="871"/>
      <c r="FJ113" s="871"/>
      <c r="FK113" s="871"/>
      <c r="FL113" s="871"/>
      <c r="FM113" s="871"/>
      <c r="FN113" s="871"/>
      <c r="FO113" s="871"/>
      <c r="FP113" s="871"/>
      <c r="FQ113" s="871"/>
      <c r="FR113" s="871"/>
      <c r="FS113" s="871"/>
      <c r="FT113" s="871"/>
      <c r="FU113" s="871"/>
      <c r="FV113" s="871"/>
      <c r="FW113" s="871"/>
      <c r="FX113" s="871"/>
      <c r="FY113" s="871"/>
      <c r="FZ113" s="871"/>
      <c r="GA113" s="871"/>
      <c r="GB113" s="871"/>
      <c r="GC113" s="871"/>
      <c r="GD113" s="871"/>
      <c r="GE113" s="871"/>
      <c r="GF113" s="871"/>
      <c r="GG113" s="871"/>
      <c r="GH113" s="871"/>
      <c r="GI113" s="871"/>
      <c r="GJ113" s="871"/>
      <c r="GK113" s="871"/>
      <c r="GL113" s="871"/>
    </row>
    <row r="114" spans="3:194" ht="12.75">
      <c r="C114" s="886"/>
      <c r="D114" s="872"/>
      <c r="E114" s="872"/>
      <c r="F114" s="872"/>
      <c r="G114" s="872"/>
      <c r="H114" s="872"/>
      <c r="I114" s="872"/>
      <c r="J114" s="872"/>
      <c r="K114" s="872"/>
      <c r="L114" s="872"/>
      <c r="M114" s="872"/>
      <c r="N114" s="872"/>
      <c r="O114" s="872"/>
      <c r="P114" s="872"/>
      <c r="Q114" s="872"/>
      <c r="R114" s="872"/>
      <c r="S114" s="872"/>
      <c r="T114" s="872"/>
      <c r="U114" s="871"/>
      <c r="V114" s="871"/>
      <c r="W114" s="871"/>
      <c r="X114" s="871"/>
      <c r="Y114" s="871"/>
      <c r="Z114" s="871"/>
      <c r="AA114" s="871"/>
      <c r="AB114" s="871"/>
      <c r="AC114" s="871"/>
      <c r="AD114" s="871"/>
      <c r="AE114" s="871"/>
      <c r="AF114" s="871"/>
      <c r="AG114" s="871"/>
      <c r="AH114" s="871"/>
      <c r="AI114" s="871"/>
      <c r="AJ114" s="871"/>
      <c r="AK114" s="871"/>
      <c r="AL114" s="871"/>
      <c r="AM114" s="871"/>
      <c r="AN114" s="871"/>
      <c r="AO114" s="871"/>
      <c r="AP114" s="871"/>
      <c r="AQ114" s="871"/>
      <c r="AR114" s="871"/>
      <c r="AS114" s="871"/>
      <c r="AT114" s="871"/>
      <c r="AU114" s="871"/>
      <c r="AV114" s="871"/>
      <c r="AW114" s="871"/>
      <c r="AX114" s="871"/>
      <c r="AY114" s="871"/>
      <c r="AZ114" s="871"/>
      <c r="BA114" s="871"/>
      <c r="BB114" s="871"/>
      <c r="BC114" s="871"/>
      <c r="BD114" s="871"/>
      <c r="BE114" s="871"/>
      <c r="BF114" s="871"/>
      <c r="BG114" s="871"/>
      <c r="BH114" s="871"/>
      <c r="BI114" s="871"/>
      <c r="BJ114" s="871"/>
      <c r="BK114" s="871"/>
      <c r="BL114" s="871"/>
      <c r="BM114" s="871"/>
      <c r="BN114" s="871"/>
      <c r="BO114" s="871"/>
      <c r="BP114" s="871"/>
      <c r="BQ114" s="871"/>
      <c r="BR114" s="871"/>
      <c r="BS114" s="871"/>
      <c r="BT114" s="871"/>
      <c r="BU114" s="871"/>
      <c r="BV114" s="871"/>
      <c r="BW114" s="871"/>
      <c r="BX114" s="871"/>
      <c r="BY114" s="871"/>
      <c r="BZ114" s="871"/>
      <c r="CA114" s="871"/>
      <c r="CB114" s="871"/>
      <c r="CC114" s="871"/>
      <c r="CD114" s="871"/>
      <c r="CE114" s="871"/>
      <c r="CF114" s="871"/>
      <c r="CG114" s="871"/>
      <c r="CH114" s="871"/>
      <c r="CI114" s="871"/>
      <c r="CJ114" s="871"/>
      <c r="CK114" s="871"/>
      <c r="CL114" s="871"/>
      <c r="CM114" s="871"/>
      <c r="CN114" s="871"/>
      <c r="CO114" s="871"/>
      <c r="CP114" s="871"/>
      <c r="CQ114" s="871"/>
      <c r="CR114" s="871"/>
      <c r="CS114" s="871"/>
      <c r="CT114" s="871"/>
      <c r="CU114" s="871"/>
      <c r="CV114" s="871"/>
      <c r="CW114" s="871"/>
      <c r="CX114" s="871"/>
      <c r="CY114" s="871"/>
      <c r="CZ114" s="871"/>
      <c r="DA114" s="871"/>
      <c r="DB114" s="871"/>
      <c r="DC114" s="871"/>
      <c r="DD114" s="871"/>
      <c r="DE114" s="871"/>
      <c r="DF114" s="871"/>
      <c r="DG114" s="871"/>
      <c r="DH114" s="871"/>
      <c r="DI114" s="871"/>
      <c r="DJ114" s="871"/>
      <c r="DK114" s="871"/>
      <c r="DL114" s="871"/>
      <c r="DM114" s="871"/>
      <c r="DN114" s="871"/>
      <c r="DO114" s="871"/>
      <c r="DP114" s="871"/>
      <c r="DQ114" s="871"/>
      <c r="DR114" s="871"/>
      <c r="DS114" s="871"/>
      <c r="DT114" s="871"/>
      <c r="DU114" s="871"/>
      <c r="DV114" s="871"/>
      <c r="DW114" s="871"/>
      <c r="DX114" s="871"/>
      <c r="DY114" s="871"/>
      <c r="DZ114" s="871"/>
      <c r="EA114" s="871"/>
      <c r="EB114" s="871"/>
      <c r="EC114" s="871"/>
      <c r="ED114" s="871"/>
      <c r="EE114" s="871"/>
      <c r="EF114" s="871"/>
      <c r="EG114" s="871"/>
      <c r="EH114" s="871"/>
      <c r="EI114" s="871"/>
      <c r="EJ114" s="871"/>
      <c r="EK114" s="871"/>
      <c r="EL114" s="871"/>
      <c r="EM114" s="871"/>
      <c r="EN114" s="871"/>
      <c r="EO114" s="871"/>
      <c r="EP114" s="871"/>
      <c r="EQ114" s="871"/>
      <c r="ER114" s="871"/>
      <c r="ES114" s="871"/>
      <c r="ET114" s="871"/>
      <c r="EU114" s="871"/>
      <c r="EV114" s="871"/>
      <c r="EW114" s="871"/>
      <c r="EX114" s="871"/>
      <c r="EY114" s="871"/>
      <c r="EZ114" s="871"/>
      <c r="FA114" s="871"/>
      <c r="FB114" s="871"/>
      <c r="FC114" s="871"/>
      <c r="FD114" s="871"/>
      <c r="FE114" s="871"/>
      <c r="FF114" s="871"/>
      <c r="FG114" s="871"/>
      <c r="FH114" s="871"/>
      <c r="FI114" s="871"/>
      <c r="FJ114" s="871"/>
      <c r="FK114" s="871"/>
      <c r="FL114" s="871"/>
      <c r="FM114" s="871"/>
      <c r="FN114" s="871"/>
      <c r="FO114" s="871"/>
      <c r="FP114" s="871"/>
      <c r="FQ114" s="871"/>
      <c r="FR114" s="871"/>
      <c r="FS114" s="871"/>
      <c r="FT114" s="871"/>
      <c r="FU114" s="871"/>
      <c r="FV114" s="871"/>
      <c r="FW114" s="871"/>
      <c r="FX114" s="871"/>
      <c r="FY114" s="871"/>
      <c r="FZ114" s="871"/>
      <c r="GA114" s="871"/>
      <c r="GB114" s="871"/>
      <c r="GC114" s="871"/>
      <c r="GD114" s="871"/>
      <c r="GE114" s="871"/>
      <c r="GF114" s="871"/>
      <c r="GG114" s="871"/>
      <c r="GH114" s="871"/>
      <c r="GI114" s="871"/>
      <c r="GJ114" s="871"/>
      <c r="GK114" s="871"/>
      <c r="GL114" s="871"/>
    </row>
    <row r="115" spans="3:194" ht="12.75">
      <c r="C115" s="886"/>
      <c r="D115" s="871"/>
      <c r="E115" s="871"/>
      <c r="F115" s="872"/>
      <c r="G115" s="872"/>
      <c r="H115" s="871"/>
      <c r="I115" s="871"/>
      <c r="J115" s="871"/>
      <c r="K115" s="871"/>
      <c r="L115" s="871"/>
      <c r="M115" s="871"/>
      <c r="N115" s="871"/>
      <c r="O115" s="871"/>
      <c r="P115" s="871"/>
      <c r="Q115" s="871"/>
      <c r="R115" s="871"/>
      <c r="S115" s="871"/>
      <c r="T115" s="871"/>
      <c r="U115" s="871"/>
      <c r="V115" s="871"/>
      <c r="W115" s="871"/>
      <c r="X115" s="871"/>
      <c r="Y115" s="871"/>
      <c r="Z115" s="871"/>
      <c r="AA115" s="871"/>
      <c r="AB115" s="871"/>
      <c r="AC115" s="871"/>
      <c r="AD115" s="871"/>
      <c r="AE115" s="871"/>
      <c r="AF115" s="871"/>
      <c r="AG115" s="871"/>
      <c r="AH115" s="871"/>
      <c r="AI115" s="871"/>
      <c r="AJ115" s="871"/>
      <c r="AK115" s="871"/>
      <c r="AL115" s="871"/>
      <c r="AM115" s="871"/>
      <c r="AN115" s="871"/>
      <c r="AO115" s="871"/>
      <c r="AP115" s="871"/>
      <c r="AQ115" s="871"/>
      <c r="AR115" s="871"/>
      <c r="AS115" s="871"/>
      <c r="AT115" s="871"/>
      <c r="AU115" s="871"/>
      <c r="AV115" s="871"/>
      <c r="AW115" s="871"/>
      <c r="AX115" s="871"/>
      <c r="AY115" s="871"/>
      <c r="AZ115" s="871"/>
      <c r="BA115" s="871"/>
      <c r="BB115" s="871"/>
      <c r="BC115" s="871"/>
      <c r="BD115" s="871"/>
      <c r="BE115" s="871"/>
      <c r="BF115" s="871"/>
      <c r="BG115" s="871"/>
      <c r="BH115" s="871"/>
      <c r="BI115" s="871"/>
      <c r="BJ115" s="871"/>
      <c r="BK115" s="871"/>
      <c r="BL115" s="871"/>
      <c r="BM115" s="871"/>
      <c r="BN115" s="871"/>
      <c r="BO115" s="871"/>
      <c r="BP115" s="871"/>
      <c r="BQ115" s="871"/>
      <c r="BR115" s="871"/>
      <c r="BS115" s="871"/>
      <c r="BT115" s="871"/>
      <c r="BU115" s="871"/>
      <c r="BV115" s="871"/>
      <c r="BW115" s="871"/>
      <c r="BX115" s="871"/>
      <c r="BY115" s="871"/>
      <c r="BZ115" s="871"/>
      <c r="CA115" s="871"/>
      <c r="CB115" s="871"/>
      <c r="CC115" s="871"/>
      <c r="CD115" s="871"/>
      <c r="CE115" s="871"/>
      <c r="CF115" s="871"/>
      <c r="CG115" s="871"/>
      <c r="CH115" s="871"/>
      <c r="CI115" s="871"/>
      <c r="CJ115" s="871"/>
      <c r="CK115" s="871"/>
      <c r="CL115" s="871"/>
      <c r="CM115" s="871"/>
      <c r="CN115" s="871"/>
      <c r="CO115" s="871"/>
      <c r="CP115" s="871"/>
      <c r="CQ115" s="871"/>
      <c r="CR115" s="871"/>
      <c r="CS115" s="871"/>
      <c r="CT115" s="871"/>
      <c r="CU115" s="871"/>
      <c r="CV115" s="871"/>
      <c r="CW115" s="871"/>
      <c r="CX115" s="871"/>
      <c r="CY115" s="871"/>
      <c r="CZ115" s="871"/>
      <c r="DA115" s="871"/>
      <c r="DB115" s="871"/>
      <c r="DC115" s="871"/>
      <c r="DD115" s="871"/>
      <c r="DE115" s="871"/>
      <c r="DF115" s="871"/>
      <c r="DG115" s="871"/>
      <c r="DH115" s="871"/>
      <c r="DI115" s="871"/>
      <c r="DJ115" s="871"/>
      <c r="DK115" s="871"/>
      <c r="DL115" s="871"/>
      <c r="DM115" s="871"/>
      <c r="DN115" s="871"/>
      <c r="DO115" s="871"/>
      <c r="DP115" s="871"/>
      <c r="DQ115" s="871"/>
      <c r="DR115" s="871"/>
      <c r="DS115" s="871"/>
      <c r="DT115" s="871"/>
      <c r="DU115" s="871"/>
      <c r="DV115" s="871"/>
      <c r="DW115" s="871"/>
      <c r="DX115" s="871"/>
      <c r="DY115" s="871"/>
      <c r="DZ115" s="871"/>
      <c r="EA115" s="871"/>
      <c r="EB115" s="871"/>
      <c r="EC115" s="871"/>
      <c r="ED115" s="871"/>
      <c r="EE115" s="871"/>
      <c r="EF115" s="871"/>
      <c r="EG115" s="871"/>
      <c r="EH115" s="871"/>
      <c r="EI115" s="871"/>
      <c r="EJ115" s="871"/>
      <c r="EK115" s="871"/>
      <c r="EL115" s="871"/>
      <c r="EM115" s="871"/>
      <c r="EN115" s="871"/>
      <c r="EO115" s="871"/>
      <c r="EP115" s="871"/>
      <c r="EQ115" s="871"/>
      <c r="ER115" s="871"/>
      <c r="ES115" s="871"/>
      <c r="ET115" s="871"/>
      <c r="EU115" s="871"/>
      <c r="EV115" s="871"/>
      <c r="EW115" s="871"/>
      <c r="EX115" s="871"/>
      <c r="EY115" s="871"/>
      <c r="EZ115" s="871"/>
      <c r="FA115" s="871"/>
      <c r="FB115" s="871"/>
      <c r="FC115" s="871"/>
      <c r="FD115" s="871"/>
      <c r="FE115" s="871"/>
      <c r="FF115" s="871"/>
      <c r="FG115" s="871"/>
      <c r="FH115" s="871"/>
      <c r="FI115" s="871"/>
      <c r="FJ115" s="871"/>
      <c r="FK115" s="871"/>
      <c r="FL115" s="871"/>
      <c r="FM115" s="871"/>
      <c r="FN115" s="871"/>
      <c r="FO115" s="871"/>
      <c r="FP115" s="871"/>
      <c r="FQ115" s="871"/>
      <c r="FR115" s="871"/>
      <c r="FS115" s="871"/>
      <c r="FT115" s="871"/>
      <c r="FU115" s="871"/>
      <c r="FV115" s="871"/>
      <c r="FW115" s="871"/>
      <c r="FX115" s="871"/>
      <c r="FY115" s="871"/>
      <c r="FZ115" s="871"/>
      <c r="GA115" s="871"/>
      <c r="GB115" s="871"/>
      <c r="GC115" s="871"/>
      <c r="GD115" s="871"/>
      <c r="GE115" s="871"/>
      <c r="GF115" s="871"/>
      <c r="GG115" s="871"/>
      <c r="GH115" s="871"/>
      <c r="GI115" s="871"/>
      <c r="GJ115" s="871"/>
      <c r="GK115" s="871"/>
      <c r="GL115" s="871"/>
    </row>
    <row r="116" spans="3:7" ht="12.75">
      <c r="C116" s="886"/>
      <c r="F116" s="886"/>
      <c r="G116" s="886"/>
    </row>
    <row r="117" spans="3:7" ht="12.75">
      <c r="C117" s="886"/>
      <c r="F117" s="886"/>
      <c r="G117" s="886"/>
    </row>
    <row r="118" spans="3:7" ht="12.75">
      <c r="C118" s="886"/>
      <c r="F118" s="886"/>
      <c r="G118" s="886"/>
    </row>
    <row r="119" spans="6:7" ht="12.75">
      <c r="F119" s="886"/>
      <c r="G119" s="886"/>
    </row>
  </sheetData>
  <sheetProtection/>
  <printOptions horizontalCentered="1"/>
  <pageMargins left="0.3937007874015748" right="0.1968503937007874" top="0.34" bottom="0.66" header="0.26" footer="0.5118110236220472"/>
  <pageSetup fitToHeight="1" fitToWidth="1" horizontalDpi="600" verticalDpi="600" orientation="portrait" paperSize="9" scale="39" r:id="rId2"/>
  <headerFooter alignWithMargins="0">
    <oddFooter>&amp;L&amp;"Times New Roman,Normal"&amp;8&amp;F-&amp;A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C10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0" sqref="E10"/>
    </sheetView>
  </sheetViews>
  <sheetFormatPr defaultColWidth="11.421875" defaultRowHeight="12.75"/>
  <cols>
    <col min="1" max="1" width="23.00390625" style="595" bestFit="1" customWidth="1"/>
    <col min="2" max="2" width="9.28125" style="595" customWidth="1"/>
    <col min="3" max="3" width="11.8515625" style="595" bestFit="1" customWidth="1"/>
    <col min="4" max="4" width="9.57421875" style="595" bestFit="1" customWidth="1"/>
    <col min="5" max="5" width="17.140625" style="595" bestFit="1" customWidth="1"/>
    <col min="6" max="6" width="71.8515625" style="595" bestFit="1" customWidth="1"/>
    <col min="7" max="9" width="5.8515625" style="595" customWidth="1"/>
    <col min="10" max="22" width="5.8515625" style="595" bestFit="1" customWidth="1"/>
    <col min="23" max="24" width="11.00390625" style="595" customWidth="1"/>
    <col min="25" max="29" width="11.421875" style="595" customWidth="1"/>
    <col min="30" max="16384" width="11.421875" style="596" customWidth="1"/>
  </cols>
  <sheetData>
    <row r="1" spans="1:4" ht="10.5">
      <c r="A1" s="594" t="s">
        <v>83</v>
      </c>
      <c r="B1" s="594" t="s">
        <v>83</v>
      </c>
      <c r="C1" s="594" t="s">
        <v>84</v>
      </c>
      <c r="D1" s="594" t="s">
        <v>85</v>
      </c>
    </row>
    <row r="2" spans="1:4" ht="10.5">
      <c r="A2" s="597" t="s">
        <v>86</v>
      </c>
      <c r="B2" s="598" t="s">
        <v>87</v>
      </c>
      <c r="C2" s="597">
        <v>31</v>
      </c>
      <c r="D2" s="597">
        <v>2006</v>
      </c>
    </row>
    <row r="3" spans="1:4" ht="10.5">
      <c r="A3" s="597" t="s">
        <v>88</v>
      </c>
      <c r="B3" s="598" t="s">
        <v>89</v>
      </c>
      <c r="C3" s="597">
        <f>IF(MOD(E14,4)=0,29,28)</f>
        <v>29</v>
      </c>
      <c r="D3" s="597">
        <f>+D2+1</f>
        <v>2007</v>
      </c>
    </row>
    <row r="4" spans="1:4" ht="10.5">
      <c r="A4" s="597" t="s">
        <v>90</v>
      </c>
      <c r="B4" s="598" t="s">
        <v>91</v>
      </c>
      <c r="C4" s="597">
        <v>31</v>
      </c>
      <c r="D4" s="597">
        <v>2008</v>
      </c>
    </row>
    <row r="5" spans="1:4" ht="10.5">
      <c r="A5" s="597" t="s">
        <v>92</v>
      </c>
      <c r="B5" s="598" t="s">
        <v>93</v>
      </c>
      <c r="C5" s="597">
        <v>30</v>
      </c>
      <c r="D5" s="597">
        <v>2009</v>
      </c>
    </row>
    <row r="6" spans="1:4" ht="10.5">
      <c r="A6" s="597" t="s">
        <v>94</v>
      </c>
      <c r="B6" s="598" t="s">
        <v>95</v>
      </c>
      <c r="C6" s="597">
        <v>31</v>
      </c>
      <c r="D6" s="597">
        <v>2010</v>
      </c>
    </row>
    <row r="7" spans="1:4" ht="10.5">
      <c r="A7" s="597" t="s">
        <v>96</v>
      </c>
      <c r="B7" s="598" t="s">
        <v>97</v>
      </c>
      <c r="C7" s="597">
        <v>30</v>
      </c>
      <c r="D7" s="597">
        <v>2011</v>
      </c>
    </row>
    <row r="8" spans="1:4" ht="10.5">
      <c r="A8" s="597" t="s">
        <v>98</v>
      </c>
      <c r="B8" s="598" t="s">
        <v>99</v>
      </c>
      <c r="C8" s="597">
        <v>31</v>
      </c>
      <c r="D8" s="597">
        <v>2012</v>
      </c>
    </row>
    <row r="9" spans="1:4" ht="10.5">
      <c r="A9" s="597" t="s">
        <v>100</v>
      </c>
      <c r="B9" s="598" t="s">
        <v>101</v>
      </c>
      <c r="C9" s="597">
        <v>31</v>
      </c>
      <c r="D9" s="597"/>
    </row>
    <row r="10" spans="1:4" ht="10.5">
      <c r="A10" s="597" t="s">
        <v>102</v>
      </c>
      <c r="B10" s="598" t="s">
        <v>103</v>
      </c>
      <c r="C10" s="597">
        <v>30</v>
      </c>
      <c r="D10" s="597"/>
    </row>
    <row r="11" spans="1:4" ht="10.5">
      <c r="A11" s="597" t="s">
        <v>104</v>
      </c>
      <c r="B11" s="598" t="s">
        <v>105</v>
      </c>
      <c r="C11" s="597">
        <v>31</v>
      </c>
      <c r="D11" s="597"/>
    </row>
    <row r="12" spans="1:4" ht="10.5">
      <c r="A12" s="597" t="s">
        <v>106</v>
      </c>
      <c r="B12" s="598" t="s">
        <v>107</v>
      </c>
      <c r="C12" s="597">
        <v>30</v>
      </c>
      <c r="D12" s="597"/>
    </row>
    <row r="13" spans="1:9" ht="10.5">
      <c r="A13" s="597" t="s">
        <v>108</v>
      </c>
      <c r="B13" s="598" t="s">
        <v>109</v>
      </c>
      <c r="C13" s="597">
        <v>31</v>
      </c>
      <c r="D13" s="597"/>
      <c r="E13" s="599"/>
      <c r="I13" s="600" t="s">
        <v>110</v>
      </c>
    </row>
    <row r="14" spans="1:9" ht="10.5">
      <c r="A14" s="601">
        <v>7</v>
      </c>
      <c r="B14" s="602">
        <v>9</v>
      </c>
      <c r="C14" s="601" t="str">
        <f ca="1">CELL("CONTENIDO",OFFSET(A1,B14,0))</f>
        <v>septiembre</v>
      </c>
      <c r="D14" s="601">
        <f ca="1">CELL("CONTENIDO",OFFSET(C1,B14,0))</f>
        <v>30</v>
      </c>
      <c r="E14" s="601">
        <f ca="1">CELL("CONTENIDO",OFFSET(D1,A14,0))</f>
        <v>2012</v>
      </c>
      <c r="F14" s="601" t="str">
        <f>"Desde el 01 al "&amp;D14&amp;" de "&amp;C14&amp;" de "&amp;E14</f>
        <v>Desde el 01 al 30 de septiembre de 2012</v>
      </c>
      <c r="G14" s="601" t="str">
        <f ca="1">CELL("CONTENIDO",OFFSET(B1,B14,0))</f>
        <v>09</v>
      </c>
      <c r="H14" s="601" t="str">
        <f>RIGHT(E14,2)</f>
        <v>12</v>
      </c>
      <c r="I14" s="603" t="s">
        <v>111</v>
      </c>
    </row>
    <row r="15" spans="1:8" ht="10.5">
      <c r="A15" s="601"/>
      <c r="B15" s="604" t="str">
        <f>"\\rugor\files\Transporte\Transporte\AA PROCESO AUT ARCHIVOS J\TRANSENER\"&amp;E14</f>
        <v>\\rugor\files\Transporte\Transporte\AA PROCESO AUT ARCHIVOS J\TRANSENER\2012</v>
      </c>
      <c r="C15" s="601"/>
      <c r="D15" s="601"/>
      <c r="E15" s="601"/>
      <c r="F15" s="601"/>
      <c r="G15" s="601" t="str">
        <f>"J"&amp;G14&amp;H14&amp;"NER"</f>
        <v>J0912NER</v>
      </c>
      <c r="H15" s="601"/>
    </row>
    <row r="16" spans="1:8" ht="10.5">
      <c r="A16" s="601"/>
      <c r="B16" s="604" t="str">
        <f>"\\rugor\files\Transporte\transporte\AA PROCESO AUT\INTERCAMBIO\"&amp;H14&amp;G14</f>
        <v>\\rugor\files\Transporte\transporte\AA PROCESO AUT\INTERCAMBIO\1209</v>
      </c>
      <c r="C16" s="601"/>
      <c r="D16" s="601"/>
      <c r="E16" s="601"/>
      <c r="F16" s="601"/>
      <c r="G16" s="601"/>
      <c r="H16" s="601"/>
    </row>
    <row r="17" spans="1:29" ht="10.5">
      <c r="A17" s="594" t="s">
        <v>112</v>
      </c>
      <c r="B17" s="594" t="s">
        <v>113</v>
      </c>
      <c r="C17" s="594" t="s">
        <v>114</v>
      </c>
      <c r="D17" s="594" t="s">
        <v>115</v>
      </c>
      <c r="E17" s="594" t="s">
        <v>116</v>
      </c>
      <c r="F17" s="594" t="s">
        <v>117</v>
      </c>
      <c r="G17" s="594" t="s">
        <v>118</v>
      </c>
      <c r="H17" s="594" t="s">
        <v>119</v>
      </c>
      <c r="I17" s="594" t="s">
        <v>120</v>
      </c>
      <c r="J17" s="594" t="s">
        <v>121</v>
      </c>
      <c r="K17" s="594" t="s">
        <v>122</v>
      </c>
      <c r="L17" s="594" t="s">
        <v>123</v>
      </c>
      <c r="M17" s="594" t="s">
        <v>124</v>
      </c>
      <c r="N17" s="594" t="s">
        <v>125</v>
      </c>
      <c r="O17" s="594" t="s">
        <v>126</v>
      </c>
      <c r="P17" s="594" t="s">
        <v>127</v>
      </c>
      <c r="Q17" s="594" t="s">
        <v>128</v>
      </c>
      <c r="R17" s="594" t="s">
        <v>129</v>
      </c>
      <c r="S17" s="594" t="s">
        <v>130</v>
      </c>
      <c r="T17" s="594" t="s">
        <v>131</v>
      </c>
      <c r="U17" s="594" t="s">
        <v>132</v>
      </c>
      <c r="V17" s="594" t="s">
        <v>133</v>
      </c>
      <c r="W17" s="594" t="s">
        <v>134</v>
      </c>
      <c r="X17" s="594" t="s">
        <v>135</v>
      </c>
      <c r="Y17" s="594" t="s">
        <v>136</v>
      </c>
      <c r="Z17" s="594" t="s">
        <v>137</v>
      </c>
      <c r="AA17" s="594" t="s">
        <v>138</v>
      </c>
      <c r="AB17" s="594" t="s">
        <v>139</v>
      </c>
      <c r="AC17" s="594" t="s">
        <v>140</v>
      </c>
    </row>
    <row r="18" spans="1:29" ht="10.5">
      <c r="A18" s="605" t="s">
        <v>141</v>
      </c>
      <c r="B18" s="605">
        <v>22</v>
      </c>
      <c r="C18" s="605">
        <v>20</v>
      </c>
      <c r="D18" s="605">
        <v>13</v>
      </c>
      <c r="E18" s="605" t="str">
        <f>"LI-"&amp;$G$14</f>
        <v>LI-09</v>
      </c>
      <c r="F18" s="605" t="s">
        <v>142</v>
      </c>
      <c r="G18" s="605">
        <v>3</v>
      </c>
      <c r="H18" s="606">
        <v>5</v>
      </c>
      <c r="I18" s="606">
        <v>4</v>
      </c>
      <c r="J18" s="605">
        <v>6</v>
      </c>
      <c r="K18" s="605">
        <v>7</v>
      </c>
      <c r="L18" s="605">
        <v>8</v>
      </c>
      <c r="M18" s="605">
        <v>9</v>
      </c>
      <c r="N18" s="605">
        <v>12</v>
      </c>
      <c r="O18" s="605">
        <v>13</v>
      </c>
      <c r="P18" s="605">
        <v>16</v>
      </c>
      <c r="Q18" s="605">
        <v>19</v>
      </c>
      <c r="R18" s="605">
        <v>30</v>
      </c>
      <c r="S18" s="605">
        <v>0</v>
      </c>
      <c r="T18" s="605">
        <v>0</v>
      </c>
      <c r="U18" s="605">
        <v>0</v>
      </c>
      <c r="V18" s="605">
        <v>0</v>
      </c>
      <c r="W18" s="605">
        <v>17</v>
      </c>
      <c r="X18" s="605">
        <v>9</v>
      </c>
      <c r="Y18" s="605">
        <v>43</v>
      </c>
      <c r="Z18" s="606">
        <v>31</v>
      </c>
      <c r="AA18" s="605">
        <v>20</v>
      </c>
      <c r="AB18" s="606">
        <v>31</v>
      </c>
      <c r="AC18" s="605">
        <v>16</v>
      </c>
    </row>
    <row r="19" spans="1:29" ht="10.5">
      <c r="A19" s="605" t="s">
        <v>143</v>
      </c>
      <c r="B19" s="606">
        <v>20</v>
      </c>
      <c r="C19" s="606">
        <v>20</v>
      </c>
      <c r="D19" s="606">
        <v>13</v>
      </c>
      <c r="E19" s="605" t="str">
        <f>"LI-YACY-"&amp;$G$14</f>
        <v>LI-YACY-09</v>
      </c>
      <c r="F19" s="605" t="s">
        <v>144</v>
      </c>
      <c r="G19" s="606">
        <v>3</v>
      </c>
      <c r="H19" s="606">
        <v>5</v>
      </c>
      <c r="I19" s="606">
        <v>4</v>
      </c>
      <c r="J19" s="606">
        <v>6</v>
      </c>
      <c r="K19" s="606">
        <v>7</v>
      </c>
      <c r="L19" s="606">
        <v>8</v>
      </c>
      <c r="M19" s="606">
        <v>9</v>
      </c>
      <c r="N19" s="606">
        <v>12</v>
      </c>
      <c r="O19" s="606">
        <v>13</v>
      </c>
      <c r="P19" s="606">
        <v>16</v>
      </c>
      <c r="Q19" s="606">
        <v>19</v>
      </c>
      <c r="R19" s="606">
        <v>30</v>
      </c>
      <c r="S19" s="606">
        <v>0</v>
      </c>
      <c r="T19" s="606">
        <v>0</v>
      </c>
      <c r="U19" s="606">
        <v>0</v>
      </c>
      <c r="V19" s="606">
        <v>0</v>
      </c>
      <c r="W19" s="606">
        <v>18</v>
      </c>
      <c r="X19" s="606">
        <v>9</v>
      </c>
      <c r="Y19" s="606">
        <v>41</v>
      </c>
      <c r="Z19" s="606">
        <v>31</v>
      </c>
      <c r="AA19" s="605">
        <v>20</v>
      </c>
      <c r="AB19" s="606">
        <v>31</v>
      </c>
      <c r="AC19" s="606">
        <v>16</v>
      </c>
    </row>
    <row r="20" spans="1:29" ht="10.5">
      <c r="A20" s="605" t="s">
        <v>145</v>
      </c>
      <c r="B20" s="605">
        <v>22</v>
      </c>
      <c r="C20" s="605">
        <v>20</v>
      </c>
      <c r="D20" s="605">
        <v>13</v>
      </c>
      <c r="E20" s="605" t="str">
        <f>"LI-LITSA-"&amp;$G$14</f>
        <v>LI-LITSA-09</v>
      </c>
      <c r="F20" s="605" t="s">
        <v>146</v>
      </c>
      <c r="G20" s="605">
        <v>3</v>
      </c>
      <c r="H20" s="606">
        <v>5</v>
      </c>
      <c r="I20" s="606">
        <v>4</v>
      </c>
      <c r="J20" s="605">
        <v>6</v>
      </c>
      <c r="K20" s="605">
        <v>7</v>
      </c>
      <c r="L20" s="605">
        <v>8</v>
      </c>
      <c r="M20" s="605">
        <v>9</v>
      </c>
      <c r="N20" s="605">
        <v>12</v>
      </c>
      <c r="O20" s="605">
        <v>13</v>
      </c>
      <c r="P20" s="605">
        <v>16</v>
      </c>
      <c r="Q20" s="605">
        <v>19</v>
      </c>
      <c r="R20" s="605">
        <v>30</v>
      </c>
      <c r="S20" s="605">
        <v>0</v>
      </c>
      <c r="T20" s="605">
        <v>0</v>
      </c>
      <c r="U20" s="605">
        <v>0</v>
      </c>
      <c r="V20" s="605">
        <v>0</v>
      </c>
      <c r="W20" s="606">
        <v>19</v>
      </c>
      <c r="X20" s="605">
        <v>9</v>
      </c>
      <c r="Y20" s="605">
        <v>43</v>
      </c>
      <c r="Z20" s="606">
        <v>32</v>
      </c>
      <c r="AA20" s="605">
        <v>20</v>
      </c>
      <c r="AB20" s="606">
        <v>32</v>
      </c>
      <c r="AC20" s="605">
        <v>16</v>
      </c>
    </row>
    <row r="21" spans="1:29" ht="10.5">
      <c r="A21" s="605" t="s">
        <v>147</v>
      </c>
      <c r="B21" s="605">
        <v>22</v>
      </c>
      <c r="C21" s="605">
        <v>20</v>
      </c>
      <c r="D21" s="605">
        <v>13</v>
      </c>
      <c r="E21" s="605" t="str">
        <f>"LI-LITS2-"&amp;$G$14</f>
        <v>LI-LITS2-09</v>
      </c>
      <c r="F21" s="605" t="s">
        <v>148</v>
      </c>
      <c r="G21" s="605">
        <v>3</v>
      </c>
      <c r="H21" s="606">
        <v>5</v>
      </c>
      <c r="I21" s="606">
        <v>4</v>
      </c>
      <c r="J21" s="605">
        <v>6</v>
      </c>
      <c r="K21" s="605">
        <v>7</v>
      </c>
      <c r="L21" s="605">
        <v>8</v>
      </c>
      <c r="M21" s="605">
        <v>9</v>
      </c>
      <c r="N21" s="605">
        <v>12</v>
      </c>
      <c r="O21" s="605">
        <v>13</v>
      </c>
      <c r="P21" s="605">
        <v>16</v>
      </c>
      <c r="Q21" s="605">
        <v>19</v>
      </c>
      <c r="R21" s="605">
        <v>30</v>
      </c>
      <c r="S21" s="605">
        <v>0</v>
      </c>
      <c r="T21" s="605">
        <v>0</v>
      </c>
      <c r="U21" s="605">
        <v>0</v>
      </c>
      <c r="V21" s="605">
        <v>0</v>
      </c>
      <c r="W21" s="606">
        <v>20</v>
      </c>
      <c r="X21" s="605">
        <v>9</v>
      </c>
      <c r="Y21" s="605">
        <v>43</v>
      </c>
      <c r="Z21" s="606">
        <v>32</v>
      </c>
      <c r="AA21" s="605">
        <v>20</v>
      </c>
      <c r="AB21" s="606">
        <v>32</v>
      </c>
      <c r="AC21" s="605">
        <v>16</v>
      </c>
    </row>
    <row r="22" spans="1:29" ht="10.5">
      <c r="A22" s="605" t="s">
        <v>149</v>
      </c>
      <c r="B22" s="605">
        <v>22</v>
      </c>
      <c r="C22" s="605">
        <v>20</v>
      </c>
      <c r="D22" s="605">
        <v>13</v>
      </c>
      <c r="E22" s="605" t="str">
        <f>"LI-LINSA-"&amp;$G$14</f>
        <v>LI-LINSA-09</v>
      </c>
      <c r="F22" s="605" t="s">
        <v>150</v>
      </c>
      <c r="G22" s="605">
        <v>3</v>
      </c>
      <c r="H22" s="606">
        <v>5</v>
      </c>
      <c r="I22" s="606">
        <v>4</v>
      </c>
      <c r="J22" s="605">
        <v>6</v>
      </c>
      <c r="K22" s="605">
        <v>7</v>
      </c>
      <c r="L22" s="605">
        <v>8</v>
      </c>
      <c r="M22" s="605">
        <v>9</v>
      </c>
      <c r="N22" s="605">
        <v>12</v>
      </c>
      <c r="O22" s="605">
        <v>13</v>
      </c>
      <c r="P22" s="605">
        <v>16</v>
      </c>
      <c r="Q22" s="605">
        <v>19</v>
      </c>
      <c r="R22" s="605">
        <v>30</v>
      </c>
      <c r="S22" s="605">
        <v>0</v>
      </c>
      <c r="T22" s="605">
        <v>0</v>
      </c>
      <c r="U22" s="605">
        <v>0</v>
      </c>
      <c r="V22" s="605">
        <v>0</v>
      </c>
      <c r="W22" s="606">
        <v>21</v>
      </c>
      <c r="X22" s="605">
        <v>9</v>
      </c>
      <c r="Y22" s="605">
        <v>43</v>
      </c>
      <c r="Z22" s="606">
        <v>32</v>
      </c>
      <c r="AA22" s="605">
        <v>20</v>
      </c>
      <c r="AB22" s="606">
        <v>32</v>
      </c>
      <c r="AC22" s="605">
        <v>16</v>
      </c>
    </row>
    <row r="23" spans="1:29" ht="10.5">
      <c r="A23" s="605" t="s">
        <v>151</v>
      </c>
      <c r="B23" s="605">
        <v>22</v>
      </c>
      <c r="C23" s="606">
        <v>20</v>
      </c>
      <c r="D23" s="605">
        <v>13</v>
      </c>
      <c r="E23" s="605" t="str">
        <f>"LI-IV-"&amp;$G$14</f>
        <v>LI-IV-09</v>
      </c>
      <c r="F23" s="605" t="s">
        <v>152</v>
      </c>
      <c r="G23" s="605">
        <v>3</v>
      </c>
      <c r="H23" s="606">
        <v>5</v>
      </c>
      <c r="I23" s="606">
        <v>4</v>
      </c>
      <c r="J23" s="605">
        <v>6</v>
      </c>
      <c r="K23" s="605">
        <v>7</v>
      </c>
      <c r="L23" s="605">
        <v>8</v>
      </c>
      <c r="M23" s="605">
        <v>9</v>
      </c>
      <c r="N23" s="605">
        <v>12</v>
      </c>
      <c r="O23" s="605">
        <v>13</v>
      </c>
      <c r="P23" s="605">
        <v>16</v>
      </c>
      <c r="Q23" s="605">
        <v>19</v>
      </c>
      <c r="R23" s="605">
        <v>30</v>
      </c>
      <c r="S23" s="605">
        <v>0</v>
      </c>
      <c r="T23" s="605">
        <v>0</v>
      </c>
      <c r="U23" s="605">
        <v>0</v>
      </c>
      <c r="V23" s="605">
        <v>0</v>
      </c>
      <c r="W23" s="606">
        <v>22</v>
      </c>
      <c r="X23" s="606">
        <v>9</v>
      </c>
      <c r="Y23" s="605">
        <v>43</v>
      </c>
      <c r="Z23" s="606">
        <v>31</v>
      </c>
      <c r="AA23" s="605">
        <v>20</v>
      </c>
      <c r="AB23" s="606">
        <v>31</v>
      </c>
      <c r="AC23" s="605">
        <v>16</v>
      </c>
    </row>
    <row r="24" spans="1:29" ht="10.5">
      <c r="A24" s="606" t="s">
        <v>153</v>
      </c>
      <c r="B24" s="606">
        <v>20</v>
      </c>
      <c r="C24" s="606">
        <v>20</v>
      </c>
      <c r="D24" s="606">
        <v>13</v>
      </c>
      <c r="E24" s="606" t="str">
        <f>"LI-INTESAR-"&amp;$G$14</f>
        <v>LI-INTESAR-09</v>
      </c>
      <c r="F24" s="606" t="s">
        <v>154</v>
      </c>
      <c r="G24" s="606">
        <v>3</v>
      </c>
      <c r="H24" s="606">
        <v>5</v>
      </c>
      <c r="I24" s="606">
        <v>4</v>
      </c>
      <c r="J24" s="606">
        <v>6</v>
      </c>
      <c r="K24" s="606">
        <v>7</v>
      </c>
      <c r="L24" s="606">
        <v>8</v>
      </c>
      <c r="M24" s="606">
        <v>9</v>
      </c>
      <c r="N24" s="606">
        <v>12</v>
      </c>
      <c r="O24" s="606">
        <v>13</v>
      </c>
      <c r="P24" s="606">
        <v>16</v>
      </c>
      <c r="Q24" s="606">
        <v>19</v>
      </c>
      <c r="R24" s="606">
        <v>30</v>
      </c>
      <c r="S24" s="606">
        <v>0</v>
      </c>
      <c r="T24" s="606">
        <v>0</v>
      </c>
      <c r="U24" s="606">
        <v>0</v>
      </c>
      <c r="V24" s="606">
        <v>0</v>
      </c>
      <c r="W24" s="606">
        <v>23</v>
      </c>
      <c r="X24" s="606">
        <v>9</v>
      </c>
      <c r="Y24" s="606">
        <v>41</v>
      </c>
      <c r="Z24" s="606">
        <v>31</v>
      </c>
      <c r="AA24" s="605">
        <v>20</v>
      </c>
      <c r="AB24" s="606">
        <v>31</v>
      </c>
      <c r="AC24" s="606">
        <v>16</v>
      </c>
    </row>
    <row r="25" spans="1:29" ht="10.5">
      <c r="A25" s="606" t="s">
        <v>155</v>
      </c>
      <c r="B25" s="606">
        <v>20</v>
      </c>
      <c r="C25" s="606">
        <v>20</v>
      </c>
      <c r="D25" s="606">
        <v>13</v>
      </c>
      <c r="E25" s="606" t="str">
        <f>"LI-INTESA2-"&amp;$G$14</f>
        <v>LI-INTESA2-09</v>
      </c>
      <c r="F25" s="606" t="s">
        <v>156</v>
      </c>
      <c r="G25" s="606">
        <v>3</v>
      </c>
      <c r="H25" s="606">
        <v>5</v>
      </c>
      <c r="I25" s="606">
        <v>4</v>
      </c>
      <c r="J25" s="606">
        <v>6</v>
      </c>
      <c r="K25" s="606">
        <v>7</v>
      </c>
      <c r="L25" s="606">
        <v>8</v>
      </c>
      <c r="M25" s="606">
        <v>9</v>
      </c>
      <c r="N25" s="606">
        <v>12</v>
      </c>
      <c r="O25" s="606">
        <v>13</v>
      </c>
      <c r="P25" s="606">
        <v>16</v>
      </c>
      <c r="Q25" s="606">
        <v>19</v>
      </c>
      <c r="R25" s="606">
        <v>30</v>
      </c>
      <c r="S25" s="606">
        <v>0</v>
      </c>
      <c r="T25" s="606">
        <v>0</v>
      </c>
      <c r="U25" s="606">
        <v>0</v>
      </c>
      <c r="V25" s="606">
        <v>0</v>
      </c>
      <c r="W25" s="606">
        <v>24</v>
      </c>
      <c r="X25" s="606">
        <v>9</v>
      </c>
      <c r="Y25" s="606">
        <v>41</v>
      </c>
      <c r="Z25" s="606">
        <v>31</v>
      </c>
      <c r="AA25" s="605">
        <v>20</v>
      </c>
      <c r="AB25" s="606">
        <v>31</v>
      </c>
      <c r="AC25" s="606">
        <v>16</v>
      </c>
    </row>
    <row r="26" spans="1:29" ht="10.5">
      <c r="A26" s="606" t="s">
        <v>157</v>
      </c>
      <c r="B26" s="606">
        <v>20</v>
      </c>
      <c r="C26" s="606">
        <v>20</v>
      </c>
      <c r="D26" s="606">
        <v>13</v>
      </c>
      <c r="E26" s="606" t="str">
        <f>"LI-INTESA3-"&amp;$G$14</f>
        <v>LI-INTESA3-09</v>
      </c>
      <c r="F26" s="606" t="s">
        <v>158</v>
      </c>
      <c r="G26" s="606">
        <v>3</v>
      </c>
      <c r="H26" s="606">
        <v>5</v>
      </c>
      <c r="I26" s="606">
        <v>4</v>
      </c>
      <c r="J26" s="606">
        <v>6</v>
      </c>
      <c r="K26" s="606">
        <v>7</v>
      </c>
      <c r="L26" s="606">
        <v>8</v>
      </c>
      <c r="M26" s="606">
        <v>9</v>
      </c>
      <c r="N26" s="606">
        <v>12</v>
      </c>
      <c r="O26" s="606">
        <v>13</v>
      </c>
      <c r="P26" s="606">
        <v>16</v>
      </c>
      <c r="Q26" s="606">
        <v>19</v>
      </c>
      <c r="R26" s="606">
        <v>30</v>
      </c>
      <c r="S26" s="606">
        <v>0</v>
      </c>
      <c r="T26" s="606">
        <v>0</v>
      </c>
      <c r="U26" s="606">
        <v>0</v>
      </c>
      <c r="V26" s="606">
        <v>0</v>
      </c>
      <c r="W26" s="606">
        <v>25</v>
      </c>
      <c r="X26" s="606">
        <v>9</v>
      </c>
      <c r="Y26" s="606">
        <v>41</v>
      </c>
      <c r="Z26" s="606">
        <v>31</v>
      </c>
      <c r="AA26" s="605">
        <v>20</v>
      </c>
      <c r="AB26" s="606">
        <v>31</v>
      </c>
      <c r="AC26" s="606">
        <v>16</v>
      </c>
    </row>
    <row r="27" spans="1:29" ht="10.5">
      <c r="A27" s="606" t="s">
        <v>159</v>
      </c>
      <c r="B27" s="606">
        <v>20</v>
      </c>
      <c r="C27" s="606">
        <v>20</v>
      </c>
      <c r="D27" s="606">
        <v>13</v>
      </c>
      <c r="E27" s="606" t="str">
        <f>"LI-INTESA4-"&amp;$G$14</f>
        <v>LI-INTESA4-09</v>
      </c>
      <c r="F27" s="606" t="s">
        <v>160</v>
      </c>
      <c r="G27" s="606">
        <v>3</v>
      </c>
      <c r="H27" s="606">
        <v>5</v>
      </c>
      <c r="I27" s="606">
        <v>4</v>
      </c>
      <c r="J27" s="606">
        <v>6</v>
      </c>
      <c r="K27" s="606">
        <v>7</v>
      </c>
      <c r="L27" s="606">
        <v>8</v>
      </c>
      <c r="M27" s="606">
        <v>9</v>
      </c>
      <c r="N27" s="606">
        <v>12</v>
      </c>
      <c r="O27" s="606">
        <v>13</v>
      </c>
      <c r="P27" s="606">
        <v>16</v>
      </c>
      <c r="Q27" s="606">
        <v>19</v>
      </c>
      <c r="R27" s="606">
        <v>30</v>
      </c>
      <c r="S27" s="606">
        <v>0</v>
      </c>
      <c r="T27" s="606">
        <v>0</v>
      </c>
      <c r="U27" s="606">
        <v>0</v>
      </c>
      <c r="V27" s="606">
        <v>0</v>
      </c>
      <c r="W27" s="606">
        <v>26</v>
      </c>
      <c r="X27" s="606">
        <v>9</v>
      </c>
      <c r="Y27" s="606">
        <v>41</v>
      </c>
      <c r="Z27" s="606">
        <v>31</v>
      </c>
      <c r="AA27" s="605">
        <v>20</v>
      </c>
      <c r="AB27" s="606">
        <v>31</v>
      </c>
      <c r="AC27" s="606">
        <v>16</v>
      </c>
    </row>
    <row r="28" spans="1:29" ht="10.5">
      <c r="A28" s="606" t="s">
        <v>161</v>
      </c>
      <c r="B28" s="606">
        <v>20</v>
      </c>
      <c r="C28" s="606">
        <v>20</v>
      </c>
      <c r="D28" s="606">
        <v>13</v>
      </c>
      <c r="E28" s="606" t="str">
        <f>"LI-CUYANA-"&amp;$G$14</f>
        <v>LI-CUYANA-09</v>
      </c>
      <c r="F28" s="606" t="s">
        <v>162</v>
      </c>
      <c r="G28" s="606">
        <v>3</v>
      </c>
      <c r="H28" s="606">
        <v>5</v>
      </c>
      <c r="I28" s="606">
        <v>4</v>
      </c>
      <c r="J28" s="606">
        <v>6</v>
      </c>
      <c r="K28" s="606">
        <v>7</v>
      </c>
      <c r="L28" s="606">
        <v>8</v>
      </c>
      <c r="M28" s="606">
        <v>9</v>
      </c>
      <c r="N28" s="606">
        <v>12</v>
      </c>
      <c r="O28" s="606">
        <v>13</v>
      </c>
      <c r="P28" s="606">
        <v>16</v>
      </c>
      <c r="Q28" s="606">
        <v>19</v>
      </c>
      <c r="R28" s="606">
        <v>30</v>
      </c>
      <c r="S28" s="606">
        <v>0</v>
      </c>
      <c r="T28" s="606">
        <v>0</v>
      </c>
      <c r="U28" s="606">
        <v>0</v>
      </c>
      <c r="V28" s="606">
        <v>0</v>
      </c>
      <c r="W28" s="606">
        <v>27</v>
      </c>
      <c r="X28" s="606">
        <v>9</v>
      </c>
      <c r="Y28" s="606">
        <v>41</v>
      </c>
      <c r="Z28" s="606">
        <v>31</v>
      </c>
      <c r="AA28" s="605">
        <v>20</v>
      </c>
      <c r="AB28" s="606">
        <v>31</v>
      </c>
      <c r="AC28" s="606">
        <v>16</v>
      </c>
    </row>
    <row r="29" spans="1:29" ht="10.5">
      <c r="A29" s="606" t="s">
        <v>163</v>
      </c>
      <c r="B29" s="606">
        <v>20</v>
      </c>
      <c r="C29" s="606">
        <v>20</v>
      </c>
      <c r="D29" s="606">
        <v>13</v>
      </c>
      <c r="E29" s="606" t="str">
        <f>"LI-LIMSA-"&amp;$G$14</f>
        <v>LI-LIMSA-09</v>
      </c>
      <c r="F29" s="606" t="s">
        <v>164</v>
      </c>
      <c r="G29" s="606">
        <v>3</v>
      </c>
      <c r="H29" s="606">
        <v>5</v>
      </c>
      <c r="I29" s="606">
        <v>4</v>
      </c>
      <c r="J29" s="606">
        <v>6</v>
      </c>
      <c r="K29" s="606">
        <v>7</v>
      </c>
      <c r="L29" s="606">
        <v>8</v>
      </c>
      <c r="M29" s="606">
        <v>9</v>
      </c>
      <c r="N29" s="606">
        <v>12</v>
      </c>
      <c r="O29" s="606">
        <v>13</v>
      </c>
      <c r="P29" s="606">
        <v>16</v>
      </c>
      <c r="Q29" s="606">
        <v>19</v>
      </c>
      <c r="R29" s="606">
        <v>30</v>
      </c>
      <c r="S29" s="606">
        <v>0</v>
      </c>
      <c r="T29" s="606">
        <v>0</v>
      </c>
      <c r="U29" s="606">
        <v>0</v>
      </c>
      <c r="V29" s="606">
        <v>0</v>
      </c>
      <c r="W29" s="606">
        <v>28</v>
      </c>
      <c r="X29" s="606">
        <v>9</v>
      </c>
      <c r="Y29" s="606">
        <v>41</v>
      </c>
      <c r="Z29" s="606">
        <v>31</v>
      </c>
      <c r="AA29" s="605">
        <v>20</v>
      </c>
      <c r="AB29" s="606">
        <v>31</v>
      </c>
      <c r="AC29" s="606">
        <v>16</v>
      </c>
    </row>
    <row r="30" spans="1:29" ht="10.5">
      <c r="A30" s="606" t="s">
        <v>165</v>
      </c>
      <c r="B30" s="606">
        <v>20</v>
      </c>
      <c r="C30" s="606">
        <v>20</v>
      </c>
      <c r="D30" s="606">
        <v>13</v>
      </c>
      <c r="E30" s="606" t="str">
        <f>"LI-RIOJA-"&amp;$G$14</f>
        <v>LI-RIOJA-09</v>
      </c>
      <c r="F30" s="606" t="s">
        <v>166</v>
      </c>
      <c r="G30" s="606">
        <v>3</v>
      </c>
      <c r="H30" s="606">
        <v>5</v>
      </c>
      <c r="I30" s="606">
        <v>4</v>
      </c>
      <c r="J30" s="606">
        <v>6</v>
      </c>
      <c r="K30" s="606">
        <v>7</v>
      </c>
      <c r="L30" s="606">
        <v>8</v>
      </c>
      <c r="M30" s="606">
        <v>9</v>
      </c>
      <c r="N30" s="606">
        <v>12</v>
      </c>
      <c r="O30" s="606">
        <v>13</v>
      </c>
      <c r="P30" s="606">
        <v>16</v>
      </c>
      <c r="Q30" s="606">
        <v>19</v>
      </c>
      <c r="R30" s="606">
        <v>30</v>
      </c>
      <c r="S30" s="606">
        <v>0</v>
      </c>
      <c r="T30" s="606">
        <v>0</v>
      </c>
      <c r="U30" s="606">
        <v>0</v>
      </c>
      <c r="V30" s="606">
        <v>0</v>
      </c>
      <c r="W30" s="606">
        <v>29</v>
      </c>
      <c r="X30" s="606">
        <v>9</v>
      </c>
      <c r="Y30" s="606">
        <v>41</v>
      </c>
      <c r="Z30" s="606">
        <v>31</v>
      </c>
      <c r="AA30" s="605">
        <v>20</v>
      </c>
      <c r="AB30" s="606">
        <v>31</v>
      </c>
      <c r="AC30" s="606">
        <v>16</v>
      </c>
    </row>
    <row r="31" spans="1:29" ht="10.5">
      <c r="A31" s="607" t="s">
        <v>167</v>
      </c>
      <c r="B31" s="607">
        <v>22</v>
      </c>
      <c r="C31" s="608">
        <v>20</v>
      </c>
      <c r="D31" s="607">
        <v>14</v>
      </c>
      <c r="E31" s="607" t="str">
        <f>"TR-"&amp;$G$14</f>
        <v>TR-09</v>
      </c>
      <c r="F31" s="607" t="s">
        <v>168</v>
      </c>
      <c r="G31" s="606">
        <v>3</v>
      </c>
      <c r="H31" s="606">
        <v>5</v>
      </c>
      <c r="I31" s="606">
        <v>4</v>
      </c>
      <c r="J31" s="606">
        <v>6</v>
      </c>
      <c r="K31" s="606">
        <v>7</v>
      </c>
      <c r="L31" s="608">
        <v>8</v>
      </c>
      <c r="M31" s="608">
        <v>9</v>
      </c>
      <c r="N31" s="608">
        <v>11</v>
      </c>
      <c r="O31" s="608">
        <v>12</v>
      </c>
      <c r="P31" s="608">
        <v>15</v>
      </c>
      <c r="Q31" s="608">
        <v>17</v>
      </c>
      <c r="R31" s="608">
        <v>18</v>
      </c>
      <c r="S31" s="608">
        <v>28</v>
      </c>
      <c r="T31" s="608">
        <v>0</v>
      </c>
      <c r="U31" s="608">
        <v>0</v>
      </c>
      <c r="V31" s="608">
        <v>0</v>
      </c>
      <c r="W31" s="608">
        <v>33</v>
      </c>
      <c r="X31" s="606">
        <v>9</v>
      </c>
      <c r="Y31" s="607">
        <v>43</v>
      </c>
      <c r="Z31" s="607">
        <v>29</v>
      </c>
      <c r="AA31" s="607">
        <v>20</v>
      </c>
      <c r="AB31" s="607">
        <v>29</v>
      </c>
      <c r="AC31" s="607">
        <v>15</v>
      </c>
    </row>
    <row r="32" spans="1:29" ht="10.5">
      <c r="A32" s="605" t="s">
        <v>169</v>
      </c>
      <c r="B32" s="605">
        <v>22</v>
      </c>
      <c r="C32" s="606">
        <v>20</v>
      </c>
      <c r="D32" s="607">
        <v>14</v>
      </c>
      <c r="E32" s="605" t="str">
        <f>"TR-LITSA-"&amp;$G$14</f>
        <v>TR-LITSA-09</v>
      </c>
      <c r="F32" s="605" t="s">
        <v>170</v>
      </c>
      <c r="G32" s="606">
        <v>3</v>
      </c>
      <c r="H32" s="606">
        <v>5</v>
      </c>
      <c r="I32" s="606">
        <v>4</v>
      </c>
      <c r="J32" s="606">
        <v>6</v>
      </c>
      <c r="K32" s="606">
        <v>7</v>
      </c>
      <c r="L32" s="608">
        <v>8</v>
      </c>
      <c r="M32" s="608">
        <v>9</v>
      </c>
      <c r="N32" s="608">
        <v>11</v>
      </c>
      <c r="O32" s="608">
        <v>12</v>
      </c>
      <c r="P32" s="608">
        <v>15</v>
      </c>
      <c r="Q32" s="608">
        <v>17</v>
      </c>
      <c r="R32" s="608">
        <v>18</v>
      </c>
      <c r="S32" s="608">
        <v>28</v>
      </c>
      <c r="T32" s="608">
        <v>0</v>
      </c>
      <c r="U32" s="608">
        <v>0</v>
      </c>
      <c r="V32" s="608">
        <v>0</v>
      </c>
      <c r="W32" s="608">
        <v>34</v>
      </c>
      <c r="X32" s="606">
        <v>9</v>
      </c>
      <c r="Y32" s="607">
        <v>43</v>
      </c>
      <c r="Z32" s="607">
        <v>29</v>
      </c>
      <c r="AA32" s="607">
        <v>20</v>
      </c>
      <c r="AB32" s="607">
        <v>29</v>
      </c>
      <c r="AC32" s="607">
        <v>15</v>
      </c>
    </row>
    <row r="33" spans="1:29" ht="10.5">
      <c r="A33" s="605" t="s">
        <v>171</v>
      </c>
      <c r="B33" s="605">
        <v>22</v>
      </c>
      <c r="C33" s="606">
        <v>20</v>
      </c>
      <c r="D33" s="607">
        <v>14</v>
      </c>
      <c r="E33" s="605" t="str">
        <f>"TR-LITS2-"&amp;$G$14</f>
        <v>TR-LITS2-09</v>
      </c>
      <c r="F33" s="605" t="s">
        <v>172</v>
      </c>
      <c r="G33" s="606">
        <v>3</v>
      </c>
      <c r="H33" s="606">
        <v>5</v>
      </c>
      <c r="I33" s="606">
        <v>4</v>
      </c>
      <c r="J33" s="606">
        <v>6</v>
      </c>
      <c r="K33" s="606">
        <v>7</v>
      </c>
      <c r="L33" s="608">
        <v>8</v>
      </c>
      <c r="M33" s="608">
        <v>9</v>
      </c>
      <c r="N33" s="608">
        <v>11</v>
      </c>
      <c r="O33" s="608">
        <v>12</v>
      </c>
      <c r="P33" s="608">
        <v>15</v>
      </c>
      <c r="Q33" s="608">
        <v>17</v>
      </c>
      <c r="R33" s="608">
        <v>18</v>
      </c>
      <c r="S33" s="608">
        <v>28</v>
      </c>
      <c r="T33" s="608">
        <v>0</v>
      </c>
      <c r="U33" s="608">
        <v>0</v>
      </c>
      <c r="V33" s="608">
        <v>0</v>
      </c>
      <c r="W33" s="608">
        <v>35</v>
      </c>
      <c r="X33" s="606">
        <v>9</v>
      </c>
      <c r="Y33" s="607">
        <v>43</v>
      </c>
      <c r="Z33" s="607">
        <v>29</v>
      </c>
      <c r="AA33" s="607">
        <v>20</v>
      </c>
      <c r="AB33" s="607">
        <v>29</v>
      </c>
      <c r="AC33" s="607">
        <v>15</v>
      </c>
    </row>
    <row r="34" spans="1:29" ht="10.5">
      <c r="A34" s="605" t="s">
        <v>173</v>
      </c>
      <c r="B34" s="605">
        <v>22</v>
      </c>
      <c r="C34" s="606">
        <v>20</v>
      </c>
      <c r="D34" s="607">
        <v>14</v>
      </c>
      <c r="E34" s="605" t="str">
        <f>"TR-LINSA-"&amp;$G$14</f>
        <v>TR-LINSA-09</v>
      </c>
      <c r="F34" s="605" t="s">
        <v>174</v>
      </c>
      <c r="G34" s="606">
        <v>3</v>
      </c>
      <c r="H34" s="606">
        <v>5</v>
      </c>
      <c r="I34" s="606">
        <v>4</v>
      </c>
      <c r="J34" s="606">
        <v>6</v>
      </c>
      <c r="K34" s="606">
        <v>7</v>
      </c>
      <c r="L34" s="608">
        <v>8</v>
      </c>
      <c r="M34" s="608">
        <v>9</v>
      </c>
      <c r="N34" s="608">
        <v>11</v>
      </c>
      <c r="O34" s="608">
        <v>12</v>
      </c>
      <c r="P34" s="608">
        <v>15</v>
      </c>
      <c r="Q34" s="608">
        <v>17</v>
      </c>
      <c r="R34" s="608">
        <v>18</v>
      </c>
      <c r="S34" s="608">
        <v>28</v>
      </c>
      <c r="T34" s="608">
        <v>0</v>
      </c>
      <c r="U34" s="608">
        <v>0</v>
      </c>
      <c r="V34" s="608">
        <v>0</v>
      </c>
      <c r="W34" s="608">
        <v>36</v>
      </c>
      <c r="X34" s="606">
        <v>9</v>
      </c>
      <c r="Y34" s="607">
        <v>43</v>
      </c>
      <c r="Z34" s="607">
        <v>29</v>
      </c>
      <c r="AA34" s="607">
        <v>20</v>
      </c>
      <c r="AB34" s="607">
        <v>29</v>
      </c>
      <c r="AC34" s="607">
        <v>15</v>
      </c>
    </row>
    <row r="35" spans="1:29" ht="10.5">
      <c r="A35" s="605" t="s">
        <v>175</v>
      </c>
      <c r="B35" s="605">
        <v>20</v>
      </c>
      <c r="C35" s="606">
        <v>20</v>
      </c>
      <c r="D35" s="607">
        <v>14</v>
      </c>
      <c r="E35" s="605" t="str">
        <f>"TR-TIBA-"&amp;$G$14</f>
        <v>TR-TIBA-09</v>
      </c>
      <c r="F35" s="605" t="s">
        <v>176</v>
      </c>
      <c r="G35" s="606">
        <v>3</v>
      </c>
      <c r="H35" s="606">
        <v>5</v>
      </c>
      <c r="I35" s="606">
        <v>4</v>
      </c>
      <c r="J35" s="606">
        <v>6</v>
      </c>
      <c r="K35" s="606">
        <v>7</v>
      </c>
      <c r="L35" s="608">
        <v>8</v>
      </c>
      <c r="M35" s="608">
        <v>9</v>
      </c>
      <c r="N35" s="608">
        <v>11</v>
      </c>
      <c r="O35" s="608">
        <v>12</v>
      </c>
      <c r="P35" s="608">
        <v>15</v>
      </c>
      <c r="Q35" s="608">
        <v>17</v>
      </c>
      <c r="R35" s="608">
        <v>18</v>
      </c>
      <c r="S35" s="608">
        <v>28</v>
      </c>
      <c r="T35" s="608">
        <v>0</v>
      </c>
      <c r="U35" s="608">
        <v>0</v>
      </c>
      <c r="V35" s="608">
        <v>0</v>
      </c>
      <c r="W35" s="608">
        <v>37</v>
      </c>
      <c r="X35" s="606">
        <v>9</v>
      </c>
      <c r="Y35" s="607">
        <v>41</v>
      </c>
      <c r="Z35" s="607">
        <v>29</v>
      </c>
      <c r="AA35" s="607">
        <v>18</v>
      </c>
      <c r="AB35" s="607">
        <v>29</v>
      </c>
      <c r="AC35" s="607">
        <v>15</v>
      </c>
    </row>
    <row r="36" spans="1:29" ht="10.5">
      <c r="A36" s="605" t="s">
        <v>177</v>
      </c>
      <c r="B36" s="605">
        <v>20</v>
      </c>
      <c r="C36" s="606">
        <v>20</v>
      </c>
      <c r="D36" s="607">
        <v>14</v>
      </c>
      <c r="E36" s="605" t="str">
        <f>"TR-ENECOR-"&amp;$G$14</f>
        <v>TR-ENECOR-09</v>
      </c>
      <c r="F36" s="605" t="s">
        <v>178</v>
      </c>
      <c r="G36" s="606">
        <v>3</v>
      </c>
      <c r="H36" s="606">
        <v>5</v>
      </c>
      <c r="I36" s="606">
        <v>4</v>
      </c>
      <c r="J36" s="606">
        <v>6</v>
      </c>
      <c r="K36" s="606">
        <v>7</v>
      </c>
      <c r="L36" s="608">
        <v>8</v>
      </c>
      <c r="M36" s="608">
        <v>9</v>
      </c>
      <c r="N36" s="608">
        <v>11</v>
      </c>
      <c r="O36" s="608">
        <v>12</v>
      </c>
      <c r="P36" s="608">
        <v>15</v>
      </c>
      <c r="Q36" s="608">
        <v>17</v>
      </c>
      <c r="R36" s="608">
        <v>18</v>
      </c>
      <c r="S36" s="608">
        <v>28</v>
      </c>
      <c r="T36" s="608">
        <v>0</v>
      </c>
      <c r="U36" s="608">
        <v>0</v>
      </c>
      <c r="V36" s="608">
        <v>0</v>
      </c>
      <c r="W36" s="608">
        <v>38</v>
      </c>
      <c r="X36" s="606">
        <v>9</v>
      </c>
      <c r="Y36" s="607">
        <v>41</v>
      </c>
      <c r="Z36" s="607">
        <v>29</v>
      </c>
      <c r="AA36" s="607">
        <v>20</v>
      </c>
      <c r="AB36" s="607">
        <v>29</v>
      </c>
      <c r="AC36" s="607">
        <v>15</v>
      </c>
    </row>
    <row r="37" spans="1:29" ht="10.5">
      <c r="A37" s="606" t="s">
        <v>179</v>
      </c>
      <c r="B37" s="606">
        <v>20</v>
      </c>
      <c r="C37" s="606">
        <v>20</v>
      </c>
      <c r="D37" s="608">
        <v>14</v>
      </c>
      <c r="E37" s="606" t="str">
        <f>"TR-INTESAR-"&amp;$G$14</f>
        <v>TR-INTESAR-09</v>
      </c>
      <c r="F37" s="606" t="s">
        <v>180</v>
      </c>
      <c r="G37" s="606">
        <v>3</v>
      </c>
      <c r="H37" s="606">
        <v>5</v>
      </c>
      <c r="I37" s="606">
        <v>4</v>
      </c>
      <c r="J37" s="606">
        <v>6</v>
      </c>
      <c r="K37" s="606">
        <v>7</v>
      </c>
      <c r="L37" s="608">
        <v>8</v>
      </c>
      <c r="M37" s="608">
        <v>9</v>
      </c>
      <c r="N37" s="608">
        <v>11</v>
      </c>
      <c r="O37" s="608">
        <v>12</v>
      </c>
      <c r="P37" s="608">
        <v>15</v>
      </c>
      <c r="Q37" s="608">
        <v>17</v>
      </c>
      <c r="R37" s="608">
        <v>18</v>
      </c>
      <c r="S37" s="608">
        <v>28</v>
      </c>
      <c r="T37" s="608">
        <v>0</v>
      </c>
      <c r="U37" s="608">
        <v>0</v>
      </c>
      <c r="V37" s="608">
        <v>0</v>
      </c>
      <c r="W37" s="608">
        <v>39</v>
      </c>
      <c r="X37" s="606">
        <v>9</v>
      </c>
      <c r="Y37" s="607">
        <v>41</v>
      </c>
      <c r="Z37" s="608">
        <v>29</v>
      </c>
      <c r="AA37" s="608">
        <v>20</v>
      </c>
      <c r="AB37" s="608">
        <v>29</v>
      </c>
      <c r="AC37" s="608">
        <v>15</v>
      </c>
    </row>
    <row r="38" spans="1:29" ht="10.5">
      <c r="A38" s="606" t="s">
        <v>181</v>
      </c>
      <c r="B38" s="606">
        <v>20</v>
      </c>
      <c r="C38" s="606">
        <v>20</v>
      </c>
      <c r="D38" s="608">
        <v>14</v>
      </c>
      <c r="E38" s="606" t="str">
        <f>"TR-INTESA3-"&amp;$G$14</f>
        <v>TR-INTESA3-09</v>
      </c>
      <c r="F38" s="606" t="s">
        <v>182</v>
      </c>
      <c r="G38" s="606">
        <v>3</v>
      </c>
      <c r="H38" s="606">
        <v>5</v>
      </c>
      <c r="I38" s="606">
        <v>4</v>
      </c>
      <c r="J38" s="606">
        <v>6</v>
      </c>
      <c r="K38" s="606">
        <v>7</v>
      </c>
      <c r="L38" s="608">
        <v>8</v>
      </c>
      <c r="M38" s="608">
        <v>9</v>
      </c>
      <c r="N38" s="608">
        <v>11</v>
      </c>
      <c r="O38" s="608">
        <v>12</v>
      </c>
      <c r="P38" s="608">
        <v>15</v>
      </c>
      <c r="Q38" s="608">
        <v>17</v>
      </c>
      <c r="R38" s="608">
        <v>18</v>
      </c>
      <c r="S38" s="608">
        <v>28</v>
      </c>
      <c r="T38" s="608">
        <v>0</v>
      </c>
      <c r="U38" s="608">
        <v>0</v>
      </c>
      <c r="V38" s="608">
        <v>0</v>
      </c>
      <c r="W38" s="608">
        <v>40</v>
      </c>
      <c r="X38" s="606">
        <v>9</v>
      </c>
      <c r="Y38" s="607">
        <v>41</v>
      </c>
      <c r="Z38" s="608">
        <v>29</v>
      </c>
      <c r="AA38" s="608">
        <v>20</v>
      </c>
      <c r="AB38" s="608">
        <v>29</v>
      </c>
      <c r="AC38" s="608">
        <v>15</v>
      </c>
    </row>
    <row r="39" spans="1:29" ht="10.5">
      <c r="A39" s="606" t="s">
        <v>183</v>
      </c>
      <c r="B39" s="606">
        <v>20</v>
      </c>
      <c r="C39" s="606">
        <v>20</v>
      </c>
      <c r="D39" s="608">
        <v>14</v>
      </c>
      <c r="E39" s="606" t="str">
        <f>"TR-INTESA4-"&amp;$G$14</f>
        <v>TR-INTESA4-09</v>
      </c>
      <c r="F39" s="606" t="s">
        <v>184</v>
      </c>
      <c r="G39" s="606">
        <v>3</v>
      </c>
      <c r="H39" s="606">
        <v>5</v>
      </c>
      <c r="I39" s="606">
        <v>4</v>
      </c>
      <c r="J39" s="606">
        <v>6</v>
      </c>
      <c r="K39" s="606">
        <v>7</v>
      </c>
      <c r="L39" s="608">
        <v>8</v>
      </c>
      <c r="M39" s="608">
        <v>9</v>
      </c>
      <c r="N39" s="608">
        <v>11</v>
      </c>
      <c r="O39" s="608">
        <v>12</v>
      </c>
      <c r="P39" s="608">
        <v>15</v>
      </c>
      <c r="Q39" s="608">
        <v>17</v>
      </c>
      <c r="R39" s="608">
        <v>18</v>
      </c>
      <c r="S39" s="608">
        <v>28</v>
      </c>
      <c r="T39" s="608">
        <v>0</v>
      </c>
      <c r="U39" s="608">
        <v>0</v>
      </c>
      <c r="V39" s="608">
        <v>0</v>
      </c>
      <c r="W39" s="608">
        <v>41</v>
      </c>
      <c r="X39" s="606">
        <v>9</v>
      </c>
      <c r="Y39" s="607">
        <v>41</v>
      </c>
      <c r="Z39" s="608">
        <v>29</v>
      </c>
      <c r="AA39" s="608">
        <v>20</v>
      </c>
      <c r="AB39" s="608">
        <v>29</v>
      </c>
      <c r="AC39" s="608">
        <v>15</v>
      </c>
    </row>
    <row r="40" spans="1:29" ht="10.5">
      <c r="A40" s="606" t="s">
        <v>185</v>
      </c>
      <c r="B40" s="606">
        <v>20</v>
      </c>
      <c r="C40" s="606">
        <v>20</v>
      </c>
      <c r="D40" s="608">
        <v>14</v>
      </c>
      <c r="E40" s="606" t="str">
        <f>"TR-LIMSA-"&amp;$G$14</f>
        <v>TR-LIMSA-09</v>
      </c>
      <c r="F40" s="606" t="s">
        <v>186</v>
      </c>
      <c r="G40" s="606">
        <v>3</v>
      </c>
      <c r="H40" s="606">
        <v>5</v>
      </c>
      <c r="I40" s="606">
        <v>4</v>
      </c>
      <c r="J40" s="606">
        <v>6</v>
      </c>
      <c r="K40" s="606">
        <v>7</v>
      </c>
      <c r="L40" s="608">
        <v>8</v>
      </c>
      <c r="M40" s="608">
        <v>9</v>
      </c>
      <c r="N40" s="608">
        <v>11</v>
      </c>
      <c r="O40" s="608">
        <v>12</v>
      </c>
      <c r="P40" s="608">
        <v>15</v>
      </c>
      <c r="Q40" s="608">
        <v>17</v>
      </c>
      <c r="R40" s="608">
        <v>18</v>
      </c>
      <c r="S40" s="608">
        <v>28</v>
      </c>
      <c r="T40" s="608">
        <v>0</v>
      </c>
      <c r="U40" s="608">
        <v>0</v>
      </c>
      <c r="V40" s="608">
        <v>0</v>
      </c>
      <c r="W40" s="608">
        <v>42</v>
      </c>
      <c r="X40" s="606">
        <v>9</v>
      </c>
      <c r="Y40" s="607">
        <v>41</v>
      </c>
      <c r="Z40" s="608">
        <v>29</v>
      </c>
      <c r="AA40" s="608">
        <v>20</v>
      </c>
      <c r="AB40" s="608">
        <v>29</v>
      </c>
      <c r="AC40" s="608">
        <v>15</v>
      </c>
    </row>
    <row r="41" spans="1:29" ht="10.5">
      <c r="A41" s="606" t="s">
        <v>187</v>
      </c>
      <c r="B41" s="606">
        <v>20</v>
      </c>
      <c r="C41" s="606">
        <v>20</v>
      </c>
      <c r="D41" s="608">
        <v>14</v>
      </c>
      <c r="E41" s="606" t="str">
        <f>"TR-CUYANA-"&amp;$G$14</f>
        <v>TR-CUYANA-09</v>
      </c>
      <c r="F41" s="606" t="s">
        <v>188</v>
      </c>
      <c r="G41" s="606">
        <v>3</v>
      </c>
      <c r="H41" s="606">
        <v>5</v>
      </c>
      <c r="I41" s="606">
        <v>4</v>
      </c>
      <c r="J41" s="606">
        <v>6</v>
      </c>
      <c r="K41" s="606">
        <v>7</v>
      </c>
      <c r="L41" s="608">
        <v>8</v>
      </c>
      <c r="M41" s="608">
        <v>9</v>
      </c>
      <c r="N41" s="608">
        <v>11</v>
      </c>
      <c r="O41" s="608">
        <v>12</v>
      </c>
      <c r="P41" s="608">
        <v>15</v>
      </c>
      <c r="Q41" s="608">
        <v>17</v>
      </c>
      <c r="R41" s="608">
        <v>18</v>
      </c>
      <c r="S41" s="608">
        <v>28</v>
      </c>
      <c r="T41" s="608">
        <v>0</v>
      </c>
      <c r="U41" s="608">
        <v>0</v>
      </c>
      <c r="V41" s="608">
        <v>0</v>
      </c>
      <c r="W41" s="608">
        <v>43</v>
      </c>
      <c r="X41" s="606">
        <v>9</v>
      </c>
      <c r="Y41" s="607">
        <v>41</v>
      </c>
      <c r="Z41" s="608">
        <v>29</v>
      </c>
      <c r="AA41" s="608">
        <v>20</v>
      </c>
      <c r="AB41" s="608">
        <v>29</v>
      </c>
      <c r="AC41" s="608">
        <v>15</v>
      </c>
    </row>
    <row r="42" spans="1:29" ht="10.5">
      <c r="A42" s="606" t="s">
        <v>189</v>
      </c>
      <c r="B42" s="606">
        <v>20</v>
      </c>
      <c r="C42" s="606">
        <v>20</v>
      </c>
      <c r="D42" s="608">
        <v>14</v>
      </c>
      <c r="E42" s="606" t="str">
        <f>"TR-COBRA-"&amp;$G$14</f>
        <v>TR-COBRA-09</v>
      </c>
      <c r="F42" s="606" t="s">
        <v>190</v>
      </c>
      <c r="G42" s="606">
        <v>3</v>
      </c>
      <c r="H42" s="606">
        <v>5</v>
      </c>
      <c r="I42" s="606">
        <v>4</v>
      </c>
      <c r="J42" s="606">
        <v>6</v>
      </c>
      <c r="K42" s="606">
        <v>7</v>
      </c>
      <c r="L42" s="608">
        <v>8</v>
      </c>
      <c r="M42" s="608">
        <v>9</v>
      </c>
      <c r="N42" s="608">
        <v>11</v>
      </c>
      <c r="O42" s="608">
        <v>12</v>
      </c>
      <c r="P42" s="608">
        <v>15</v>
      </c>
      <c r="Q42" s="608">
        <v>17</v>
      </c>
      <c r="R42" s="608">
        <v>18</v>
      </c>
      <c r="S42" s="608">
        <v>28</v>
      </c>
      <c r="T42" s="608">
        <v>0</v>
      </c>
      <c r="U42" s="608">
        <v>0</v>
      </c>
      <c r="V42" s="608">
        <v>0</v>
      </c>
      <c r="W42" s="608">
        <v>44</v>
      </c>
      <c r="X42" s="606">
        <v>9</v>
      </c>
      <c r="Y42" s="607">
        <v>41</v>
      </c>
      <c r="Z42" s="608">
        <v>29</v>
      </c>
      <c r="AA42" s="608">
        <v>20</v>
      </c>
      <c r="AB42" s="608">
        <v>29</v>
      </c>
      <c r="AC42" s="608">
        <v>15</v>
      </c>
    </row>
    <row r="43" spans="1:29" ht="10.5">
      <c r="A43" s="605" t="s">
        <v>191</v>
      </c>
      <c r="B43" s="605">
        <v>24</v>
      </c>
      <c r="C43" s="606">
        <v>20</v>
      </c>
      <c r="D43" s="606">
        <v>11</v>
      </c>
      <c r="E43" s="605" t="str">
        <f>"SA-"&amp;$G$14</f>
        <v>SA-09</v>
      </c>
      <c r="F43" s="605" t="s">
        <v>192</v>
      </c>
      <c r="G43" s="605">
        <v>3</v>
      </c>
      <c r="H43" s="606">
        <v>5</v>
      </c>
      <c r="I43" s="606">
        <v>4</v>
      </c>
      <c r="J43" s="605">
        <v>6</v>
      </c>
      <c r="K43" s="605">
        <v>7</v>
      </c>
      <c r="L43" s="605">
        <v>8</v>
      </c>
      <c r="M43" s="605">
        <v>10</v>
      </c>
      <c r="N43" s="605">
        <v>11</v>
      </c>
      <c r="O43" s="605">
        <v>14</v>
      </c>
      <c r="P43" s="605">
        <v>15</v>
      </c>
      <c r="Q43" s="605">
        <v>21</v>
      </c>
      <c r="R43" s="605">
        <v>0</v>
      </c>
      <c r="S43" s="605">
        <v>0</v>
      </c>
      <c r="T43" s="605">
        <v>0</v>
      </c>
      <c r="U43" s="605">
        <v>0</v>
      </c>
      <c r="V43" s="605">
        <v>0</v>
      </c>
      <c r="W43" s="606">
        <v>46</v>
      </c>
      <c r="X43" s="606">
        <v>9</v>
      </c>
      <c r="Y43" s="605">
        <v>45</v>
      </c>
      <c r="Z43" s="605">
        <v>22</v>
      </c>
      <c r="AA43" s="605">
        <v>22</v>
      </c>
      <c r="AB43" s="605">
        <v>22</v>
      </c>
      <c r="AC43" s="606">
        <v>14</v>
      </c>
    </row>
    <row r="44" spans="1:29" ht="10.5">
      <c r="A44" s="605" t="s">
        <v>193</v>
      </c>
      <c r="B44" s="605">
        <v>22</v>
      </c>
      <c r="C44" s="606">
        <v>20</v>
      </c>
      <c r="D44" s="606">
        <v>11</v>
      </c>
      <c r="E44" s="605" t="str">
        <f>"SA-TIBA-"&amp;$G$14</f>
        <v>SA-TIBA-09</v>
      </c>
      <c r="F44" s="605" t="s">
        <v>194</v>
      </c>
      <c r="G44" s="605">
        <v>3</v>
      </c>
      <c r="H44" s="606">
        <v>5</v>
      </c>
      <c r="I44" s="606">
        <v>4</v>
      </c>
      <c r="J44" s="605">
        <v>6</v>
      </c>
      <c r="K44" s="605">
        <v>7</v>
      </c>
      <c r="L44" s="605">
        <v>8</v>
      </c>
      <c r="M44" s="605">
        <v>10</v>
      </c>
      <c r="N44" s="605">
        <v>11</v>
      </c>
      <c r="O44" s="605">
        <v>14</v>
      </c>
      <c r="P44" s="605">
        <v>15</v>
      </c>
      <c r="Q44" s="605">
        <v>21</v>
      </c>
      <c r="R44" s="605">
        <v>0</v>
      </c>
      <c r="S44" s="605">
        <v>0</v>
      </c>
      <c r="T44" s="605">
        <v>0</v>
      </c>
      <c r="U44" s="605">
        <v>0</v>
      </c>
      <c r="V44" s="605">
        <v>0</v>
      </c>
      <c r="W44" s="606">
        <v>47</v>
      </c>
      <c r="X44" s="606">
        <v>9</v>
      </c>
      <c r="Y44" s="605">
        <v>43</v>
      </c>
      <c r="Z44" s="605">
        <v>22</v>
      </c>
      <c r="AA44" s="605">
        <v>20</v>
      </c>
      <c r="AB44" s="605">
        <v>22</v>
      </c>
      <c r="AC44" s="606">
        <v>14</v>
      </c>
    </row>
    <row r="45" spans="1:29" ht="10.5">
      <c r="A45" s="605" t="s">
        <v>195</v>
      </c>
      <c r="B45" s="605">
        <v>22</v>
      </c>
      <c r="C45" s="606">
        <v>20</v>
      </c>
      <c r="D45" s="606">
        <v>11</v>
      </c>
      <c r="E45" s="605" t="str">
        <f>"SA-ENECOR-"&amp;$G$14</f>
        <v>SA-ENECOR-09</v>
      </c>
      <c r="F45" s="605" t="s">
        <v>196</v>
      </c>
      <c r="G45" s="605">
        <v>3</v>
      </c>
      <c r="H45" s="606">
        <v>5</v>
      </c>
      <c r="I45" s="606">
        <v>4</v>
      </c>
      <c r="J45" s="605">
        <v>6</v>
      </c>
      <c r="K45" s="605">
        <v>7</v>
      </c>
      <c r="L45" s="605">
        <v>8</v>
      </c>
      <c r="M45" s="605">
        <v>10</v>
      </c>
      <c r="N45" s="605">
        <v>11</v>
      </c>
      <c r="O45" s="605">
        <v>14</v>
      </c>
      <c r="P45" s="605">
        <v>15</v>
      </c>
      <c r="Q45" s="605">
        <v>21</v>
      </c>
      <c r="R45" s="605">
        <v>0</v>
      </c>
      <c r="S45" s="605">
        <v>0</v>
      </c>
      <c r="T45" s="605">
        <v>0</v>
      </c>
      <c r="U45" s="605">
        <v>0</v>
      </c>
      <c r="V45" s="605">
        <v>0</v>
      </c>
      <c r="W45" s="606">
        <v>48</v>
      </c>
      <c r="X45" s="606">
        <v>9</v>
      </c>
      <c r="Y45" s="605">
        <v>43</v>
      </c>
      <c r="Z45" s="605">
        <v>22</v>
      </c>
      <c r="AA45" s="605">
        <v>20</v>
      </c>
      <c r="AB45" s="605">
        <v>22</v>
      </c>
      <c r="AC45" s="606">
        <v>14</v>
      </c>
    </row>
    <row r="46" spans="1:29" ht="10.5">
      <c r="A46" s="605" t="s">
        <v>197</v>
      </c>
      <c r="B46" s="605">
        <v>24</v>
      </c>
      <c r="C46" s="606">
        <v>20</v>
      </c>
      <c r="D46" s="606">
        <v>11</v>
      </c>
      <c r="E46" s="605" t="str">
        <f>"SA-INTESA3-"&amp;$G$14</f>
        <v>SA-INTESA3-09</v>
      </c>
      <c r="F46" s="605" t="s">
        <v>198</v>
      </c>
      <c r="G46" s="605">
        <v>3</v>
      </c>
      <c r="H46" s="606">
        <v>5</v>
      </c>
      <c r="I46" s="606">
        <v>4</v>
      </c>
      <c r="J46" s="605">
        <v>6</v>
      </c>
      <c r="K46" s="605">
        <v>7</v>
      </c>
      <c r="L46" s="605">
        <v>8</v>
      </c>
      <c r="M46" s="605">
        <v>10</v>
      </c>
      <c r="N46" s="605">
        <v>11</v>
      </c>
      <c r="O46" s="605">
        <v>14</v>
      </c>
      <c r="P46" s="605">
        <v>15</v>
      </c>
      <c r="Q46" s="605">
        <v>21</v>
      </c>
      <c r="R46" s="605">
        <v>0</v>
      </c>
      <c r="S46" s="605">
        <v>0</v>
      </c>
      <c r="T46" s="605">
        <v>0</v>
      </c>
      <c r="U46" s="605">
        <v>0</v>
      </c>
      <c r="V46" s="605">
        <v>0</v>
      </c>
      <c r="W46" s="606">
        <v>49</v>
      </c>
      <c r="X46" s="606">
        <v>9</v>
      </c>
      <c r="Y46" s="605">
        <v>45</v>
      </c>
      <c r="Z46" s="605">
        <v>22</v>
      </c>
      <c r="AA46" s="605">
        <v>22</v>
      </c>
      <c r="AB46" s="605">
        <v>22</v>
      </c>
      <c r="AC46" s="606">
        <v>14</v>
      </c>
    </row>
    <row r="47" spans="1:29" ht="10.5">
      <c r="A47" s="605" t="s">
        <v>199</v>
      </c>
      <c r="B47" s="605">
        <v>24</v>
      </c>
      <c r="C47" s="606">
        <v>20</v>
      </c>
      <c r="D47" s="606">
        <v>11</v>
      </c>
      <c r="E47" s="605" t="str">
        <f>"SA-INTESA4-"&amp;$G$14</f>
        <v>SA-INTESA4-09</v>
      </c>
      <c r="F47" s="605" t="s">
        <v>200</v>
      </c>
      <c r="G47" s="605">
        <v>3</v>
      </c>
      <c r="H47" s="606">
        <v>5</v>
      </c>
      <c r="I47" s="606">
        <v>4</v>
      </c>
      <c r="J47" s="605">
        <v>6</v>
      </c>
      <c r="K47" s="605">
        <v>7</v>
      </c>
      <c r="L47" s="605">
        <v>8</v>
      </c>
      <c r="M47" s="605">
        <v>10</v>
      </c>
      <c r="N47" s="605">
        <v>11</v>
      </c>
      <c r="O47" s="605">
        <v>14</v>
      </c>
      <c r="P47" s="605">
        <v>15</v>
      </c>
      <c r="Q47" s="605">
        <v>21</v>
      </c>
      <c r="R47" s="605">
        <v>0</v>
      </c>
      <c r="S47" s="605">
        <v>0</v>
      </c>
      <c r="T47" s="605">
        <v>0</v>
      </c>
      <c r="U47" s="605">
        <v>0</v>
      </c>
      <c r="V47" s="605">
        <v>0</v>
      </c>
      <c r="W47" s="606">
        <v>50</v>
      </c>
      <c r="X47" s="606">
        <v>9</v>
      </c>
      <c r="Y47" s="605">
        <v>45</v>
      </c>
      <c r="Z47" s="605">
        <v>22</v>
      </c>
      <c r="AA47" s="605">
        <v>22</v>
      </c>
      <c r="AB47" s="605">
        <v>22</v>
      </c>
      <c r="AC47" s="606">
        <v>14</v>
      </c>
    </row>
    <row r="48" spans="1:29" ht="10.5">
      <c r="A48" s="606" t="s">
        <v>201</v>
      </c>
      <c r="B48" s="605">
        <v>24</v>
      </c>
      <c r="C48" s="605">
        <v>20</v>
      </c>
      <c r="D48" s="606">
        <v>11</v>
      </c>
      <c r="E48" s="606" t="str">
        <f>"SA-TESA-"&amp;$G$14</f>
        <v>SA-TESA-09</v>
      </c>
      <c r="F48" s="606" t="s">
        <v>202</v>
      </c>
      <c r="G48" s="606">
        <v>3</v>
      </c>
      <c r="H48" s="606">
        <v>5</v>
      </c>
      <c r="I48" s="606">
        <v>4</v>
      </c>
      <c r="J48" s="606">
        <v>6</v>
      </c>
      <c r="K48" s="606">
        <v>7</v>
      </c>
      <c r="L48" s="606">
        <v>8</v>
      </c>
      <c r="M48" s="606">
        <v>10</v>
      </c>
      <c r="N48" s="606">
        <v>11</v>
      </c>
      <c r="O48" s="606">
        <v>14</v>
      </c>
      <c r="P48" s="606">
        <v>15</v>
      </c>
      <c r="Q48" s="605">
        <v>21</v>
      </c>
      <c r="R48" s="606">
        <v>0</v>
      </c>
      <c r="S48" s="606">
        <v>0</v>
      </c>
      <c r="T48" s="606">
        <v>0</v>
      </c>
      <c r="U48" s="606">
        <v>0</v>
      </c>
      <c r="V48" s="606">
        <v>0</v>
      </c>
      <c r="W48" s="606">
        <v>51</v>
      </c>
      <c r="X48" s="606">
        <v>9</v>
      </c>
      <c r="Y48" s="605">
        <v>45</v>
      </c>
      <c r="Z48" s="606">
        <v>22</v>
      </c>
      <c r="AA48" s="606">
        <v>22</v>
      </c>
      <c r="AB48" s="606">
        <v>22</v>
      </c>
      <c r="AC48" s="606">
        <v>14</v>
      </c>
    </row>
    <row r="49" spans="1:29" ht="10.5">
      <c r="A49" s="606" t="s">
        <v>203</v>
      </c>
      <c r="B49" s="605">
        <v>24</v>
      </c>
      <c r="C49" s="605">
        <v>20</v>
      </c>
      <c r="D49" s="606">
        <v>11</v>
      </c>
      <c r="E49" s="606" t="str">
        <f>"SA-CTM-"&amp;$G$14</f>
        <v>SA-CTM-09</v>
      </c>
      <c r="F49" s="606" t="s">
        <v>204</v>
      </c>
      <c r="G49" s="606">
        <v>3</v>
      </c>
      <c r="H49" s="606">
        <v>5</v>
      </c>
      <c r="I49" s="606">
        <v>4</v>
      </c>
      <c r="J49" s="606">
        <v>6</v>
      </c>
      <c r="K49" s="606">
        <v>7</v>
      </c>
      <c r="L49" s="606">
        <v>8</v>
      </c>
      <c r="M49" s="606">
        <v>10</v>
      </c>
      <c r="N49" s="606">
        <v>11</v>
      </c>
      <c r="O49" s="606">
        <v>14</v>
      </c>
      <c r="P49" s="606">
        <v>15</v>
      </c>
      <c r="Q49" s="605">
        <v>21</v>
      </c>
      <c r="R49" s="606">
        <v>0</v>
      </c>
      <c r="S49" s="606">
        <v>0</v>
      </c>
      <c r="T49" s="606">
        <v>0</v>
      </c>
      <c r="U49" s="606">
        <v>0</v>
      </c>
      <c r="V49" s="606">
        <v>0</v>
      </c>
      <c r="W49" s="606">
        <v>52</v>
      </c>
      <c r="X49" s="606">
        <v>9</v>
      </c>
      <c r="Y49" s="605">
        <v>45</v>
      </c>
      <c r="Z49" s="606">
        <v>22</v>
      </c>
      <c r="AA49" s="606">
        <v>22</v>
      </c>
      <c r="AB49" s="606">
        <v>22</v>
      </c>
      <c r="AC49" s="606">
        <v>14</v>
      </c>
    </row>
    <row r="50" spans="1:29" ht="10.5">
      <c r="A50" s="605" t="s">
        <v>205</v>
      </c>
      <c r="B50" s="605">
        <v>24</v>
      </c>
      <c r="C50" s="606">
        <v>20</v>
      </c>
      <c r="D50" s="606">
        <v>11</v>
      </c>
      <c r="E50" s="605" t="str">
        <f>"SA-LIMSA-"&amp;$G$14</f>
        <v>SA-LIMSA-09</v>
      </c>
      <c r="F50" s="605" t="s">
        <v>206</v>
      </c>
      <c r="G50" s="605">
        <v>3</v>
      </c>
      <c r="H50" s="606">
        <v>5</v>
      </c>
      <c r="I50" s="606">
        <v>4</v>
      </c>
      <c r="J50" s="605">
        <v>6</v>
      </c>
      <c r="K50" s="605">
        <v>7</v>
      </c>
      <c r="L50" s="605">
        <v>8</v>
      </c>
      <c r="M50" s="605">
        <v>10</v>
      </c>
      <c r="N50" s="605">
        <v>11</v>
      </c>
      <c r="O50" s="605">
        <v>14</v>
      </c>
      <c r="P50" s="605">
        <v>15</v>
      </c>
      <c r="Q50" s="605">
        <v>21</v>
      </c>
      <c r="R50" s="605">
        <v>0</v>
      </c>
      <c r="S50" s="605">
        <v>0</v>
      </c>
      <c r="T50" s="605">
        <v>0</v>
      </c>
      <c r="U50" s="605">
        <v>0</v>
      </c>
      <c r="V50" s="605">
        <v>0</v>
      </c>
      <c r="W50" s="606">
        <v>53</v>
      </c>
      <c r="X50" s="606">
        <v>9</v>
      </c>
      <c r="Y50" s="605">
        <v>45</v>
      </c>
      <c r="Z50" s="605">
        <v>22</v>
      </c>
      <c r="AA50" s="605">
        <v>22</v>
      </c>
      <c r="AB50" s="605">
        <v>22</v>
      </c>
      <c r="AC50" s="606">
        <v>14</v>
      </c>
    </row>
    <row r="51" spans="1:29" ht="10.5">
      <c r="A51" s="605" t="s">
        <v>207</v>
      </c>
      <c r="B51" s="605">
        <v>24</v>
      </c>
      <c r="C51" s="606">
        <v>20</v>
      </c>
      <c r="D51" s="606">
        <v>11</v>
      </c>
      <c r="E51" s="605" t="str">
        <f>"SA-LITSA-"&amp;$G$14</f>
        <v>SA-LITSA-09</v>
      </c>
      <c r="F51" s="605" t="s">
        <v>208</v>
      </c>
      <c r="G51" s="605">
        <v>3</v>
      </c>
      <c r="H51" s="606">
        <v>5</v>
      </c>
      <c r="I51" s="606">
        <v>4</v>
      </c>
      <c r="J51" s="605">
        <v>6</v>
      </c>
      <c r="K51" s="605">
        <v>7</v>
      </c>
      <c r="L51" s="605">
        <v>8</v>
      </c>
      <c r="M51" s="605">
        <v>10</v>
      </c>
      <c r="N51" s="605">
        <v>11</v>
      </c>
      <c r="O51" s="605">
        <v>14</v>
      </c>
      <c r="P51" s="605">
        <v>15</v>
      </c>
      <c r="Q51" s="605">
        <v>21</v>
      </c>
      <c r="R51" s="605">
        <v>0</v>
      </c>
      <c r="S51" s="605">
        <v>0</v>
      </c>
      <c r="T51" s="605">
        <v>0</v>
      </c>
      <c r="U51" s="605">
        <v>0</v>
      </c>
      <c r="V51" s="605">
        <v>0</v>
      </c>
      <c r="W51" s="606">
        <v>54</v>
      </c>
      <c r="X51" s="606">
        <v>9</v>
      </c>
      <c r="Y51" s="605">
        <v>45</v>
      </c>
      <c r="Z51" s="605">
        <v>22</v>
      </c>
      <c r="AA51" s="605">
        <v>22</v>
      </c>
      <c r="AB51" s="605">
        <v>22</v>
      </c>
      <c r="AC51" s="606">
        <v>14</v>
      </c>
    </row>
    <row r="52" spans="1:29" ht="10.5">
      <c r="A52" s="605" t="s">
        <v>209</v>
      </c>
      <c r="B52" s="605">
        <v>24</v>
      </c>
      <c r="C52" s="606">
        <v>20</v>
      </c>
      <c r="D52" s="606">
        <v>11</v>
      </c>
      <c r="E52" s="605" t="str">
        <f>"SA-LITS2-"&amp;$G$14</f>
        <v>SA-LITS2-09</v>
      </c>
      <c r="F52" s="605" t="s">
        <v>210</v>
      </c>
      <c r="G52" s="605">
        <v>3</v>
      </c>
      <c r="H52" s="606">
        <v>5</v>
      </c>
      <c r="I52" s="606">
        <v>4</v>
      </c>
      <c r="J52" s="605">
        <v>6</v>
      </c>
      <c r="K52" s="605">
        <v>7</v>
      </c>
      <c r="L52" s="605">
        <v>8</v>
      </c>
      <c r="M52" s="605">
        <v>10</v>
      </c>
      <c r="N52" s="605">
        <v>11</v>
      </c>
      <c r="O52" s="605">
        <v>14</v>
      </c>
      <c r="P52" s="605">
        <v>15</v>
      </c>
      <c r="Q52" s="605">
        <v>21</v>
      </c>
      <c r="R52" s="605">
        <v>0</v>
      </c>
      <c r="S52" s="605">
        <v>0</v>
      </c>
      <c r="T52" s="605">
        <v>0</v>
      </c>
      <c r="U52" s="605">
        <v>0</v>
      </c>
      <c r="V52" s="605">
        <v>0</v>
      </c>
      <c r="W52" s="606">
        <v>55</v>
      </c>
      <c r="X52" s="606">
        <v>9</v>
      </c>
      <c r="Y52" s="605">
        <v>45</v>
      </c>
      <c r="Z52" s="605">
        <v>22</v>
      </c>
      <c r="AA52" s="605">
        <v>22</v>
      </c>
      <c r="AB52" s="605">
        <v>22</v>
      </c>
      <c r="AC52" s="606">
        <v>14</v>
      </c>
    </row>
    <row r="53" spans="1:29" ht="10.5">
      <c r="A53" s="605" t="s">
        <v>211</v>
      </c>
      <c r="B53" s="605">
        <v>24</v>
      </c>
      <c r="C53" s="606">
        <v>20</v>
      </c>
      <c r="D53" s="606">
        <v>11</v>
      </c>
      <c r="E53" s="605" t="str">
        <f>"SA-LINSA-"&amp;$G$14</f>
        <v>SA-LINSA-09</v>
      </c>
      <c r="F53" s="605" t="s">
        <v>212</v>
      </c>
      <c r="G53" s="605">
        <v>3</v>
      </c>
      <c r="H53" s="606">
        <v>5</v>
      </c>
      <c r="I53" s="606">
        <v>4</v>
      </c>
      <c r="J53" s="605">
        <v>6</v>
      </c>
      <c r="K53" s="605">
        <v>7</v>
      </c>
      <c r="L53" s="605">
        <v>8</v>
      </c>
      <c r="M53" s="605">
        <v>10</v>
      </c>
      <c r="N53" s="605">
        <v>11</v>
      </c>
      <c r="O53" s="605">
        <v>14</v>
      </c>
      <c r="P53" s="605">
        <v>15</v>
      </c>
      <c r="Q53" s="605">
        <v>21</v>
      </c>
      <c r="R53" s="605">
        <v>0</v>
      </c>
      <c r="S53" s="605">
        <v>0</v>
      </c>
      <c r="T53" s="605">
        <v>0</v>
      </c>
      <c r="U53" s="605">
        <v>0</v>
      </c>
      <c r="V53" s="605">
        <v>0</v>
      </c>
      <c r="W53" s="606">
        <v>56</v>
      </c>
      <c r="X53" s="606">
        <v>9</v>
      </c>
      <c r="Y53" s="605">
        <v>45</v>
      </c>
      <c r="Z53" s="605">
        <v>22</v>
      </c>
      <c r="AA53" s="605">
        <v>22</v>
      </c>
      <c r="AB53" s="605">
        <v>22</v>
      </c>
      <c r="AC53" s="606">
        <v>14</v>
      </c>
    </row>
    <row r="54" spans="1:29" ht="10.5">
      <c r="A54" s="605" t="s">
        <v>213</v>
      </c>
      <c r="B54" s="605">
        <v>22</v>
      </c>
      <c r="C54" s="605">
        <v>20</v>
      </c>
      <c r="D54" s="605">
        <v>12</v>
      </c>
      <c r="E54" s="605" t="str">
        <f>"RE-"&amp;$G$14</f>
        <v>RE-09</v>
      </c>
      <c r="F54" s="605" t="s">
        <v>214</v>
      </c>
      <c r="G54" s="605">
        <v>3</v>
      </c>
      <c r="H54" s="606">
        <v>5</v>
      </c>
      <c r="I54" s="606">
        <v>4</v>
      </c>
      <c r="J54" s="605">
        <v>6</v>
      </c>
      <c r="K54" s="605">
        <v>7</v>
      </c>
      <c r="L54" s="605">
        <v>8</v>
      </c>
      <c r="M54" s="605">
        <v>10</v>
      </c>
      <c r="N54" s="605">
        <v>11</v>
      </c>
      <c r="O54" s="605">
        <v>14</v>
      </c>
      <c r="P54" s="605">
        <v>16</v>
      </c>
      <c r="Q54" s="605">
        <v>25</v>
      </c>
      <c r="R54" s="605">
        <v>15</v>
      </c>
      <c r="S54" s="605">
        <v>0</v>
      </c>
      <c r="T54" s="605">
        <v>0</v>
      </c>
      <c r="U54" s="605">
        <v>0</v>
      </c>
      <c r="V54" s="605">
        <v>0</v>
      </c>
      <c r="W54" s="606">
        <v>59</v>
      </c>
      <c r="X54" s="606">
        <v>9</v>
      </c>
      <c r="Y54" s="605">
        <v>43</v>
      </c>
      <c r="Z54" s="605">
        <v>26</v>
      </c>
      <c r="AA54" s="605">
        <v>20</v>
      </c>
      <c r="AB54" s="605">
        <v>23</v>
      </c>
      <c r="AC54" s="605">
        <v>14</v>
      </c>
    </row>
    <row r="55" spans="1:29" ht="10.5">
      <c r="A55" s="605" t="s">
        <v>215</v>
      </c>
      <c r="B55" s="605">
        <v>22</v>
      </c>
      <c r="C55" s="605">
        <v>20</v>
      </c>
      <c r="D55" s="605">
        <v>12</v>
      </c>
      <c r="E55" s="605" t="str">
        <f>"RE-YACY-"&amp;$G$14</f>
        <v>RE-YACY-09</v>
      </c>
      <c r="F55" s="605" t="s">
        <v>216</v>
      </c>
      <c r="G55" s="605">
        <v>3</v>
      </c>
      <c r="H55" s="606">
        <v>5</v>
      </c>
      <c r="I55" s="606">
        <v>4</v>
      </c>
      <c r="J55" s="605">
        <v>6</v>
      </c>
      <c r="K55" s="605">
        <v>7</v>
      </c>
      <c r="L55" s="605">
        <v>8</v>
      </c>
      <c r="M55" s="605">
        <v>10</v>
      </c>
      <c r="N55" s="605">
        <v>11</v>
      </c>
      <c r="O55" s="605">
        <v>14</v>
      </c>
      <c r="P55" s="605">
        <v>16</v>
      </c>
      <c r="Q55" s="605">
        <v>25</v>
      </c>
      <c r="R55" s="605">
        <v>15</v>
      </c>
      <c r="S55" s="605">
        <v>0</v>
      </c>
      <c r="T55" s="605">
        <v>0</v>
      </c>
      <c r="U55" s="605">
        <v>0</v>
      </c>
      <c r="V55" s="605">
        <v>0</v>
      </c>
      <c r="W55" s="606">
        <v>61</v>
      </c>
      <c r="X55" s="606">
        <v>9</v>
      </c>
      <c r="Y55" s="605">
        <v>43</v>
      </c>
      <c r="Z55" s="605">
        <v>26</v>
      </c>
      <c r="AA55" s="605">
        <v>20</v>
      </c>
      <c r="AB55" s="605">
        <v>23</v>
      </c>
      <c r="AC55" s="605">
        <v>14</v>
      </c>
    </row>
    <row r="56" spans="1:29" ht="10.5">
      <c r="A56" s="605" t="s">
        <v>217</v>
      </c>
      <c r="B56" s="605">
        <v>24</v>
      </c>
      <c r="C56" s="605">
        <v>20</v>
      </c>
      <c r="D56" s="605">
        <v>12</v>
      </c>
      <c r="E56" s="605" t="s">
        <v>217</v>
      </c>
      <c r="F56" s="605" t="s">
        <v>218</v>
      </c>
      <c r="G56" s="605">
        <v>3</v>
      </c>
      <c r="H56" s="606">
        <v>5</v>
      </c>
      <c r="I56" s="606">
        <v>4</v>
      </c>
      <c r="J56" s="605">
        <v>6</v>
      </c>
      <c r="K56" s="605">
        <v>7</v>
      </c>
      <c r="L56" s="605">
        <v>8</v>
      </c>
      <c r="M56" s="605">
        <v>10</v>
      </c>
      <c r="N56" s="605">
        <v>11</v>
      </c>
      <c r="O56" s="605">
        <v>14</v>
      </c>
      <c r="P56" s="605">
        <v>16</v>
      </c>
      <c r="Q56" s="605">
        <v>22</v>
      </c>
      <c r="R56" s="605">
        <v>15</v>
      </c>
      <c r="S56" s="605">
        <v>0</v>
      </c>
      <c r="T56" s="605">
        <v>0</v>
      </c>
      <c r="U56" s="605">
        <v>0</v>
      </c>
      <c r="V56" s="605">
        <v>0</v>
      </c>
      <c r="W56" s="606">
        <v>62</v>
      </c>
      <c r="X56" s="606">
        <v>9</v>
      </c>
      <c r="Y56" s="605">
        <v>45</v>
      </c>
      <c r="Z56" s="605">
        <v>24</v>
      </c>
      <c r="AA56" s="605">
        <v>22</v>
      </c>
      <c r="AB56" s="605">
        <v>24</v>
      </c>
      <c r="AC56" s="605">
        <v>15</v>
      </c>
    </row>
    <row r="57" spans="1:29" ht="10.5">
      <c r="A57" s="605" t="s">
        <v>219</v>
      </c>
      <c r="B57" s="605">
        <v>24</v>
      </c>
      <c r="C57" s="605">
        <v>20</v>
      </c>
      <c r="D57" s="605">
        <v>12</v>
      </c>
      <c r="E57" s="605" t="s">
        <v>219</v>
      </c>
      <c r="F57" s="605" t="s">
        <v>220</v>
      </c>
      <c r="G57" s="605">
        <v>3</v>
      </c>
      <c r="H57" s="606">
        <v>5</v>
      </c>
      <c r="I57" s="606">
        <v>4</v>
      </c>
      <c r="J57" s="605">
        <v>6</v>
      </c>
      <c r="K57" s="605">
        <v>7</v>
      </c>
      <c r="L57" s="605">
        <v>8</v>
      </c>
      <c r="M57" s="605">
        <v>10</v>
      </c>
      <c r="N57" s="605">
        <v>11</v>
      </c>
      <c r="O57" s="605">
        <v>14</v>
      </c>
      <c r="P57" s="605">
        <v>16</v>
      </c>
      <c r="Q57" s="605">
        <v>22</v>
      </c>
      <c r="R57" s="605">
        <v>15</v>
      </c>
      <c r="S57" s="605">
        <v>0</v>
      </c>
      <c r="T57" s="605">
        <v>0</v>
      </c>
      <c r="U57" s="605">
        <v>0</v>
      </c>
      <c r="V57" s="605">
        <v>0</v>
      </c>
      <c r="W57" s="606">
        <v>63</v>
      </c>
      <c r="X57" s="606">
        <v>9</v>
      </c>
      <c r="Y57" s="605">
        <v>45</v>
      </c>
      <c r="Z57" s="605">
        <v>24</v>
      </c>
      <c r="AA57" s="605">
        <v>22</v>
      </c>
      <c r="AB57" s="605">
        <v>24</v>
      </c>
      <c r="AC57" s="605">
        <v>15</v>
      </c>
    </row>
    <row r="58" spans="1:29" ht="10.5">
      <c r="A58" s="605" t="s">
        <v>221</v>
      </c>
      <c r="B58" s="605">
        <v>24</v>
      </c>
      <c r="C58" s="605">
        <v>20</v>
      </c>
      <c r="D58" s="605">
        <v>12</v>
      </c>
      <c r="E58" s="605" t="s">
        <v>221</v>
      </c>
      <c r="F58" s="605" t="s">
        <v>222</v>
      </c>
      <c r="G58" s="605">
        <v>3</v>
      </c>
      <c r="H58" s="606">
        <v>5</v>
      </c>
      <c r="I58" s="606">
        <v>4</v>
      </c>
      <c r="J58" s="605">
        <v>6</v>
      </c>
      <c r="K58" s="605">
        <v>7</v>
      </c>
      <c r="L58" s="605">
        <v>8</v>
      </c>
      <c r="M58" s="605">
        <v>10</v>
      </c>
      <c r="N58" s="605">
        <v>11</v>
      </c>
      <c r="O58" s="605">
        <v>14</v>
      </c>
      <c r="P58" s="605">
        <v>16</v>
      </c>
      <c r="Q58" s="605">
        <v>22</v>
      </c>
      <c r="R58" s="605">
        <v>15</v>
      </c>
      <c r="S58" s="605">
        <v>0</v>
      </c>
      <c r="T58" s="605">
        <v>0</v>
      </c>
      <c r="U58" s="605">
        <v>0</v>
      </c>
      <c r="V58" s="605">
        <v>0</v>
      </c>
      <c r="W58" s="606">
        <v>64</v>
      </c>
      <c r="X58" s="606">
        <v>9</v>
      </c>
      <c r="Y58" s="605">
        <v>45</v>
      </c>
      <c r="Z58" s="605">
        <v>24</v>
      </c>
      <c r="AA58" s="605">
        <v>22</v>
      </c>
      <c r="AB58" s="605">
        <v>24</v>
      </c>
      <c r="AC58" s="605">
        <v>15</v>
      </c>
    </row>
    <row r="59" spans="1:29" ht="10.5">
      <c r="A59" s="605" t="s">
        <v>223</v>
      </c>
      <c r="B59" s="605">
        <v>24</v>
      </c>
      <c r="C59" s="605">
        <v>20</v>
      </c>
      <c r="D59" s="605">
        <v>12</v>
      </c>
      <c r="E59" s="605" t="str">
        <f>"RE-LITSA-"&amp;$G$14</f>
        <v>RE-LITSA-09</v>
      </c>
      <c r="F59" s="605" t="s">
        <v>224</v>
      </c>
      <c r="G59" s="605">
        <v>3</v>
      </c>
      <c r="H59" s="606">
        <v>5</v>
      </c>
      <c r="I59" s="606">
        <v>4</v>
      </c>
      <c r="J59" s="605">
        <v>6</v>
      </c>
      <c r="K59" s="605">
        <v>7</v>
      </c>
      <c r="L59" s="605">
        <v>8</v>
      </c>
      <c r="M59" s="605">
        <v>10</v>
      </c>
      <c r="N59" s="605">
        <v>11</v>
      </c>
      <c r="O59" s="605">
        <v>14</v>
      </c>
      <c r="P59" s="605">
        <v>16</v>
      </c>
      <c r="Q59" s="605">
        <v>22</v>
      </c>
      <c r="R59" s="605">
        <v>15</v>
      </c>
      <c r="S59" s="605">
        <v>0</v>
      </c>
      <c r="T59" s="605">
        <v>0</v>
      </c>
      <c r="U59" s="605">
        <v>0</v>
      </c>
      <c r="V59" s="605">
        <v>0</v>
      </c>
      <c r="W59" s="606">
        <v>65</v>
      </c>
      <c r="X59" s="606">
        <v>9</v>
      </c>
      <c r="Y59" s="605">
        <v>45</v>
      </c>
      <c r="Z59" s="605">
        <v>24</v>
      </c>
      <c r="AA59" s="605">
        <v>22</v>
      </c>
      <c r="AB59" s="605">
        <v>24</v>
      </c>
      <c r="AC59" s="605">
        <v>15</v>
      </c>
    </row>
    <row r="60" spans="1:29" ht="10.5">
      <c r="A60" s="605" t="s">
        <v>225</v>
      </c>
      <c r="B60" s="605">
        <v>24</v>
      </c>
      <c r="C60" s="605">
        <v>20</v>
      </c>
      <c r="D60" s="605">
        <v>12</v>
      </c>
      <c r="E60" s="605" t="str">
        <f>"RE-LITS2-"&amp;$G$14</f>
        <v>RE-LITS2-09</v>
      </c>
      <c r="F60" s="605" t="s">
        <v>226</v>
      </c>
      <c r="G60" s="605">
        <v>3</v>
      </c>
      <c r="H60" s="606">
        <v>5</v>
      </c>
      <c r="I60" s="606">
        <v>4</v>
      </c>
      <c r="J60" s="605">
        <v>6</v>
      </c>
      <c r="K60" s="605">
        <v>7</v>
      </c>
      <c r="L60" s="605">
        <v>8</v>
      </c>
      <c r="M60" s="605">
        <v>10</v>
      </c>
      <c r="N60" s="605">
        <v>11</v>
      </c>
      <c r="O60" s="605">
        <v>14</v>
      </c>
      <c r="P60" s="605">
        <v>16</v>
      </c>
      <c r="Q60" s="605">
        <v>22</v>
      </c>
      <c r="R60" s="605">
        <v>15</v>
      </c>
      <c r="S60" s="605">
        <v>0</v>
      </c>
      <c r="T60" s="605">
        <v>0</v>
      </c>
      <c r="U60" s="605">
        <v>0</v>
      </c>
      <c r="V60" s="605">
        <v>0</v>
      </c>
      <c r="W60" s="606">
        <v>66</v>
      </c>
      <c r="X60" s="606">
        <v>9</v>
      </c>
      <c r="Y60" s="605">
        <v>45</v>
      </c>
      <c r="Z60" s="605">
        <v>24</v>
      </c>
      <c r="AA60" s="605">
        <v>22</v>
      </c>
      <c r="AB60" s="605">
        <v>24</v>
      </c>
      <c r="AC60" s="605">
        <v>15</v>
      </c>
    </row>
    <row r="61" spans="1:29" ht="10.5">
      <c r="A61" s="605" t="s">
        <v>227</v>
      </c>
      <c r="B61" s="605">
        <v>24</v>
      </c>
      <c r="C61" s="605">
        <v>20</v>
      </c>
      <c r="D61" s="605">
        <v>12</v>
      </c>
      <c r="E61" s="605" t="str">
        <f>"RE-LINSA-"&amp;$G$14</f>
        <v>RE-LINSA-09</v>
      </c>
      <c r="F61" s="605" t="s">
        <v>228</v>
      </c>
      <c r="G61" s="605">
        <v>3</v>
      </c>
      <c r="H61" s="606">
        <v>5</v>
      </c>
      <c r="I61" s="606">
        <v>4</v>
      </c>
      <c r="J61" s="605">
        <v>6</v>
      </c>
      <c r="K61" s="605">
        <v>7</v>
      </c>
      <c r="L61" s="605">
        <v>8</v>
      </c>
      <c r="M61" s="605">
        <v>10</v>
      </c>
      <c r="N61" s="605">
        <v>11</v>
      </c>
      <c r="O61" s="605">
        <v>14</v>
      </c>
      <c r="P61" s="605">
        <v>16</v>
      </c>
      <c r="Q61" s="605">
        <v>22</v>
      </c>
      <c r="R61" s="605">
        <v>15</v>
      </c>
      <c r="S61" s="605">
        <v>0</v>
      </c>
      <c r="T61" s="605">
        <v>0</v>
      </c>
      <c r="U61" s="605">
        <v>0</v>
      </c>
      <c r="V61" s="605">
        <v>0</v>
      </c>
      <c r="W61" s="606">
        <v>67</v>
      </c>
      <c r="X61" s="606">
        <v>9</v>
      </c>
      <c r="Y61" s="605">
        <v>45</v>
      </c>
      <c r="Z61" s="605">
        <v>24</v>
      </c>
      <c r="AA61" s="605">
        <v>22</v>
      </c>
      <c r="AB61" s="605">
        <v>24</v>
      </c>
      <c r="AC61" s="605">
        <v>15</v>
      </c>
    </row>
    <row r="62" spans="1:29" ht="10.5">
      <c r="A62" s="605" t="s">
        <v>229</v>
      </c>
      <c r="B62" s="605">
        <v>22</v>
      </c>
      <c r="C62" s="605">
        <v>20</v>
      </c>
      <c r="D62" s="605">
        <v>12</v>
      </c>
      <c r="E62" s="605" t="str">
        <f>"RE-IV-"&amp;$G$14</f>
        <v>RE-IV-09</v>
      </c>
      <c r="F62" s="605" t="s">
        <v>230</v>
      </c>
      <c r="G62" s="605">
        <v>3</v>
      </c>
      <c r="H62" s="606">
        <v>5</v>
      </c>
      <c r="I62" s="606">
        <v>4</v>
      </c>
      <c r="J62" s="605">
        <v>6</v>
      </c>
      <c r="K62" s="605">
        <v>7</v>
      </c>
      <c r="L62" s="605">
        <v>8</v>
      </c>
      <c r="M62" s="605">
        <v>10</v>
      </c>
      <c r="N62" s="605">
        <v>11</v>
      </c>
      <c r="O62" s="605">
        <v>14</v>
      </c>
      <c r="P62" s="605">
        <v>16</v>
      </c>
      <c r="Q62" s="605">
        <v>22</v>
      </c>
      <c r="R62" s="605">
        <v>15</v>
      </c>
      <c r="S62" s="605">
        <v>0</v>
      </c>
      <c r="T62" s="605">
        <v>0</v>
      </c>
      <c r="U62" s="605">
        <v>0</v>
      </c>
      <c r="V62" s="605">
        <v>0</v>
      </c>
      <c r="W62" s="606">
        <v>68</v>
      </c>
      <c r="X62" s="605">
        <v>9</v>
      </c>
      <c r="Y62" s="605">
        <v>43</v>
      </c>
      <c r="Z62" s="605">
        <v>24</v>
      </c>
      <c r="AA62" s="605">
        <v>20</v>
      </c>
      <c r="AB62" s="605">
        <v>23</v>
      </c>
      <c r="AC62" s="605">
        <v>14</v>
      </c>
    </row>
    <row r="63" spans="1:29" ht="10.5">
      <c r="A63" s="605" t="s">
        <v>231</v>
      </c>
      <c r="B63" s="605">
        <v>22</v>
      </c>
      <c r="C63" s="605">
        <v>20</v>
      </c>
      <c r="D63" s="605">
        <v>12</v>
      </c>
      <c r="E63" s="605" t="str">
        <f>"RE-LIMSA-"&amp;$G$14</f>
        <v>RE-LIMSA-09</v>
      </c>
      <c r="F63" s="605" t="s">
        <v>232</v>
      </c>
      <c r="G63" s="605">
        <v>3</v>
      </c>
      <c r="H63" s="606">
        <v>5</v>
      </c>
      <c r="I63" s="606">
        <v>4</v>
      </c>
      <c r="J63" s="605">
        <v>6</v>
      </c>
      <c r="K63" s="605">
        <v>7</v>
      </c>
      <c r="L63" s="605">
        <v>8</v>
      </c>
      <c r="M63" s="605">
        <v>10</v>
      </c>
      <c r="N63" s="605">
        <v>11</v>
      </c>
      <c r="O63" s="605">
        <v>14</v>
      </c>
      <c r="P63" s="605">
        <v>16</v>
      </c>
      <c r="Q63" s="605">
        <v>25</v>
      </c>
      <c r="R63" s="605">
        <v>15</v>
      </c>
      <c r="S63" s="605">
        <v>0</v>
      </c>
      <c r="T63" s="605">
        <v>0</v>
      </c>
      <c r="U63" s="605">
        <v>0</v>
      </c>
      <c r="V63" s="605">
        <v>0</v>
      </c>
      <c r="W63" s="606">
        <v>69</v>
      </c>
      <c r="X63" s="606">
        <v>9</v>
      </c>
      <c r="Y63" s="605">
        <v>43</v>
      </c>
      <c r="Z63" s="605">
        <v>26</v>
      </c>
      <c r="AA63" s="605">
        <v>20</v>
      </c>
      <c r="AB63" s="605">
        <v>23</v>
      </c>
      <c r="AC63" s="605">
        <v>14</v>
      </c>
    </row>
    <row r="64" spans="1:29" ht="10.5">
      <c r="A64" s="609" t="s">
        <v>233</v>
      </c>
      <c r="B64" s="610">
        <v>32</v>
      </c>
      <c r="C64" s="610">
        <v>25</v>
      </c>
      <c r="D64" s="610">
        <v>11</v>
      </c>
      <c r="E64" s="609" t="s">
        <v>233</v>
      </c>
      <c r="F64" s="610" t="s">
        <v>144</v>
      </c>
      <c r="G64" s="610">
        <v>0</v>
      </c>
      <c r="H64" s="610">
        <v>0</v>
      </c>
      <c r="I64" s="610">
        <v>0</v>
      </c>
      <c r="J64" s="610">
        <v>4</v>
      </c>
      <c r="K64" s="610">
        <v>5</v>
      </c>
      <c r="L64" s="610">
        <v>6</v>
      </c>
      <c r="M64" s="610">
        <v>7</v>
      </c>
      <c r="N64" s="610">
        <v>10</v>
      </c>
      <c r="O64" s="610">
        <v>11</v>
      </c>
      <c r="P64" s="610">
        <v>14</v>
      </c>
      <c r="Q64" s="610">
        <v>17</v>
      </c>
      <c r="R64" s="610">
        <v>28</v>
      </c>
      <c r="S64" s="610">
        <v>0</v>
      </c>
      <c r="T64" s="610">
        <v>0</v>
      </c>
      <c r="U64" s="610">
        <v>0</v>
      </c>
      <c r="V64" s="610">
        <v>0</v>
      </c>
      <c r="W64" s="610">
        <v>0</v>
      </c>
      <c r="X64" s="610">
        <v>0</v>
      </c>
      <c r="Y64" s="610">
        <v>0</v>
      </c>
      <c r="Z64" s="610">
        <v>0</v>
      </c>
      <c r="AA64" s="610">
        <v>0</v>
      </c>
      <c r="AB64" s="610">
        <v>0</v>
      </c>
      <c r="AC64" s="610">
        <v>0</v>
      </c>
    </row>
    <row r="65" spans="1:29" s="611" customFormat="1" ht="10.5">
      <c r="A65" s="609" t="s">
        <v>233</v>
      </c>
      <c r="B65" s="609">
        <v>70</v>
      </c>
      <c r="C65" s="609">
        <v>4</v>
      </c>
      <c r="D65" s="609">
        <v>11</v>
      </c>
      <c r="E65" s="609" t="s">
        <v>233</v>
      </c>
      <c r="F65" s="610" t="s">
        <v>216</v>
      </c>
      <c r="G65" s="609">
        <v>0</v>
      </c>
      <c r="H65" s="609">
        <v>0</v>
      </c>
      <c r="I65" s="609">
        <v>0</v>
      </c>
      <c r="J65" s="609">
        <v>4</v>
      </c>
      <c r="K65" s="609">
        <v>5</v>
      </c>
      <c r="L65" s="609">
        <v>6</v>
      </c>
      <c r="M65" s="609">
        <v>10</v>
      </c>
      <c r="N65" s="609">
        <v>11</v>
      </c>
      <c r="O65" s="609">
        <v>14</v>
      </c>
      <c r="P65" s="609">
        <v>16</v>
      </c>
      <c r="Q65" s="609">
        <v>28</v>
      </c>
      <c r="R65" s="609">
        <v>0</v>
      </c>
      <c r="S65" s="609">
        <v>0</v>
      </c>
      <c r="T65" s="609">
        <v>0</v>
      </c>
      <c r="U65" s="609">
        <v>0</v>
      </c>
      <c r="V65" s="609">
        <v>0</v>
      </c>
      <c r="W65" s="609">
        <v>0</v>
      </c>
      <c r="X65" s="609">
        <v>0</v>
      </c>
      <c r="Y65" s="609">
        <v>0</v>
      </c>
      <c r="Z65" s="609">
        <v>0</v>
      </c>
      <c r="AA65" s="609">
        <v>0</v>
      </c>
      <c r="AB65" s="609">
        <v>0</v>
      </c>
      <c r="AC65" s="609">
        <v>0</v>
      </c>
    </row>
    <row r="66" spans="1:29" ht="10.5">
      <c r="A66" s="609" t="s">
        <v>234</v>
      </c>
      <c r="B66" s="610">
        <v>90</v>
      </c>
      <c r="C66" s="610">
        <v>10</v>
      </c>
      <c r="D66" s="612">
        <v>12</v>
      </c>
      <c r="E66" s="609" t="s">
        <v>234</v>
      </c>
      <c r="F66" s="610" t="s">
        <v>208</v>
      </c>
      <c r="G66" s="610">
        <v>0</v>
      </c>
      <c r="H66" s="610">
        <v>0</v>
      </c>
      <c r="I66" s="610">
        <v>0</v>
      </c>
      <c r="J66" s="610">
        <v>4</v>
      </c>
      <c r="K66" s="610">
        <v>5</v>
      </c>
      <c r="L66" s="610">
        <v>6</v>
      </c>
      <c r="M66" s="610">
        <v>10</v>
      </c>
      <c r="N66" s="610">
        <v>11</v>
      </c>
      <c r="O66" s="610">
        <v>14</v>
      </c>
      <c r="P66" s="610">
        <v>15</v>
      </c>
      <c r="Q66" s="610">
        <v>28</v>
      </c>
      <c r="R66" s="610">
        <v>0</v>
      </c>
      <c r="S66" s="610">
        <v>0</v>
      </c>
      <c r="T66" s="610">
        <v>0</v>
      </c>
      <c r="U66" s="610">
        <v>0</v>
      </c>
      <c r="V66" s="610">
        <v>0</v>
      </c>
      <c r="W66" s="610">
        <v>0</v>
      </c>
      <c r="X66" s="610">
        <v>0</v>
      </c>
      <c r="Y66" s="610">
        <v>0</v>
      </c>
      <c r="Z66" s="610">
        <v>0</v>
      </c>
      <c r="AA66" s="610">
        <v>0</v>
      </c>
      <c r="AB66" s="610">
        <v>0</v>
      </c>
      <c r="AC66" s="610">
        <v>0</v>
      </c>
    </row>
    <row r="67" spans="1:29" ht="10.5">
      <c r="A67" s="609" t="s">
        <v>234</v>
      </c>
      <c r="B67" s="610">
        <v>61</v>
      </c>
      <c r="C67" s="610">
        <v>24</v>
      </c>
      <c r="D67" s="612">
        <v>12</v>
      </c>
      <c r="E67" s="609" t="s">
        <v>234</v>
      </c>
      <c r="F67" s="610" t="s">
        <v>170</v>
      </c>
      <c r="G67" s="610">
        <v>0</v>
      </c>
      <c r="H67" s="610">
        <v>0</v>
      </c>
      <c r="I67" s="610">
        <v>0</v>
      </c>
      <c r="J67" s="610">
        <v>4</v>
      </c>
      <c r="K67" s="610">
        <v>5</v>
      </c>
      <c r="L67" s="610">
        <v>6</v>
      </c>
      <c r="M67" s="610">
        <v>8</v>
      </c>
      <c r="N67" s="610">
        <v>9</v>
      </c>
      <c r="O67" s="610">
        <v>10</v>
      </c>
      <c r="P67" s="610">
        <v>13</v>
      </c>
      <c r="Q67" s="610">
        <v>15</v>
      </c>
      <c r="R67" s="610">
        <v>16</v>
      </c>
      <c r="S67" s="610">
        <v>0</v>
      </c>
      <c r="T67" s="610">
        <v>0</v>
      </c>
      <c r="U67" s="610">
        <v>0</v>
      </c>
      <c r="V67" s="610">
        <v>0</v>
      </c>
      <c r="W67" s="610">
        <v>0</v>
      </c>
      <c r="X67" s="610">
        <v>0</v>
      </c>
      <c r="Y67" s="610">
        <v>0</v>
      </c>
      <c r="Z67" s="610">
        <v>0</v>
      </c>
      <c r="AA67" s="610">
        <v>0</v>
      </c>
      <c r="AB67" s="610">
        <v>0</v>
      </c>
      <c r="AC67" s="610">
        <v>0</v>
      </c>
    </row>
    <row r="68" spans="1:29" ht="10.5">
      <c r="A68" s="609" t="s">
        <v>234</v>
      </c>
      <c r="B68" s="610">
        <v>32</v>
      </c>
      <c r="C68" s="610">
        <v>24</v>
      </c>
      <c r="D68" s="610">
        <v>11</v>
      </c>
      <c r="E68" s="609" t="s">
        <v>234</v>
      </c>
      <c r="F68" s="610" t="s">
        <v>146</v>
      </c>
      <c r="G68" s="610">
        <v>0</v>
      </c>
      <c r="H68" s="610">
        <v>0</v>
      </c>
      <c r="I68" s="610">
        <v>0</v>
      </c>
      <c r="J68" s="610">
        <v>4</v>
      </c>
      <c r="K68" s="610">
        <v>5</v>
      </c>
      <c r="L68" s="610">
        <v>6</v>
      </c>
      <c r="M68" s="610">
        <v>7</v>
      </c>
      <c r="N68" s="610">
        <v>10</v>
      </c>
      <c r="O68" s="610">
        <v>11</v>
      </c>
      <c r="P68" s="610">
        <v>14</v>
      </c>
      <c r="Q68" s="610">
        <v>17</v>
      </c>
      <c r="R68" s="610">
        <v>28</v>
      </c>
      <c r="S68" s="610">
        <v>0</v>
      </c>
      <c r="T68" s="610">
        <v>0</v>
      </c>
      <c r="U68" s="610">
        <v>0</v>
      </c>
      <c r="V68" s="610">
        <v>0</v>
      </c>
      <c r="W68" s="610">
        <v>0</v>
      </c>
      <c r="X68" s="610">
        <v>0</v>
      </c>
      <c r="Y68" s="610">
        <v>0</v>
      </c>
      <c r="Z68" s="610">
        <v>0</v>
      </c>
      <c r="AA68" s="610">
        <v>0</v>
      </c>
      <c r="AB68" s="610">
        <v>0</v>
      </c>
      <c r="AC68" s="610">
        <v>0</v>
      </c>
    </row>
    <row r="69" spans="1:29" s="611" customFormat="1" ht="10.5">
      <c r="A69" s="609" t="s">
        <v>234</v>
      </c>
      <c r="B69" s="609">
        <v>105</v>
      </c>
      <c r="C69" s="609">
        <v>8</v>
      </c>
      <c r="D69" s="609">
        <v>11</v>
      </c>
      <c r="E69" s="609" t="s">
        <v>234</v>
      </c>
      <c r="F69" s="610" t="s">
        <v>224</v>
      </c>
      <c r="G69" s="609">
        <v>0</v>
      </c>
      <c r="H69" s="609">
        <v>0</v>
      </c>
      <c r="I69" s="609">
        <v>0</v>
      </c>
      <c r="J69" s="609">
        <v>4</v>
      </c>
      <c r="K69" s="609">
        <v>5</v>
      </c>
      <c r="L69" s="609">
        <v>6</v>
      </c>
      <c r="M69" s="609">
        <v>10</v>
      </c>
      <c r="N69" s="609">
        <v>11</v>
      </c>
      <c r="O69" s="609">
        <v>14</v>
      </c>
      <c r="P69" s="609">
        <v>16</v>
      </c>
      <c r="Q69" s="609">
        <v>28</v>
      </c>
      <c r="R69" s="609">
        <v>0</v>
      </c>
      <c r="S69" s="609">
        <v>0</v>
      </c>
      <c r="T69" s="609">
        <v>0</v>
      </c>
      <c r="U69" s="609">
        <v>0</v>
      </c>
      <c r="V69" s="609">
        <v>0</v>
      </c>
      <c r="W69" s="609">
        <v>0</v>
      </c>
      <c r="X69" s="609">
        <v>0</v>
      </c>
      <c r="Y69" s="609">
        <v>0</v>
      </c>
      <c r="Z69" s="609">
        <v>0</v>
      </c>
      <c r="AA69" s="609">
        <v>0</v>
      </c>
      <c r="AB69" s="609">
        <v>0</v>
      </c>
      <c r="AC69" s="609">
        <v>0</v>
      </c>
    </row>
    <row r="70" spans="1:29" ht="10.5">
      <c r="A70" s="609" t="s">
        <v>235</v>
      </c>
      <c r="B70" s="610">
        <v>90</v>
      </c>
      <c r="C70" s="610">
        <v>10</v>
      </c>
      <c r="D70" s="612">
        <v>12</v>
      </c>
      <c r="E70" s="609" t="s">
        <v>235</v>
      </c>
      <c r="F70" s="610" t="s">
        <v>210</v>
      </c>
      <c r="G70" s="610">
        <v>0</v>
      </c>
      <c r="H70" s="610">
        <v>0</v>
      </c>
      <c r="I70" s="610">
        <v>0</v>
      </c>
      <c r="J70" s="610">
        <v>4</v>
      </c>
      <c r="K70" s="610">
        <v>5</v>
      </c>
      <c r="L70" s="610">
        <v>6</v>
      </c>
      <c r="M70" s="610">
        <v>10</v>
      </c>
      <c r="N70" s="610">
        <v>11</v>
      </c>
      <c r="O70" s="610">
        <v>14</v>
      </c>
      <c r="P70" s="610">
        <v>15</v>
      </c>
      <c r="Q70" s="610">
        <v>28</v>
      </c>
      <c r="R70" s="610">
        <v>0</v>
      </c>
      <c r="S70" s="610">
        <v>0</v>
      </c>
      <c r="T70" s="610">
        <v>0</v>
      </c>
      <c r="U70" s="610">
        <v>0</v>
      </c>
      <c r="V70" s="610">
        <v>0</v>
      </c>
      <c r="W70" s="610">
        <v>0</v>
      </c>
      <c r="X70" s="610">
        <v>0</v>
      </c>
      <c r="Y70" s="610">
        <v>0</v>
      </c>
      <c r="Z70" s="610">
        <v>0</v>
      </c>
      <c r="AA70" s="610">
        <v>0</v>
      </c>
      <c r="AB70" s="610">
        <v>0</v>
      </c>
      <c r="AC70" s="610">
        <v>0</v>
      </c>
    </row>
    <row r="71" spans="1:29" ht="10.5">
      <c r="A71" s="609" t="s">
        <v>235</v>
      </c>
      <c r="B71" s="610">
        <v>61</v>
      </c>
      <c r="C71" s="610">
        <v>24</v>
      </c>
      <c r="D71" s="612">
        <v>12</v>
      </c>
      <c r="E71" s="609" t="s">
        <v>235</v>
      </c>
      <c r="F71" s="610" t="s">
        <v>172</v>
      </c>
      <c r="G71" s="610">
        <v>0</v>
      </c>
      <c r="H71" s="610">
        <v>0</v>
      </c>
      <c r="I71" s="610">
        <v>0</v>
      </c>
      <c r="J71" s="610">
        <v>4</v>
      </c>
      <c r="K71" s="610">
        <v>5</v>
      </c>
      <c r="L71" s="610">
        <v>6</v>
      </c>
      <c r="M71" s="610">
        <v>8</v>
      </c>
      <c r="N71" s="610">
        <v>9</v>
      </c>
      <c r="O71" s="610">
        <v>10</v>
      </c>
      <c r="P71" s="610">
        <v>13</v>
      </c>
      <c r="Q71" s="610">
        <v>15</v>
      </c>
      <c r="R71" s="610">
        <v>16</v>
      </c>
      <c r="S71" s="610">
        <v>0</v>
      </c>
      <c r="T71" s="610">
        <v>0</v>
      </c>
      <c r="U71" s="610">
        <v>0</v>
      </c>
      <c r="V71" s="610">
        <v>0</v>
      </c>
      <c r="W71" s="610">
        <v>0</v>
      </c>
      <c r="X71" s="610">
        <v>0</v>
      </c>
      <c r="Y71" s="610">
        <v>0</v>
      </c>
      <c r="Z71" s="610">
        <v>0</v>
      </c>
      <c r="AA71" s="610">
        <v>0</v>
      </c>
      <c r="AB71" s="610">
        <v>0</v>
      </c>
      <c r="AC71" s="610">
        <v>0</v>
      </c>
    </row>
    <row r="72" spans="1:29" ht="10.5">
      <c r="A72" s="609" t="s">
        <v>235</v>
      </c>
      <c r="B72" s="610">
        <v>32</v>
      </c>
      <c r="C72" s="610">
        <v>24</v>
      </c>
      <c r="D72" s="610">
        <v>11</v>
      </c>
      <c r="E72" s="609" t="s">
        <v>235</v>
      </c>
      <c r="F72" s="610" t="s">
        <v>148</v>
      </c>
      <c r="G72" s="610">
        <v>0</v>
      </c>
      <c r="H72" s="610">
        <v>0</v>
      </c>
      <c r="I72" s="610">
        <v>0</v>
      </c>
      <c r="J72" s="610">
        <v>4</v>
      </c>
      <c r="K72" s="610">
        <v>5</v>
      </c>
      <c r="L72" s="610">
        <v>6</v>
      </c>
      <c r="M72" s="610">
        <v>7</v>
      </c>
      <c r="N72" s="610">
        <v>10</v>
      </c>
      <c r="O72" s="610">
        <v>11</v>
      </c>
      <c r="P72" s="610">
        <v>14</v>
      </c>
      <c r="Q72" s="610">
        <v>17</v>
      </c>
      <c r="R72" s="610">
        <v>28</v>
      </c>
      <c r="S72" s="610">
        <v>0</v>
      </c>
      <c r="T72" s="610">
        <v>0</v>
      </c>
      <c r="U72" s="610">
        <v>0</v>
      </c>
      <c r="V72" s="610">
        <v>0</v>
      </c>
      <c r="W72" s="610">
        <v>0</v>
      </c>
      <c r="X72" s="610">
        <v>0</v>
      </c>
      <c r="Y72" s="610">
        <v>0</v>
      </c>
      <c r="Z72" s="610">
        <v>0</v>
      </c>
      <c r="AA72" s="610">
        <v>0</v>
      </c>
      <c r="AB72" s="610">
        <v>0</v>
      </c>
      <c r="AC72" s="610">
        <v>0</v>
      </c>
    </row>
    <row r="73" spans="1:29" s="611" customFormat="1" ht="10.5">
      <c r="A73" s="609" t="s">
        <v>235</v>
      </c>
      <c r="B73" s="609">
        <v>105</v>
      </c>
      <c r="C73" s="609">
        <v>8</v>
      </c>
      <c r="D73" s="609">
        <v>11</v>
      </c>
      <c r="E73" s="609" t="s">
        <v>235</v>
      </c>
      <c r="F73" s="610" t="s">
        <v>226</v>
      </c>
      <c r="G73" s="609">
        <v>0</v>
      </c>
      <c r="H73" s="609">
        <v>0</v>
      </c>
      <c r="I73" s="609">
        <v>0</v>
      </c>
      <c r="J73" s="609">
        <v>4</v>
      </c>
      <c r="K73" s="609">
        <v>5</v>
      </c>
      <c r="L73" s="609">
        <v>6</v>
      </c>
      <c r="M73" s="609">
        <v>10</v>
      </c>
      <c r="N73" s="609">
        <v>11</v>
      </c>
      <c r="O73" s="609">
        <v>14</v>
      </c>
      <c r="P73" s="609">
        <v>16</v>
      </c>
      <c r="Q73" s="609">
        <v>28</v>
      </c>
      <c r="R73" s="609">
        <v>0</v>
      </c>
      <c r="S73" s="609">
        <v>0</v>
      </c>
      <c r="T73" s="609">
        <v>0</v>
      </c>
      <c r="U73" s="609">
        <v>0</v>
      </c>
      <c r="V73" s="609">
        <v>0</v>
      </c>
      <c r="W73" s="609">
        <v>0</v>
      </c>
      <c r="X73" s="609">
        <v>0</v>
      </c>
      <c r="Y73" s="609">
        <v>0</v>
      </c>
      <c r="Z73" s="609">
        <v>0</v>
      </c>
      <c r="AA73" s="609">
        <v>0</v>
      </c>
      <c r="AB73" s="609">
        <v>0</v>
      </c>
      <c r="AC73" s="609">
        <v>0</v>
      </c>
    </row>
    <row r="74" spans="1:29" ht="10.5">
      <c r="A74" s="609" t="s">
        <v>236</v>
      </c>
      <c r="B74" s="610">
        <v>60</v>
      </c>
      <c r="C74" s="610">
        <v>36</v>
      </c>
      <c r="D74" s="610">
        <v>9</v>
      </c>
      <c r="E74" s="609" t="s">
        <v>236</v>
      </c>
      <c r="F74" s="610" t="s">
        <v>194</v>
      </c>
      <c r="G74" s="610">
        <v>0</v>
      </c>
      <c r="H74" s="610">
        <v>0</v>
      </c>
      <c r="I74" s="610">
        <v>0</v>
      </c>
      <c r="J74" s="610">
        <v>4</v>
      </c>
      <c r="K74" s="610">
        <v>5</v>
      </c>
      <c r="L74" s="610">
        <v>7</v>
      </c>
      <c r="M74" s="610">
        <v>9</v>
      </c>
      <c r="N74" s="610">
        <v>10</v>
      </c>
      <c r="O74" s="610">
        <v>13</v>
      </c>
      <c r="P74" s="610">
        <v>14</v>
      </c>
      <c r="Q74" s="610">
        <v>21</v>
      </c>
      <c r="R74" s="610">
        <v>0</v>
      </c>
      <c r="S74" s="610">
        <v>0</v>
      </c>
      <c r="T74" s="610">
        <v>0</v>
      </c>
      <c r="U74" s="610">
        <v>0</v>
      </c>
      <c r="V74" s="610">
        <v>0</v>
      </c>
      <c r="W74" s="610">
        <v>0</v>
      </c>
      <c r="X74" s="610">
        <v>0</v>
      </c>
      <c r="Y74" s="610">
        <v>0</v>
      </c>
      <c r="Z74" s="610">
        <v>0</v>
      </c>
      <c r="AA74" s="610">
        <v>0</v>
      </c>
      <c r="AB74" s="610">
        <v>0</v>
      </c>
      <c r="AC74" s="610">
        <v>0</v>
      </c>
    </row>
    <row r="75" spans="1:29" ht="10.5">
      <c r="A75" s="609" t="s">
        <v>236</v>
      </c>
      <c r="B75" s="610">
        <v>31</v>
      </c>
      <c r="C75" s="610">
        <v>25</v>
      </c>
      <c r="D75" s="612">
        <v>12</v>
      </c>
      <c r="E75" s="609" t="s">
        <v>236</v>
      </c>
      <c r="F75" s="610" t="s">
        <v>176</v>
      </c>
      <c r="G75" s="610">
        <v>0</v>
      </c>
      <c r="H75" s="610">
        <v>0</v>
      </c>
      <c r="I75" s="610">
        <v>0</v>
      </c>
      <c r="J75" s="610">
        <v>4</v>
      </c>
      <c r="K75" s="610">
        <v>5</v>
      </c>
      <c r="L75" s="610">
        <v>6</v>
      </c>
      <c r="M75" s="610">
        <v>7</v>
      </c>
      <c r="N75" s="610">
        <v>9</v>
      </c>
      <c r="O75" s="610">
        <v>10</v>
      </c>
      <c r="P75" s="610">
        <v>13</v>
      </c>
      <c r="Q75" s="610">
        <v>15</v>
      </c>
      <c r="R75" s="610">
        <v>16</v>
      </c>
      <c r="S75" s="610">
        <v>0</v>
      </c>
      <c r="T75" s="610">
        <v>0</v>
      </c>
      <c r="U75" s="610">
        <v>0</v>
      </c>
      <c r="V75" s="610">
        <v>0</v>
      </c>
      <c r="W75" s="610">
        <v>0</v>
      </c>
      <c r="X75" s="610">
        <v>0</v>
      </c>
      <c r="Y75" s="610">
        <v>0</v>
      </c>
      <c r="Z75" s="610">
        <v>0</v>
      </c>
      <c r="AA75" s="610">
        <v>0</v>
      </c>
      <c r="AB75" s="610">
        <v>0</v>
      </c>
      <c r="AC75" s="610">
        <v>0</v>
      </c>
    </row>
    <row r="76" spans="1:29" ht="10.5">
      <c r="A76" s="609" t="s">
        <v>237</v>
      </c>
      <c r="B76" s="610">
        <v>60</v>
      </c>
      <c r="C76" s="610">
        <v>25</v>
      </c>
      <c r="D76" s="610">
        <v>9</v>
      </c>
      <c r="E76" s="609" t="s">
        <v>237</v>
      </c>
      <c r="F76" s="610" t="s">
        <v>196</v>
      </c>
      <c r="G76" s="610">
        <v>0</v>
      </c>
      <c r="H76" s="610">
        <v>0</v>
      </c>
      <c r="I76" s="610">
        <v>0</v>
      </c>
      <c r="J76" s="610">
        <v>4</v>
      </c>
      <c r="K76" s="610">
        <v>5</v>
      </c>
      <c r="L76" s="610">
        <v>7</v>
      </c>
      <c r="M76" s="610">
        <v>9</v>
      </c>
      <c r="N76" s="610">
        <v>10</v>
      </c>
      <c r="O76" s="610">
        <v>13</v>
      </c>
      <c r="P76" s="610">
        <v>14</v>
      </c>
      <c r="Q76" s="610">
        <v>21</v>
      </c>
      <c r="R76" s="610">
        <v>0</v>
      </c>
      <c r="S76" s="610">
        <v>0</v>
      </c>
      <c r="T76" s="610">
        <v>0</v>
      </c>
      <c r="U76" s="610">
        <v>0</v>
      </c>
      <c r="V76" s="610">
        <v>0</v>
      </c>
      <c r="W76" s="610">
        <v>0</v>
      </c>
      <c r="X76" s="610">
        <v>0</v>
      </c>
      <c r="Y76" s="610">
        <v>0</v>
      </c>
      <c r="Z76" s="610">
        <v>0</v>
      </c>
      <c r="AA76" s="610">
        <v>0</v>
      </c>
      <c r="AB76" s="610">
        <v>0</v>
      </c>
      <c r="AC76" s="610">
        <v>0</v>
      </c>
    </row>
    <row r="77" spans="1:29" ht="10.5">
      <c r="A77" s="609" t="s">
        <v>237</v>
      </c>
      <c r="B77" s="610">
        <v>31</v>
      </c>
      <c r="C77" s="610">
        <v>25</v>
      </c>
      <c r="D77" s="612">
        <v>12</v>
      </c>
      <c r="E77" s="609" t="s">
        <v>237</v>
      </c>
      <c r="F77" s="610" t="s">
        <v>178</v>
      </c>
      <c r="G77" s="610">
        <v>0</v>
      </c>
      <c r="H77" s="610">
        <v>0</v>
      </c>
      <c r="I77" s="610">
        <v>0</v>
      </c>
      <c r="J77" s="610">
        <v>4</v>
      </c>
      <c r="K77" s="610">
        <v>5</v>
      </c>
      <c r="L77" s="610">
        <v>6</v>
      </c>
      <c r="M77" s="610">
        <v>7</v>
      </c>
      <c r="N77" s="610">
        <v>9</v>
      </c>
      <c r="O77" s="610">
        <v>10</v>
      </c>
      <c r="P77" s="610">
        <v>13</v>
      </c>
      <c r="Q77" s="610">
        <v>15</v>
      </c>
      <c r="R77" s="610">
        <v>16</v>
      </c>
      <c r="S77" s="610">
        <v>0</v>
      </c>
      <c r="T77" s="610">
        <v>0</v>
      </c>
      <c r="U77" s="610">
        <v>0</v>
      </c>
      <c r="V77" s="610">
        <v>0</v>
      </c>
      <c r="W77" s="610">
        <v>0</v>
      </c>
      <c r="X77" s="610">
        <v>0</v>
      </c>
      <c r="Y77" s="610">
        <v>0</v>
      </c>
      <c r="Z77" s="610">
        <v>0</v>
      </c>
      <c r="AA77" s="610">
        <v>0</v>
      </c>
      <c r="AB77" s="610">
        <v>0</v>
      </c>
      <c r="AC77" s="610">
        <v>0</v>
      </c>
    </row>
    <row r="78" spans="1:29" ht="10.5">
      <c r="A78" s="609" t="s">
        <v>238</v>
      </c>
      <c r="B78" s="609">
        <v>32</v>
      </c>
      <c r="C78" s="609">
        <v>3</v>
      </c>
      <c r="D78" s="609">
        <v>9</v>
      </c>
      <c r="E78" s="609" t="s">
        <v>238</v>
      </c>
      <c r="F78" s="609" t="s">
        <v>202</v>
      </c>
      <c r="G78" s="609">
        <v>0</v>
      </c>
      <c r="H78" s="609">
        <v>0</v>
      </c>
      <c r="I78" s="609">
        <v>0</v>
      </c>
      <c r="J78" s="609">
        <v>4</v>
      </c>
      <c r="K78" s="609">
        <v>5</v>
      </c>
      <c r="L78" s="609">
        <v>7</v>
      </c>
      <c r="M78" s="609">
        <v>9</v>
      </c>
      <c r="N78" s="609">
        <v>10</v>
      </c>
      <c r="O78" s="609">
        <v>13</v>
      </c>
      <c r="P78" s="609">
        <v>14</v>
      </c>
      <c r="Q78" s="609">
        <v>21</v>
      </c>
      <c r="R78" s="609">
        <v>0</v>
      </c>
      <c r="S78" s="609">
        <v>0</v>
      </c>
      <c r="T78" s="609">
        <v>0</v>
      </c>
      <c r="U78" s="609">
        <v>0</v>
      </c>
      <c r="V78" s="609">
        <v>0</v>
      </c>
      <c r="W78" s="609">
        <v>0</v>
      </c>
      <c r="X78" s="609">
        <v>0</v>
      </c>
      <c r="Y78" s="609">
        <v>0</v>
      </c>
      <c r="Z78" s="609">
        <v>0</v>
      </c>
      <c r="AA78" s="609">
        <v>0</v>
      </c>
      <c r="AB78" s="609">
        <v>0</v>
      </c>
      <c r="AC78" s="609">
        <v>0</v>
      </c>
    </row>
    <row r="79" spans="1:29" ht="10.5">
      <c r="A79" s="609" t="s">
        <v>239</v>
      </c>
      <c r="B79" s="609">
        <v>32</v>
      </c>
      <c r="C79" s="609">
        <v>3</v>
      </c>
      <c r="D79" s="609">
        <v>9</v>
      </c>
      <c r="E79" s="609" t="s">
        <v>239</v>
      </c>
      <c r="F79" s="609" t="s">
        <v>204</v>
      </c>
      <c r="G79" s="609">
        <v>0</v>
      </c>
      <c r="H79" s="609">
        <v>0</v>
      </c>
      <c r="I79" s="609">
        <v>0</v>
      </c>
      <c r="J79" s="609">
        <v>4</v>
      </c>
      <c r="K79" s="609">
        <v>5</v>
      </c>
      <c r="L79" s="609">
        <v>7</v>
      </c>
      <c r="M79" s="609">
        <v>9</v>
      </c>
      <c r="N79" s="609">
        <v>10</v>
      </c>
      <c r="O79" s="609">
        <v>13</v>
      </c>
      <c r="P79" s="609">
        <v>14</v>
      </c>
      <c r="Q79" s="609">
        <v>21</v>
      </c>
      <c r="R79" s="609">
        <v>0</v>
      </c>
      <c r="S79" s="609">
        <v>0</v>
      </c>
      <c r="T79" s="609">
        <v>0</v>
      </c>
      <c r="U79" s="609">
        <v>0</v>
      </c>
      <c r="V79" s="609">
        <v>0</v>
      </c>
      <c r="W79" s="609">
        <v>0</v>
      </c>
      <c r="X79" s="609">
        <v>0</v>
      </c>
      <c r="Y79" s="609">
        <v>0</v>
      </c>
      <c r="Z79" s="609">
        <v>0</v>
      </c>
      <c r="AA79" s="609">
        <v>0</v>
      </c>
      <c r="AB79" s="609">
        <v>0</v>
      </c>
      <c r="AC79" s="609">
        <v>0</v>
      </c>
    </row>
    <row r="80" spans="1:29" ht="10.5">
      <c r="A80" s="609" t="s">
        <v>240</v>
      </c>
      <c r="B80" s="609">
        <v>32</v>
      </c>
      <c r="C80" s="609">
        <v>4</v>
      </c>
      <c r="D80" s="609">
        <v>11</v>
      </c>
      <c r="E80" s="609" t="s">
        <v>240</v>
      </c>
      <c r="F80" s="609" t="s">
        <v>154</v>
      </c>
      <c r="G80" s="609">
        <v>0</v>
      </c>
      <c r="H80" s="609">
        <v>0</v>
      </c>
      <c r="I80" s="609">
        <v>0</v>
      </c>
      <c r="J80" s="609">
        <v>4</v>
      </c>
      <c r="K80" s="609">
        <v>5</v>
      </c>
      <c r="L80" s="609">
        <v>6</v>
      </c>
      <c r="M80" s="609">
        <v>7</v>
      </c>
      <c r="N80" s="609">
        <v>10</v>
      </c>
      <c r="O80" s="609">
        <v>11</v>
      </c>
      <c r="P80" s="609">
        <v>14</v>
      </c>
      <c r="Q80" s="609">
        <v>17</v>
      </c>
      <c r="R80" s="609">
        <v>28</v>
      </c>
      <c r="S80" s="609">
        <v>0</v>
      </c>
      <c r="T80" s="609">
        <v>0</v>
      </c>
      <c r="U80" s="609">
        <v>0</v>
      </c>
      <c r="V80" s="609">
        <v>0</v>
      </c>
      <c r="W80" s="609">
        <v>0</v>
      </c>
      <c r="X80" s="609">
        <v>0</v>
      </c>
      <c r="Y80" s="609">
        <v>0</v>
      </c>
      <c r="Z80" s="609">
        <v>0</v>
      </c>
      <c r="AA80" s="609">
        <v>0</v>
      </c>
      <c r="AB80" s="609">
        <v>0</v>
      </c>
      <c r="AC80" s="609">
        <v>0</v>
      </c>
    </row>
    <row r="81" spans="1:29" ht="10.5">
      <c r="A81" s="609" t="s">
        <v>240</v>
      </c>
      <c r="B81" s="609">
        <v>40</v>
      </c>
      <c r="C81" s="609">
        <v>4</v>
      </c>
      <c r="D81" s="609">
        <v>12</v>
      </c>
      <c r="E81" s="609" t="s">
        <v>240</v>
      </c>
      <c r="F81" s="609" t="s">
        <v>180</v>
      </c>
      <c r="G81" s="609">
        <v>0</v>
      </c>
      <c r="H81" s="609">
        <v>0</v>
      </c>
      <c r="I81" s="609">
        <v>0</v>
      </c>
      <c r="J81" s="609">
        <v>4</v>
      </c>
      <c r="K81" s="609">
        <v>5</v>
      </c>
      <c r="L81" s="609">
        <v>6</v>
      </c>
      <c r="M81" s="609">
        <v>8</v>
      </c>
      <c r="N81" s="609">
        <v>9</v>
      </c>
      <c r="O81" s="609">
        <v>10</v>
      </c>
      <c r="P81" s="609">
        <v>13</v>
      </c>
      <c r="Q81" s="609">
        <v>15</v>
      </c>
      <c r="R81" s="609">
        <v>16</v>
      </c>
      <c r="S81" s="609">
        <v>0</v>
      </c>
      <c r="T81" s="609">
        <v>0</v>
      </c>
      <c r="U81" s="609">
        <v>0</v>
      </c>
      <c r="V81" s="609">
        <v>0</v>
      </c>
      <c r="W81" s="609">
        <v>0</v>
      </c>
      <c r="X81" s="609">
        <v>0</v>
      </c>
      <c r="Y81" s="609">
        <v>0</v>
      </c>
      <c r="Z81" s="609">
        <v>0</v>
      </c>
      <c r="AA81" s="609">
        <v>0</v>
      </c>
      <c r="AB81" s="609">
        <v>0</v>
      </c>
      <c r="AC81" s="609">
        <v>0</v>
      </c>
    </row>
    <row r="82" spans="1:29" ht="10.5">
      <c r="A82" s="609" t="s">
        <v>241</v>
      </c>
      <c r="B82" s="609">
        <v>32</v>
      </c>
      <c r="C82" s="609">
        <v>4</v>
      </c>
      <c r="D82" s="609">
        <v>11</v>
      </c>
      <c r="E82" s="609" t="s">
        <v>241</v>
      </c>
      <c r="F82" s="609" t="s">
        <v>156</v>
      </c>
      <c r="G82" s="609">
        <v>0</v>
      </c>
      <c r="H82" s="609">
        <v>0</v>
      </c>
      <c r="I82" s="609">
        <v>0</v>
      </c>
      <c r="J82" s="609">
        <v>4</v>
      </c>
      <c r="K82" s="609">
        <v>5</v>
      </c>
      <c r="L82" s="609">
        <v>6</v>
      </c>
      <c r="M82" s="609">
        <v>7</v>
      </c>
      <c r="N82" s="609">
        <v>10</v>
      </c>
      <c r="O82" s="609">
        <v>11</v>
      </c>
      <c r="P82" s="609">
        <v>14</v>
      </c>
      <c r="Q82" s="609">
        <v>17</v>
      </c>
      <c r="R82" s="609">
        <v>28</v>
      </c>
      <c r="S82" s="609">
        <v>0</v>
      </c>
      <c r="T82" s="609">
        <v>0</v>
      </c>
      <c r="U82" s="609">
        <v>0</v>
      </c>
      <c r="V82" s="609">
        <v>0</v>
      </c>
      <c r="W82" s="609">
        <v>0</v>
      </c>
      <c r="X82" s="609">
        <v>0</v>
      </c>
      <c r="Y82" s="609">
        <v>0</v>
      </c>
      <c r="Z82" s="609">
        <v>0</v>
      </c>
      <c r="AA82" s="609">
        <v>0</v>
      </c>
      <c r="AB82" s="609">
        <v>0</v>
      </c>
      <c r="AC82" s="609">
        <v>0</v>
      </c>
    </row>
    <row r="83" spans="1:29" ht="10.5">
      <c r="A83" s="609" t="s">
        <v>241</v>
      </c>
      <c r="B83" s="609">
        <v>40</v>
      </c>
      <c r="C83" s="609">
        <v>4</v>
      </c>
      <c r="D83" s="609">
        <v>12</v>
      </c>
      <c r="E83" s="609" t="s">
        <v>241</v>
      </c>
      <c r="F83" s="609" t="s">
        <v>242</v>
      </c>
      <c r="G83" s="609">
        <v>0</v>
      </c>
      <c r="H83" s="609">
        <v>0</v>
      </c>
      <c r="I83" s="609">
        <v>0</v>
      </c>
      <c r="J83" s="609">
        <v>4</v>
      </c>
      <c r="K83" s="609">
        <v>5</v>
      </c>
      <c r="L83" s="609">
        <v>6</v>
      </c>
      <c r="M83" s="609">
        <v>8</v>
      </c>
      <c r="N83" s="609">
        <v>9</v>
      </c>
      <c r="O83" s="609">
        <v>10</v>
      </c>
      <c r="P83" s="609">
        <v>13</v>
      </c>
      <c r="Q83" s="609">
        <v>15</v>
      </c>
      <c r="R83" s="609">
        <v>16</v>
      </c>
      <c r="S83" s="609">
        <v>0</v>
      </c>
      <c r="T83" s="609">
        <v>0</v>
      </c>
      <c r="U83" s="609">
        <v>0</v>
      </c>
      <c r="V83" s="609">
        <v>0</v>
      </c>
      <c r="W83" s="609">
        <v>0</v>
      </c>
      <c r="X83" s="609">
        <v>0</v>
      </c>
      <c r="Y83" s="609">
        <v>0</v>
      </c>
      <c r="Z83" s="609">
        <v>0</v>
      </c>
      <c r="AA83" s="609">
        <v>0</v>
      </c>
      <c r="AB83" s="609">
        <v>0</v>
      </c>
      <c r="AC83" s="609">
        <v>0</v>
      </c>
    </row>
    <row r="84" spans="1:29" ht="10.5">
      <c r="A84" s="609" t="s">
        <v>243</v>
      </c>
      <c r="B84" s="609">
        <v>32</v>
      </c>
      <c r="C84" s="609">
        <v>4</v>
      </c>
      <c r="D84" s="609">
        <v>11</v>
      </c>
      <c r="E84" s="609" t="s">
        <v>243</v>
      </c>
      <c r="F84" s="609" t="s">
        <v>158</v>
      </c>
      <c r="G84" s="609">
        <v>0</v>
      </c>
      <c r="H84" s="609">
        <v>0</v>
      </c>
      <c r="I84" s="609">
        <v>0</v>
      </c>
      <c r="J84" s="609">
        <v>4</v>
      </c>
      <c r="K84" s="609">
        <v>5</v>
      </c>
      <c r="L84" s="609">
        <v>6</v>
      </c>
      <c r="M84" s="609">
        <v>7</v>
      </c>
      <c r="N84" s="609">
        <v>10</v>
      </c>
      <c r="O84" s="609">
        <v>11</v>
      </c>
      <c r="P84" s="609">
        <v>14</v>
      </c>
      <c r="Q84" s="609">
        <v>17</v>
      </c>
      <c r="R84" s="609">
        <v>28</v>
      </c>
      <c r="S84" s="609">
        <v>0</v>
      </c>
      <c r="T84" s="609">
        <v>0</v>
      </c>
      <c r="U84" s="609">
        <v>0</v>
      </c>
      <c r="V84" s="609">
        <v>0</v>
      </c>
      <c r="W84" s="609">
        <v>0</v>
      </c>
      <c r="X84" s="609">
        <v>0</v>
      </c>
      <c r="Y84" s="609">
        <v>0</v>
      </c>
      <c r="Z84" s="609">
        <v>0</v>
      </c>
      <c r="AA84" s="609">
        <v>0</v>
      </c>
      <c r="AB84" s="609">
        <v>0</v>
      </c>
      <c r="AC84" s="609">
        <v>0</v>
      </c>
    </row>
    <row r="85" spans="1:29" ht="10.5">
      <c r="A85" s="609" t="s">
        <v>243</v>
      </c>
      <c r="B85" s="609">
        <v>40</v>
      </c>
      <c r="C85" s="609">
        <v>4</v>
      </c>
      <c r="D85" s="609">
        <v>12</v>
      </c>
      <c r="E85" s="609" t="s">
        <v>243</v>
      </c>
      <c r="F85" s="609" t="s">
        <v>182</v>
      </c>
      <c r="G85" s="609">
        <v>0</v>
      </c>
      <c r="H85" s="609">
        <v>0</v>
      </c>
      <c r="I85" s="609">
        <v>0</v>
      </c>
      <c r="J85" s="609">
        <v>4</v>
      </c>
      <c r="K85" s="609">
        <v>5</v>
      </c>
      <c r="L85" s="609">
        <v>6</v>
      </c>
      <c r="M85" s="609">
        <v>8</v>
      </c>
      <c r="N85" s="609">
        <v>9</v>
      </c>
      <c r="O85" s="609">
        <v>10</v>
      </c>
      <c r="P85" s="609">
        <v>13</v>
      </c>
      <c r="Q85" s="609">
        <v>15</v>
      </c>
      <c r="R85" s="609">
        <v>16</v>
      </c>
      <c r="S85" s="609">
        <v>0</v>
      </c>
      <c r="T85" s="609">
        <v>0</v>
      </c>
      <c r="U85" s="609">
        <v>0</v>
      </c>
      <c r="V85" s="609">
        <v>0</v>
      </c>
      <c r="W85" s="609">
        <v>0</v>
      </c>
      <c r="X85" s="609">
        <v>0</v>
      </c>
      <c r="Y85" s="609">
        <v>0</v>
      </c>
      <c r="Z85" s="609">
        <v>0</v>
      </c>
      <c r="AA85" s="609">
        <v>0</v>
      </c>
      <c r="AB85" s="609">
        <v>0</v>
      </c>
      <c r="AC85" s="609">
        <v>0</v>
      </c>
    </row>
    <row r="86" spans="1:29" ht="10.5">
      <c r="A86" s="609" t="s">
        <v>244</v>
      </c>
      <c r="B86" s="609">
        <v>32</v>
      </c>
      <c r="C86" s="609">
        <v>4</v>
      </c>
      <c r="D86" s="609">
        <v>11</v>
      </c>
      <c r="E86" s="609" t="s">
        <v>244</v>
      </c>
      <c r="F86" s="609" t="s">
        <v>160</v>
      </c>
      <c r="G86" s="609">
        <v>0</v>
      </c>
      <c r="H86" s="609">
        <v>0</v>
      </c>
      <c r="I86" s="609">
        <v>0</v>
      </c>
      <c r="J86" s="609">
        <v>4</v>
      </c>
      <c r="K86" s="609">
        <v>5</v>
      </c>
      <c r="L86" s="609">
        <v>6</v>
      </c>
      <c r="M86" s="609">
        <v>7</v>
      </c>
      <c r="N86" s="609">
        <v>10</v>
      </c>
      <c r="O86" s="609">
        <v>11</v>
      </c>
      <c r="P86" s="609">
        <v>14</v>
      </c>
      <c r="Q86" s="609">
        <v>17</v>
      </c>
      <c r="R86" s="609">
        <v>28</v>
      </c>
      <c r="S86" s="609">
        <v>0</v>
      </c>
      <c r="T86" s="609">
        <v>0</v>
      </c>
      <c r="U86" s="609">
        <v>0</v>
      </c>
      <c r="V86" s="609">
        <v>0</v>
      </c>
      <c r="W86" s="609">
        <v>0</v>
      </c>
      <c r="X86" s="609">
        <v>0</v>
      </c>
      <c r="Y86" s="609">
        <v>0</v>
      </c>
      <c r="Z86" s="609">
        <v>0</v>
      </c>
      <c r="AA86" s="609">
        <v>0</v>
      </c>
      <c r="AB86" s="609">
        <v>0</v>
      </c>
      <c r="AC86" s="609">
        <v>0</v>
      </c>
    </row>
    <row r="87" spans="1:29" ht="10.5">
      <c r="A87" s="609" t="s">
        <v>244</v>
      </c>
      <c r="B87" s="609">
        <v>40</v>
      </c>
      <c r="C87" s="609">
        <v>4</v>
      </c>
      <c r="D87" s="609">
        <v>12</v>
      </c>
      <c r="E87" s="609" t="s">
        <v>244</v>
      </c>
      <c r="F87" s="609" t="s">
        <v>184</v>
      </c>
      <c r="G87" s="609">
        <v>0</v>
      </c>
      <c r="H87" s="609">
        <v>0</v>
      </c>
      <c r="I87" s="609">
        <v>0</v>
      </c>
      <c r="J87" s="609">
        <v>4</v>
      </c>
      <c r="K87" s="609">
        <v>5</v>
      </c>
      <c r="L87" s="609">
        <v>6</v>
      </c>
      <c r="M87" s="609">
        <v>8</v>
      </c>
      <c r="N87" s="609">
        <v>9</v>
      </c>
      <c r="O87" s="609">
        <v>10</v>
      </c>
      <c r="P87" s="609">
        <v>13</v>
      </c>
      <c r="Q87" s="609">
        <v>15</v>
      </c>
      <c r="R87" s="609">
        <v>16</v>
      </c>
      <c r="S87" s="609">
        <v>0</v>
      </c>
      <c r="T87" s="609">
        <v>0</v>
      </c>
      <c r="U87" s="609">
        <v>0</v>
      </c>
      <c r="V87" s="609">
        <v>0</v>
      </c>
      <c r="W87" s="609">
        <v>0</v>
      </c>
      <c r="X87" s="609">
        <v>0</v>
      </c>
      <c r="Y87" s="609">
        <v>0</v>
      </c>
      <c r="Z87" s="609">
        <v>0</v>
      </c>
      <c r="AA87" s="609">
        <v>0</v>
      </c>
      <c r="AB87" s="609">
        <v>0</v>
      </c>
      <c r="AC87" s="609">
        <v>0</v>
      </c>
    </row>
    <row r="88" spans="1:29" ht="10.5">
      <c r="A88" s="609" t="s">
        <v>245</v>
      </c>
      <c r="B88" s="609">
        <v>32</v>
      </c>
      <c r="C88" s="609">
        <v>4</v>
      </c>
      <c r="D88" s="609">
        <v>11</v>
      </c>
      <c r="E88" s="609" t="s">
        <v>245</v>
      </c>
      <c r="F88" s="609" t="s">
        <v>162</v>
      </c>
      <c r="G88" s="609">
        <v>0</v>
      </c>
      <c r="H88" s="609">
        <v>0</v>
      </c>
      <c r="I88" s="609">
        <v>0</v>
      </c>
      <c r="J88" s="609">
        <v>4</v>
      </c>
      <c r="K88" s="609">
        <v>5</v>
      </c>
      <c r="L88" s="609">
        <v>6</v>
      </c>
      <c r="M88" s="609">
        <v>7</v>
      </c>
      <c r="N88" s="609">
        <v>10</v>
      </c>
      <c r="O88" s="609">
        <v>11</v>
      </c>
      <c r="P88" s="609">
        <v>14</v>
      </c>
      <c r="Q88" s="609">
        <v>17</v>
      </c>
      <c r="R88" s="609">
        <v>28</v>
      </c>
      <c r="S88" s="609">
        <v>0</v>
      </c>
      <c r="T88" s="609">
        <v>0</v>
      </c>
      <c r="U88" s="609">
        <v>0</v>
      </c>
      <c r="V88" s="609">
        <v>0</v>
      </c>
      <c r="W88" s="609">
        <v>0</v>
      </c>
      <c r="X88" s="609">
        <v>0</v>
      </c>
      <c r="Y88" s="609">
        <v>0</v>
      </c>
      <c r="Z88" s="609">
        <v>0</v>
      </c>
      <c r="AA88" s="609">
        <v>0</v>
      </c>
      <c r="AB88" s="609">
        <v>0</v>
      </c>
      <c r="AC88" s="609">
        <v>0</v>
      </c>
    </row>
    <row r="89" spans="1:29" ht="10.5">
      <c r="A89" s="609" t="s">
        <v>245</v>
      </c>
      <c r="B89" s="609">
        <v>40</v>
      </c>
      <c r="C89" s="609">
        <v>4</v>
      </c>
      <c r="D89" s="613">
        <v>12</v>
      </c>
      <c r="E89" s="609" t="s">
        <v>245</v>
      </c>
      <c r="F89" s="609" t="s">
        <v>188</v>
      </c>
      <c r="G89" s="609">
        <v>0</v>
      </c>
      <c r="H89" s="609">
        <v>0</v>
      </c>
      <c r="I89" s="609">
        <v>0</v>
      </c>
      <c r="J89" s="609">
        <v>4</v>
      </c>
      <c r="K89" s="609">
        <v>5</v>
      </c>
      <c r="L89" s="609">
        <v>6</v>
      </c>
      <c r="M89" s="609">
        <v>8</v>
      </c>
      <c r="N89" s="609">
        <v>9</v>
      </c>
      <c r="O89" s="609">
        <v>10</v>
      </c>
      <c r="P89" s="609">
        <v>13</v>
      </c>
      <c r="Q89" s="609">
        <v>15</v>
      </c>
      <c r="R89" s="609">
        <v>16</v>
      </c>
      <c r="S89" s="609">
        <v>0</v>
      </c>
      <c r="T89" s="609">
        <v>0</v>
      </c>
      <c r="U89" s="609">
        <v>0</v>
      </c>
      <c r="V89" s="609">
        <v>0</v>
      </c>
      <c r="W89" s="609">
        <v>0</v>
      </c>
      <c r="X89" s="609">
        <v>0</v>
      </c>
      <c r="Y89" s="609">
        <v>0</v>
      </c>
      <c r="Z89" s="609">
        <v>0</v>
      </c>
      <c r="AA89" s="609">
        <v>0</v>
      </c>
      <c r="AB89" s="609">
        <v>0</v>
      </c>
      <c r="AC89" s="609">
        <v>0</v>
      </c>
    </row>
    <row r="90" spans="1:29" ht="10.5">
      <c r="A90" s="609" t="s">
        <v>246</v>
      </c>
      <c r="B90" s="609">
        <v>52</v>
      </c>
      <c r="C90" s="609">
        <v>10</v>
      </c>
      <c r="D90" s="613">
        <v>12</v>
      </c>
      <c r="E90" s="609" t="s">
        <v>246</v>
      </c>
      <c r="F90" s="609" t="s">
        <v>206</v>
      </c>
      <c r="G90" s="609">
        <v>0</v>
      </c>
      <c r="H90" s="609">
        <v>0</v>
      </c>
      <c r="I90" s="609">
        <v>0</v>
      </c>
      <c r="J90" s="610">
        <v>4</v>
      </c>
      <c r="K90" s="610">
        <v>5</v>
      </c>
      <c r="L90" s="610">
        <v>6</v>
      </c>
      <c r="M90" s="610">
        <v>10</v>
      </c>
      <c r="N90" s="610">
        <v>11</v>
      </c>
      <c r="O90" s="610">
        <v>14</v>
      </c>
      <c r="P90" s="610">
        <v>15</v>
      </c>
      <c r="Q90" s="610">
        <v>28</v>
      </c>
      <c r="R90" s="609">
        <v>0</v>
      </c>
      <c r="S90" s="609">
        <v>0</v>
      </c>
      <c r="T90" s="609">
        <v>0</v>
      </c>
      <c r="U90" s="609">
        <v>0</v>
      </c>
      <c r="V90" s="609">
        <v>0</v>
      </c>
      <c r="W90" s="609">
        <v>0</v>
      </c>
      <c r="X90" s="609">
        <v>0</v>
      </c>
      <c r="Y90" s="609">
        <v>0</v>
      </c>
      <c r="Z90" s="609">
        <v>0</v>
      </c>
      <c r="AA90" s="609">
        <v>0</v>
      </c>
      <c r="AB90" s="609">
        <v>0</v>
      </c>
      <c r="AC90" s="609">
        <v>0</v>
      </c>
    </row>
    <row r="91" spans="1:29" ht="10.5">
      <c r="A91" s="609" t="s">
        <v>246</v>
      </c>
      <c r="B91" s="609">
        <v>45</v>
      </c>
      <c r="C91" s="609">
        <v>2</v>
      </c>
      <c r="D91" s="613">
        <v>12</v>
      </c>
      <c r="E91" s="609" t="s">
        <v>246</v>
      </c>
      <c r="F91" s="609" t="s">
        <v>186</v>
      </c>
      <c r="G91" s="609">
        <v>0</v>
      </c>
      <c r="H91" s="609">
        <v>0</v>
      </c>
      <c r="I91" s="609">
        <v>0</v>
      </c>
      <c r="J91" s="609">
        <v>4</v>
      </c>
      <c r="K91" s="609">
        <v>5</v>
      </c>
      <c r="L91" s="609">
        <v>6</v>
      </c>
      <c r="M91" s="609">
        <v>8</v>
      </c>
      <c r="N91" s="609">
        <v>9</v>
      </c>
      <c r="O91" s="609">
        <v>10</v>
      </c>
      <c r="P91" s="609">
        <v>13</v>
      </c>
      <c r="Q91" s="609">
        <v>15</v>
      </c>
      <c r="R91" s="609">
        <v>16</v>
      </c>
      <c r="S91" s="609">
        <v>0</v>
      </c>
      <c r="T91" s="609">
        <v>0</v>
      </c>
      <c r="U91" s="609">
        <v>0</v>
      </c>
      <c r="V91" s="609">
        <v>0</v>
      </c>
      <c r="W91" s="609">
        <v>0</v>
      </c>
      <c r="X91" s="609">
        <v>0</v>
      </c>
      <c r="Y91" s="609">
        <v>0</v>
      </c>
      <c r="Z91" s="609">
        <v>0</v>
      </c>
      <c r="AA91" s="609">
        <v>0</v>
      </c>
      <c r="AB91" s="609">
        <v>0</v>
      </c>
      <c r="AC91" s="609">
        <v>0</v>
      </c>
    </row>
    <row r="92" spans="1:29" ht="10.5">
      <c r="A92" s="609" t="s">
        <v>246</v>
      </c>
      <c r="B92" s="609">
        <v>33</v>
      </c>
      <c r="C92" s="609">
        <v>7</v>
      </c>
      <c r="D92" s="609">
        <v>11</v>
      </c>
      <c r="E92" s="609" t="s">
        <v>246</v>
      </c>
      <c r="F92" s="609" t="s">
        <v>164</v>
      </c>
      <c r="G92" s="609">
        <v>0</v>
      </c>
      <c r="H92" s="609">
        <v>0</v>
      </c>
      <c r="I92" s="609">
        <v>0</v>
      </c>
      <c r="J92" s="609">
        <v>4</v>
      </c>
      <c r="K92" s="609">
        <v>5</v>
      </c>
      <c r="L92" s="609">
        <v>6</v>
      </c>
      <c r="M92" s="609">
        <v>7</v>
      </c>
      <c r="N92" s="609">
        <v>10</v>
      </c>
      <c r="O92" s="609">
        <v>11</v>
      </c>
      <c r="P92" s="609">
        <v>14</v>
      </c>
      <c r="Q92" s="609">
        <v>17</v>
      </c>
      <c r="R92" s="609">
        <v>28</v>
      </c>
      <c r="S92" s="609">
        <v>0</v>
      </c>
      <c r="T92" s="609">
        <v>0</v>
      </c>
      <c r="U92" s="609">
        <v>0</v>
      </c>
      <c r="V92" s="609">
        <v>0</v>
      </c>
      <c r="W92" s="609">
        <v>0</v>
      </c>
      <c r="X92" s="609">
        <v>0</v>
      </c>
      <c r="Y92" s="609">
        <v>0</v>
      </c>
      <c r="Z92" s="609">
        <v>0</v>
      </c>
      <c r="AA92" s="609">
        <v>0</v>
      </c>
      <c r="AB92" s="609">
        <v>0</v>
      </c>
      <c r="AC92" s="609">
        <v>0</v>
      </c>
    </row>
    <row r="93" spans="1:29" s="611" customFormat="1" ht="10.5">
      <c r="A93" s="609" t="s">
        <v>246</v>
      </c>
      <c r="B93" s="609">
        <v>67</v>
      </c>
      <c r="C93" s="609">
        <v>8</v>
      </c>
      <c r="D93" s="609">
        <v>11</v>
      </c>
      <c r="E93" s="609" t="s">
        <v>246</v>
      </c>
      <c r="F93" s="610" t="s">
        <v>232</v>
      </c>
      <c r="G93" s="609">
        <v>0</v>
      </c>
      <c r="H93" s="609">
        <v>0</v>
      </c>
      <c r="I93" s="609">
        <v>0</v>
      </c>
      <c r="J93" s="609">
        <v>4</v>
      </c>
      <c r="K93" s="609">
        <v>5</v>
      </c>
      <c r="L93" s="609">
        <v>6</v>
      </c>
      <c r="M93" s="609">
        <v>10</v>
      </c>
      <c r="N93" s="609">
        <v>11</v>
      </c>
      <c r="O93" s="609">
        <v>14</v>
      </c>
      <c r="P93" s="609">
        <v>16</v>
      </c>
      <c r="Q93" s="609">
        <v>28</v>
      </c>
      <c r="R93" s="609">
        <v>0</v>
      </c>
      <c r="S93" s="609">
        <v>0</v>
      </c>
      <c r="T93" s="609">
        <v>0</v>
      </c>
      <c r="U93" s="609">
        <v>0</v>
      </c>
      <c r="V93" s="609">
        <v>0</v>
      </c>
      <c r="W93" s="609">
        <v>0</v>
      </c>
      <c r="X93" s="609">
        <v>0</v>
      </c>
      <c r="Y93" s="609">
        <v>0</v>
      </c>
      <c r="Z93" s="609">
        <v>0</v>
      </c>
      <c r="AA93" s="609">
        <v>0</v>
      </c>
      <c r="AB93" s="609">
        <v>0</v>
      </c>
      <c r="AC93" s="609">
        <v>0</v>
      </c>
    </row>
    <row r="94" spans="1:29" ht="10.5">
      <c r="A94" s="609" t="s">
        <v>247</v>
      </c>
      <c r="B94" s="609">
        <v>52</v>
      </c>
      <c r="C94" s="609">
        <v>10</v>
      </c>
      <c r="D94" s="613">
        <v>12</v>
      </c>
      <c r="E94" s="609" t="s">
        <v>247</v>
      </c>
      <c r="F94" s="609" t="s">
        <v>212</v>
      </c>
      <c r="G94" s="609">
        <v>0</v>
      </c>
      <c r="H94" s="609">
        <v>0</v>
      </c>
      <c r="I94" s="609">
        <v>0</v>
      </c>
      <c r="J94" s="610">
        <v>4</v>
      </c>
      <c r="K94" s="610">
        <v>5</v>
      </c>
      <c r="L94" s="610">
        <v>6</v>
      </c>
      <c r="M94" s="610">
        <v>10</v>
      </c>
      <c r="N94" s="610">
        <v>11</v>
      </c>
      <c r="O94" s="610">
        <v>14</v>
      </c>
      <c r="P94" s="610">
        <v>15</v>
      </c>
      <c r="Q94" s="610">
        <v>28</v>
      </c>
      <c r="R94" s="609">
        <v>0</v>
      </c>
      <c r="S94" s="609">
        <v>0</v>
      </c>
      <c r="T94" s="609">
        <v>0</v>
      </c>
      <c r="U94" s="609">
        <v>0</v>
      </c>
      <c r="V94" s="609">
        <v>0</v>
      </c>
      <c r="W94" s="609">
        <v>0</v>
      </c>
      <c r="X94" s="609">
        <v>0</v>
      </c>
      <c r="Y94" s="609">
        <v>0</v>
      </c>
      <c r="Z94" s="609">
        <v>0</v>
      </c>
      <c r="AA94" s="609">
        <v>0</v>
      </c>
      <c r="AB94" s="609">
        <v>0</v>
      </c>
      <c r="AC94" s="609">
        <v>0</v>
      </c>
    </row>
    <row r="95" spans="1:29" ht="10.5">
      <c r="A95" s="609" t="s">
        <v>247</v>
      </c>
      <c r="B95" s="609">
        <v>45</v>
      </c>
      <c r="C95" s="609">
        <v>2</v>
      </c>
      <c r="D95" s="613">
        <v>12</v>
      </c>
      <c r="E95" s="609" t="s">
        <v>247</v>
      </c>
      <c r="F95" s="609" t="s">
        <v>174</v>
      </c>
      <c r="G95" s="609">
        <v>0</v>
      </c>
      <c r="H95" s="609">
        <v>0</v>
      </c>
      <c r="I95" s="609">
        <v>0</v>
      </c>
      <c r="J95" s="609">
        <v>4</v>
      </c>
      <c r="K95" s="609">
        <v>5</v>
      </c>
      <c r="L95" s="609">
        <v>6</v>
      </c>
      <c r="M95" s="609">
        <v>8</v>
      </c>
      <c r="N95" s="609">
        <v>9</v>
      </c>
      <c r="O95" s="609">
        <v>10</v>
      </c>
      <c r="P95" s="609">
        <v>13</v>
      </c>
      <c r="Q95" s="609">
        <v>15</v>
      </c>
      <c r="R95" s="609">
        <v>16</v>
      </c>
      <c r="S95" s="609">
        <v>0</v>
      </c>
      <c r="T95" s="609">
        <v>0</v>
      </c>
      <c r="U95" s="609">
        <v>0</v>
      </c>
      <c r="V95" s="609">
        <v>0</v>
      </c>
      <c r="W95" s="609">
        <v>0</v>
      </c>
      <c r="X95" s="609">
        <v>0</v>
      </c>
      <c r="Y95" s="609">
        <v>0</v>
      </c>
      <c r="Z95" s="609">
        <v>0</v>
      </c>
      <c r="AA95" s="609">
        <v>0</v>
      </c>
      <c r="AB95" s="609">
        <v>0</v>
      </c>
      <c r="AC95" s="609">
        <v>0</v>
      </c>
    </row>
    <row r="96" spans="1:29" ht="10.5">
      <c r="A96" s="609" t="s">
        <v>247</v>
      </c>
      <c r="B96" s="609">
        <v>33</v>
      </c>
      <c r="C96" s="609">
        <v>7</v>
      </c>
      <c r="D96" s="609">
        <v>11</v>
      </c>
      <c r="E96" s="609" t="s">
        <v>247</v>
      </c>
      <c r="F96" s="609" t="s">
        <v>150</v>
      </c>
      <c r="G96" s="609">
        <v>0</v>
      </c>
      <c r="H96" s="609">
        <v>0</v>
      </c>
      <c r="I96" s="609">
        <v>0</v>
      </c>
      <c r="J96" s="609">
        <v>4</v>
      </c>
      <c r="K96" s="609">
        <v>5</v>
      </c>
      <c r="L96" s="609">
        <v>6</v>
      </c>
      <c r="M96" s="609">
        <v>7</v>
      </c>
      <c r="N96" s="609">
        <v>10</v>
      </c>
      <c r="O96" s="609">
        <v>11</v>
      </c>
      <c r="P96" s="609">
        <v>14</v>
      </c>
      <c r="Q96" s="609">
        <v>17</v>
      </c>
      <c r="R96" s="609">
        <v>28</v>
      </c>
      <c r="S96" s="609">
        <v>0</v>
      </c>
      <c r="T96" s="609">
        <v>0</v>
      </c>
      <c r="U96" s="609">
        <v>0</v>
      </c>
      <c r="V96" s="609">
        <v>0</v>
      </c>
      <c r="W96" s="609">
        <v>0</v>
      </c>
      <c r="X96" s="609">
        <v>0</v>
      </c>
      <c r="Y96" s="609">
        <v>0</v>
      </c>
      <c r="Z96" s="609">
        <v>0</v>
      </c>
      <c r="AA96" s="609">
        <v>0</v>
      </c>
      <c r="AB96" s="609">
        <v>0</v>
      </c>
      <c r="AC96" s="609">
        <v>0</v>
      </c>
    </row>
    <row r="97" spans="1:29" s="611" customFormat="1" ht="10.5">
      <c r="A97" s="609" t="s">
        <v>247</v>
      </c>
      <c r="B97" s="609">
        <v>67</v>
      </c>
      <c r="C97" s="609">
        <v>8</v>
      </c>
      <c r="D97" s="609">
        <v>11</v>
      </c>
      <c r="E97" s="609" t="s">
        <v>247</v>
      </c>
      <c r="F97" s="610" t="s">
        <v>228</v>
      </c>
      <c r="G97" s="609">
        <v>0</v>
      </c>
      <c r="H97" s="609">
        <v>0</v>
      </c>
      <c r="I97" s="609">
        <v>0</v>
      </c>
      <c r="J97" s="609">
        <v>4</v>
      </c>
      <c r="K97" s="609">
        <v>5</v>
      </c>
      <c r="L97" s="609">
        <v>6</v>
      </c>
      <c r="M97" s="609">
        <v>10</v>
      </c>
      <c r="N97" s="609">
        <v>11</v>
      </c>
      <c r="O97" s="609">
        <v>14</v>
      </c>
      <c r="P97" s="609">
        <v>16</v>
      </c>
      <c r="Q97" s="609">
        <v>28</v>
      </c>
      <c r="R97" s="609">
        <v>0</v>
      </c>
      <c r="S97" s="609">
        <v>0</v>
      </c>
      <c r="T97" s="609">
        <v>0</v>
      </c>
      <c r="U97" s="609">
        <v>0</v>
      </c>
      <c r="V97" s="609">
        <v>0</v>
      </c>
      <c r="W97" s="609">
        <v>0</v>
      </c>
      <c r="X97" s="609">
        <v>0</v>
      </c>
      <c r="Y97" s="609">
        <v>0</v>
      </c>
      <c r="Z97" s="609">
        <v>0</v>
      </c>
      <c r="AA97" s="609">
        <v>0</v>
      </c>
      <c r="AB97" s="609">
        <v>0</v>
      </c>
      <c r="AC97" s="609">
        <v>0</v>
      </c>
    </row>
    <row r="98" spans="1:29" ht="10.5">
      <c r="A98" s="609" t="s">
        <v>248</v>
      </c>
      <c r="B98" s="609">
        <v>32</v>
      </c>
      <c r="C98" s="609">
        <v>4</v>
      </c>
      <c r="D98" s="609">
        <v>11</v>
      </c>
      <c r="E98" s="609" t="s">
        <v>248</v>
      </c>
      <c r="F98" s="609" t="s">
        <v>166</v>
      </c>
      <c r="G98" s="609">
        <v>0</v>
      </c>
      <c r="H98" s="609">
        <v>0</v>
      </c>
      <c r="I98" s="609">
        <v>0</v>
      </c>
      <c r="J98" s="609">
        <v>4</v>
      </c>
      <c r="K98" s="609">
        <v>5</v>
      </c>
      <c r="L98" s="609">
        <v>6</v>
      </c>
      <c r="M98" s="609">
        <v>7</v>
      </c>
      <c r="N98" s="609">
        <v>10</v>
      </c>
      <c r="O98" s="609">
        <v>11</v>
      </c>
      <c r="P98" s="609">
        <v>14</v>
      </c>
      <c r="Q98" s="609">
        <v>17</v>
      </c>
      <c r="R98" s="609">
        <v>28</v>
      </c>
      <c r="S98" s="609">
        <v>0</v>
      </c>
      <c r="T98" s="609">
        <v>0</v>
      </c>
      <c r="U98" s="609">
        <v>0</v>
      </c>
      <c r="V98" s="609">
        <v>0</v>
      </c>
      <c r="W98" s="609">
        <v>0</v>
      </c>
      <c r="X98" s="609">
        <v>0</v>
      </c>
      <c r="Y98" s="609">
        <v>0</v>
      </c>
      <c r="Z98" s="609">
        <v>0</v>
      </c>
      <c r="AA98" s="609">
        <v>0</v>
      </c>
      <c r="AB98" s="609">
        <v>0</v>
      </c>
      <c r="AC98" s="609">
        <v>0</v>
      </c>
    </row>
    <row r="99" spans="1:29" ht="10.5">
      <c r="A99" s="609" t="s">
        <v>249</v>
      </c>
      <c r="B99" s="609">
        <v>40</v>
      </c>
      <c r="C99" s="609">
        <v>4</v>
      </c>
      <c r="D99" s="609">
        <v>12</v>
      </c>
      <c r="E99" s="609" t="s">
        <v>249</v>
      </c>
      <c r="F99" s="609" t="s">
        <v>190</v>
      </c>
      <c r="G99" s="609">
        <v>0</v>
      </c>
      <c r="H99" s="609">
        <v>0</v>
      </c>
      <c r="I99" s="609">
        <v>0</v>
      </c>
      <c r="J99" s="609">
        <v>4</v>
      </c>
      <c r="K99" s="609">
        <v>5</v>
      </c>
      <c r="L99" s="609">
        <v>6</v>
      </c>
      <c r="M99" s="609">
        <v>8</v>
      </c>
      <c r="N99" s="609">
        <v>9</v>
      </c>
      <c r="O99" s="609">
        <v>10</v>
      </c>
      <c r="P99" s="609">
        <v>13</v>
      </c>
      <c r="Q99" s="609">
        <v>15</v>
      </c>
      <c r="R99" s="609">
        <v>16</v>
      </c>
      <c r="S99" s="609">
        <v>0</v>
      </c>
      <c r="T99" s="609">
        <v>0</v>
      </c>
      <c r="U99" s="609">
        <v>0</v>
      </c>
      <c r="V99" s="609">
        <v>0</v>
      </c>
      <c r="W99" s="609">
        <v>0</v>
      </c>
      <c r="X99" s="609">
        <v>0</v>
      </c>
      <c r="Y99" s="609">
        <v>0</v>
      </c>
      <c r="Z99" s="609">
        <v>0</v>
      </c>
      <c r="AA99" s="609">
        <v>0</v>
      </c>
      <c r="AB99" s="609">
        <v>0</v>
      </c>
      <c r="AC99" s="609">
        <v>0</v>
      </c>
    </row>
    <row r="100" spans="1:29" ht="10.5">
      <c r="A100" s="609" t="s">
        <v>250</v>
      </c>
      <c r="B100" s="609">
        <v>19</v>
      </c>
      <c r="C100" s="609">
        <v>24</v>
      </c>
      <c r="D100" s="613">
        <v>4</v>
      </c>
      <c r="E100" s="609" t="str">
        <f>"CAUSAS-VST-"&amp;$G$14</f>
        <v>CAUSAS-VST-09</v>
      </c>
      <c r="F100" s="609" t="s">
        <v>251</v>
      </c>
      <c r="G100" s="609">
        <v>3</v>
      </c>
      <c r="H100" s="609">
        <v>4</v>
      </c>
      <c r="I100" s="609">
        <v>5</v>
      </c>
      <c r="J100" s="609">
        <v>6</v>
      </c>
      <c r="K100" s="609">
        <v>7</v>
      </c>
      <c r="L100" s="609">
        <v>0</v>
      </c>
      <c r="M100" s="609">
        <v>0</v>
      </c>
      <c r="N100" s="609">
        <v>0</v>
      </c>
      <c r="O100" s="609">
        <v>0</v>
      </c>
      <c r="P100" s="609">
        <v>0</v>
      </c>
      <c r="Q100" s="609">
        <v>0</v>
      </c>
      <c r="R100" s="609">
        <v>0</v>
      </c>
      <c r="S100" s="609">
        <v>0</v>
      </c>
      <c r="T100" s="609">
        <v>0</v>
      </c>
      <c r="U100" s="609">
        <v>0</v>
      </c>
      <c r="V100" s="609">
        <v>0</v>
      </c>
      <c r="W100" s="609">
        <v>999</v>
      </c>
      <c r="X100" s="609">
        <v>999</v>
      </c>
      <c r="Y100" s="609">
        <v>0</v>
      </c>
      <c r="Z100" s="609">
        <v>0</v>
      </c>
      <c r="AA100" s="609">
        <v>0</v>
      </c>
      <c r="AB100" s="609">
        <v>0</v>
      </c>
      <c r="AC100" s="609">
        <v>0</v>
      </c>
    </row>
    <row r="101" spans="1:29" ht="10.5">
      <c r="A101" s="614"/>
      <c r="B101" s="614">
        <v>30</v>
      </c>
      <c r="C101" s="614">
        <v>10</v>
      </c>
      <c r="D101" s="615">
        <v>11</v>
      </c>
      <c r="E101" s="614" t="s">
        <v>252</v>
      </c>
      <c r="F101" s="616" t="s">
        <v>253</v>
      </c>
      <c r="G101" s="614">
        <v>3</v>
      </c>
      <c r="H101" s="614">
        <v>5</v>
      </c>
      <c r="I101" s="616">
        <v>0</v>
      </c>
      <c r="J101" s="616">
        <v>4</v>
      </c>
      <c r="K101" s="616">
        <v>5</v>
      </c>
      <c r="L101" s="616">
        <v>6</v>
      </c>
      <c r="M101" s="616">
        <v>8</v>
      </c>
      <c r="N101" s="616">
        <v>9</v>
      </c>
      <c r="O101" s="616">
        <v>10</v>
      </c>
      <c r="P101" s="616">
        <v>13</v>
      </c>
      <c r="Q101" s="616">
        <v>15</v>
      </c>
      <c r="R101" s="616">
        <v>16</v>
      </c>
      <c r="S101" s="616">
        <v>0</v>
      </c>
      <c r="T101" s="616">
        <v>0</v>
      </c>
      <c r="U101" s="616">
        <v>0</v>
      </c>
      <c r="V101" s="616">
        <v>0</v>
      </c>
      <c r="W101" s="614">
        <v>0</v>
      </c>
      <c r="X101" s="614">
        <v>0</v>
      </c>
      <c r="Y101" s="614">
        <v>0</v>
      </c>
      <c r="Z101" s="614">
        <v>0</v>
      </c>
      <c r="AA101" s="614">
        <v>0</v>
      </c>
      <c r="AB101" s="614">
        <v>0</v>
      </c>
      <c r="AC101" s="614">
        <v>0</v>
      </c>
    </row>
    <row r="104" spans="6:9" ht="12.75">
      <c r="F104" s="617"/>
      <c r="G104" s="617"/>
      <c r="H104" s="617"/>
      <c r="I104" s="617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45" r:id="rId1"/>
  <headerFooter alignWithMargins="0">
    <oddFooter>&amp;L&amp;"Times New Roman,Normal"&amp;5&amp;F  - TRANSPORTE de ENERGÍA ELÉCTRICA - PJL - JI -JM -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zoomScale="60" zoomScaleNormal="60" zoomScalePageLayoutView="0" workbookViewId="0" topLeftCell="A1">
      <selection activeCell="N51" sqref="N51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9.8515625" style="0" customWidth="1"/>
    <col min="5" max="5" width="45.7109375" style="0" customWidth="1"/>
    <col min="6" max="7" width="9.7109375" style="0" customWidth="1"/>
    <col min="8" max="8" width="3.7109375" style="0" customWidth="1"/>
    <col min="9" max="9" width="4.421875" style="0" hidden="1" customWidth="1"/>
    <col min="10" max="10" width="10.57421875" style="0" hidden="1" customWidth="1"/>
    <col min="11" max="12" width="18.140625" style="0" customWidth="1"/>
    <col min="13" max="15" width="9.7109375" style="0" customWidth="1"/>
    <col min="16" max="16" width="8.7109375" style="0" customWidth="1"/>
    <col min="17" max="17" width="5.421875" style="0" customWidth="1"/>
    <col min="18" max="18" width="5.8515625" style="0" customWidth="1"/>
    <col min="19" max="20" width="12.28125" style="0" hidden="1" customWidth="1"/>
    <col min="21" max="21" width="6.421875" style="0" hidden="1" customWidth="1"/>
    <col min="22" max="22" width="11.00390625" style="0" hidden="1" customWidth="1"/>
    <col min="23" max="26" width="5.7109375" style="0" hidden="1" customWidth="1"/>
    <col min="27" max="27" width="12.28125" style="0" hidden="1" customWidth="1"/>
    <col min="28" max="28" width="13.421875" style="0" hidden="1" customWidth="1"/>
    <col min="29" max="29" width="9.7109375" style="0" customWidth="1"/>
    <col min="30" max="31" width="15.7109375" style="0" customWidth="1"/>
    <col min="32" max="32" width="30.421875" style="0" customWidth="1"/>
    <col min="33" max="33" width="3.140625" style="0" customWidth="1"/>
    <col min="34" max="34" width="3.57421875" style="0" customWidth="1"/>
    <col min="35" max="35" width="24.28125" style="0" customWidth="1"/>
    <col min="36" max="36" width="4.7109375" style="0" customWidth="1"/>
    <col min="37" max="37" width="7.57421875" style="0" customWidth="1"/>
    <col min="38" max="39" width="4.140625" style="0" customWidth="1"/>
    <col min="40" max="40" width="7.140625" style="0" customWidth="1"/>
    <col min="41" max="41" width="5.28125" style="0" customWidth="1"/>
    <col min="42" max="42" width="5.421875" style="0" customWidth="1"/>
    <col min="43" max="43" width="4.7109375" style="0" customWidth="1"/>
    <col min="44" max="44" width="5.28125" style="0" customWidth="1"/>
    <col min="45" max="46" width="13.28125" style="0" customWidth="1"/>
    <col min="47" max="47" width="6.57421875" style="0" customWidth="1"/>
    <col min="48" max="48" width="6.421875" style="0" customWidth="1"/>
    <col min="53" max="53" width="12.7109375" style="0" customWidth="1"/>
    <col min="57" max="57" width="21.00390625" style="0" customWidth="1"/>
  </cols>
  <sheetData>
    <row r="1" spans="1:31" s="1644" customFormat="1" ht="26.25">
      <c r="A1"/>
      <c r="C1"/>
      <c r="D1"/>
      <c r="F1"/>
      <c r="H1"/>
      <c r="J1"/>
      <c r="L1"/>
      <c r="N1"/>
      <c r="P1"/>
      <c r="R1"/>
      <c r="T1"/>
      <c r="V1"/>
      <c r="X1"/>
      <c r="Z1"/>
      <c r="AE1" s="1645"/>
    </row>
    <row r="2" spans="1:31" s="1644" customFormat="1" ht="26.25">
      <c r="A2" s="1646"/>
      <c r="B2" s="1647" t="str">
        <f>+'TOT-0912'!B2</f>
        <v>ANEXO IV al Memorándum  D.T.E.E.  N° 295 / 2014</v>
      </c>
      <c r="C2" s="1647"/>
      <c r="D2" s="1647"/>
      <c r="E2" s="1647"/>
      <c r="F2" s="1647"/>
      <c r="G2" s="1647"/>
      <c r="H2" s="1647"/>
      <c r="I2" s="1647"/>
      <c r="J2" s="1647"/>
      <c r="K2" s="1647"/>
      <c r="L2" s="1647"/>
      <c r="M2" s="1647"/>
      <c r="N2" s="1647"/>
      <c r="O2" s="1647"/>
      <c r="P2" s="1647"/>
      <c r="Q2" s="1647"/>
      <c r="R2" s="1647"/>
      <c r="S2" s="1647"/>
      <c r="T2" s="1647"/>
      <c r="U2" s="1647"/>
      <c r="V2" s="1647"/>
      <c r="W2" s="1647"/>
      <c r="X2" s="1647"/>
      <c r="Y2" s="1647"/>
      <c r="Z2" s="1647"/>
      <c r="AA2" s="1647"/>
      <c r="AB2" s="1647"/>
      <c r="AC2" s="1647"/>
      <c r="AD2" s="1647"/>
      <c r="AE2" s="1647"/>
    </row>
    <row r="3" s="1649" customFormat="1" ht="12.75">
      <c r="A3" s="1648"/>
    </row>
    <row r="4" spans="1:2" s="1652" customFormat="1" ht="11.25">
      <c r="A4" s="1650" t="s">
        <v>508</v>
      </c>
      <c r="B4" s="1651"/>
    </row>
    <row r="5" spans="1:2" s="1652" customFormat="1" ht="11.25">
      <c r="A5" s="1650" t="s">
        <v>3</v>
      </c>
      <c r="B5" s="1651"/>
    </row>
    <row r="6" spans="1:2" s="1652" customFormat="1" ht="11.25">
      <c r="A6" s="1650"/>
      <c r="B6" s="1651"/>
    </row>
    <row r="7" spans="1:2" s="1652" customFormat="1" ht="60.75" customHeight="1">
      <c r="A7" s="1650"/>
      <c r="B7" s="1651"/>
    </row>
    <row r="8" spans="1:2" s="1652" customFormat="1" ht="11.25">
      <c r="A8" s="1650"/>
      <c r="B8" s="1651"/>
    </row>
    <row r="9" s="1649" customFormat="1" ht="13.5" thickBot="1"/>
    <row r="10" spans="2:31" s="1649" customFormat="1" ht="13.5" thickTop="1">
      <c r="B10" s="1653"/>
      <c r="C10" s="1654"/>
      <c r="D10" s="1654"/>
      <c r="E10" s="1654"/>
      <c r="F10" s="1655"/>
      <c r="G10" s="1654"/>
      <c r="H10" s="1654"/>
      <c r="I10" s="1654"/>
      <c r="J10" s="1654"/>
      <c r="K10" s="1654"/>
      <c r="L10" s="1654"/>
      <c r="M10" s="1654"/>
      <c r="N10" s="1654"/>
      <c r="O10" s="1654"/>
      <c r="P10" s="1654"/>
      <c r="Q10" s="1654"/>
      <c r="R10" s="1654"/>
      <c r="S10" s="1654"/>
      <c r="T10" s="1654"/>
      <c r="U10" s="1654"/>
      <c r="V10" s="1654"/>
      <c r="W10" s="1654"/>
      <c r="X10" s="1654"/>
      <c r="Y10" s="1654"/>
      <c r="Z10" s="1654"/>
      <c r="AA10" s="1654"/>
      <c r="AB10" s="1654"/>
      <c r="AC10" s="1654"/>
      <c r="AD10" s="1654"/>
      <c r="AE10" s="1656"/>
    </row>
    <row r="11" spans="2:31" s="1657" customFormat="1" ht="20.25">
      <c r="B11" s="1658"/>
      <c r="C11" s="1659"/>
      <c r="D11" s="1659"/>
      <c r="E11" s="1660" t="s">
        <v>23</v>
      </c>
      <c r="F11" s="1659"/>
      <c r="G11" s="1659"/>
      <c r="H11" s="1659"/>
      <c r="I11" s="1659"/>
      <c r="O11" s="1659"/>
      <c r="P11" s="1659"/>
      <c r="Q11" s="1661"/>
      <c r="R11" s="1661"/>
      <c r="S11" s="1659"/>
      <c r="T11" s="1659"/>
      <c r="U11" s="1659"/>
      <c r="V11" s="1659"/>
      <c r="W11" s="1659"/>
      <c r="X11" s="1659"/>
      <c r="Y11" s="1659"/>
      <c r="Z11" s="1659"/>
      <c r="AA11" s="1659"/>
      <c r="AB11" s="1659"/>
      <c r="AC11" s="1659"/>
      <c r="AD11" s="1659"/>
      <c r="AE11" s="1662"/>
    </row>
    <row r="12" spans="2:31" s="1649" customFormat="1" ht="12.75">
      <c r="B12" s="1663"/>
      <c r="C12" s="1664"/>
      <c r="D12" s="1664"/>
      <c r="E12" s="1664"/>
      <c r="F12" s="1664"/>
      <c r="G12" s="1664"/>
      <c r="H12" s="1664"/>
      <c r="I12" s="1664"/>
      <c r="J12" s="1664"/>
      <c r="K12" s="1664"/>
      <c r="L12" s="1664"/>
      <c r="M12" s="1664"/>
      <c r="N12" s="1664"/>
      <c r="O12" s="1664"/>
      <c r="P12" s="1664"/>
      <c r="Q12" s="1664"/>
      <c r="R12" s="1664"/>
      <c r="S12" s="1664"/>
      <c r="T12" s="1664"/>
      <c r="U12" s="1664"/>
      <c r="V12" s="1664"/>
      <c r="W12" s="1664"/>
      <c r="X12" s="1664"/>
      <c r="Y12" s="1664"/>
      <c r="Z12" s="1664"/>
      <c r="AA12" s="1664"/>
      <c r="AB12" s="1664"/>
      <c r="AC12" s="1664"/>
      <c r="AD12" s="1664"/>
      <c r="AE12" s="1665"/>
    </row>
    <row r="13" spans="2:31" s="1657" customFormat="1" ht="20.25">
      <c r="B13" s="1658"/>
      <c r="C13" s="1659"/>
      <c r="D13" s="1659"/>
      <c r="E13" s="1661" t="s">
        <v>24</v>
      </c>
      <c r="F13" s="1659"/>
      <c r="G13" s="1659"/>
      <c r="H13" s="1659"/>
      <c r="I13" s="1659"/>
      <c r="J13" s="1659"/>
      <c r="K13" s="1659"/>
      <c r="L13" s="1659"/>
      <c r="M13" s="1659"/>
      <c r="N13" s="1659"/>
      <c r="O13" s="1659"/>
      <c r="P13" s="1659"/>
      <c r="Q13" s="1659"/>
      <c r="R13" s="1659"/>
      <c r="S13" s="1659"/>
      <c r="T13" s="1659"/>
      <c r="U13" s="1659"/>
      <c r="V13" s="1659"/>
      <c r="W13" s="1659"/>
      <c r="X13" s="1659"/>
      <c r="Y13" s="1659"/>
      <c r="Z13" s="1659"/>
      <c r="AA13" s="1659"/>
      <c r="AB13" s="1659"/>
      <c r="AC13" s="1659"/>
      <c r="AD13" s="1659"/>
      <c r="AE13" s="1662"/>
    </row>
    <row r="14" spans="2:31" s="1649" customFormat="1" ht="12.75">
      <c r="B14" s="1663"/>
      <c r="C14" s="1664"/>
      <c r="D14" s="1664"/>
      <c r="E14" s="1664"/>
      <c r="F14" s="1664"/>
      <c r="G14" s="1664"/>
      <c r="H14" s="1664"/>
      <c r="I14" s="1664"/>
      <c r="J14" s="1664"/>
      <c r="K14" s="1664"/>
      <c r="L14" s="1664"/>
      <c r="M14" s="1664"/>
      <c r="N14" s="1664"/>
      <c r="O14" s="1664"/>
      <c r="P14" s="1664"/>
      <c r="Q14" s="1664"/>
      <c r="R14" s="1664"/>
      <c r="S14" s="1664"/>
      <c r="T14" s="1664"/>
      <c r="U14" s="1664"/>
      <c r="V14" s="1664"/>
      <c r="W14" s="1664"/>
      <c r="X14" s="1664"/>
      <c r="Y14" s="1664"/>
      <c r="Z14" s="1664"/>
      <c r="AA14" s="1664"/>
      <c r="AB14" s="1664"/>
      <c r="AC14" s="1664"/>
      <c r="AD14" s="1664"/>
      <c r="AE14" s="1665"/>
    </row>
    <row r="15" spans="2:31" s="1657" customFormat="1" ht="20.25">
      <c r="B15" s="1658"/>
      <c r="C15" s="1659"/>
      <c r="D15" s="1659"/>
      <c r="E15" s="1661" t="s">
        <v>509</v>
      </c>
      <c r="F15" s="1659"/>
      <c r="G15" s="1659"/>
      <c r="H15" s="1659"/>
      <c r="J15" s="1659"/>
      <c r="K15" s="1659"/>
      <c r="L15" s="1659"/>
      <c r="M15" s="1659"/>
      <c r="N15" s="1659"/>
      <c r="O15" s="1659"/>
      <c r="P15" s="1659"/>
      <c r="Q15" s="1661"/>
      <c r="R15" s="1661"/>
      <c r="S15" s="1659"/>
      <c r="T15" s="1659"/>
      <c r="U15" s="1659"/>
      <c r="V15" s="1659"/>
      <c r="W15" s="1659"/>
      <c r="X15" s="1659"/>
      <c r="Y15" s="1659"/>
      <c r="Z15" s="1659"/>
      <c r="AA15" s="1659"/>
      <c r="AB15" s="1659"/>
      <c r="AC15" s="1659"/>
      <c r="AD15" s="1659"/>
      <c r="AE15" s="1662"/>
    </row>
    <row r="16" spans="2:31" s="1649" customFormat="1" ht="12.75">
      <c r="B16" s="1663"/>
      <c r="C16" s="1664"/>
      <c r="D16" s="1664"/>
      <c r="E16" s="1664"/>
      <c r="I16" s="1666"/>
      <c r="J16" s="1666"/>
      <c r="K16" s="1666"/>
      <c r="L16" s="1666"/>
      <c r="M16" s="1666"/>
      <c r="N16" s="1666"/>
      <c r="O16" s="1666"/>
      <c r="P16" s="1666"/>
      <c r="Q16" s="1666"/>
      <c r="R16" s="1666"/>
      <c r="S16" s="1664"/>
      <c r="T16" s="1664"/>
      <c r="U16" s="1664"/>
      <c r="V16" s="1664"/>
      <c r="W16" s="1664"/>
      <c r="X16" s="1664"/>
      <c r="Y16" s="1664"/>
      <c r="Z16" s="1664"/>
      <c r="AA16" s="1664"/>
      <c r="AB16" s="1664"/>
      <c r="AC16" s="1664"/>
      <c r="AD16" s="1664"/>
      <c r="AE16" s="1665"/>
    </row>
    <row r="17" spans="2:31" s="1667" customFormat="1" ht="19.5">
      <c r="B17" s="1668" t="str">
        <f>+'TOT-0912'!B14</f>
        <v>Desde el 01 al 30 de septiembre de 2012</v>
      </c>
      <c r="C17" s="1669"/>
      <c r="D17" s="1669"/>
      <c r="E17" s="1669"/>
      <c r="F17" s="1669"/>
      <c r="G17" s="1669"/>
      <c r="H17" s="1669"/>
      <c r="I17" s="1669"/>
      <c r="J17" s="1669"/>
      <c r="K17" s="1669"/>
      <c r="L17" s="1669"/>
      <c r="M17" s="1669"/>
      <c r="N17" s="1669"/>
      <c r="O17" s="1670"/>
      <c r="P17" s="1670"/>
      <c r="Q17" s="1669"/>
      <c r="R17" s="1669"/>
      <c r="S17" s="1669"/>
      <c r="T17" s="1669"/>
      <c r="U17" s="1669"/>
      <c r="V17" s="1669"/>
      <c r="W17" s="1669"/>
      <c r="X17" s="1669"/>
      <c r="Y17" s="1669"/>
      <c r="Z17" s="1669"/>
      <c r="AA17" s="1669"/>
      <c r="AB17" s="1669"/>
      <c r="AC17" s="1669"/>
      <c r="AD17" s="1669"/>
      <c r="AE17" s="1671"/>
    </row>
    <row r="18" spans="2:31" s="1649" customFormat="1" ht="16.5" customHeight="1" thickBot="1">
      <c r="B18" s="1663"/>
      <c r="C18" s="1664"/>
      <c r="D18" s="1664"/>
      <c r="E18" s="1664"/>
      <c r="F18" s="1672"/>
      <c r="G18" s="1672"/>
      <c r="H18" s="1664"/>
      <c r="I18" s="1664"/>
      <c r="J18" s="1664"/>
      <c r="K18" s="1673"/>
      <c r="L18" s="1664"/>
      <c r="M18" s="1664"/>
      <c r="N18" s="1664"/>
      <c r="Q18" s="1664"/>
      <c r="R18" s="1664"/>
      <c r="S18" s="1664"/>
      <c r="T18" s="1664"/>
      <c r="U18" s="1664"/>
      <c r="V18" s="1664"/>
      <c r="W18" s="1664"/>
      <c r="X18" s="1664"/>
      <c r="Y18" s="1664"/>
      <c r="Z18" s="1664"/>
      <c r="AA18" s="1664"/>
      <c r="AB18" s="1664"/>
      <c r="AC18" s="1664"/>
      <c r="AD18" s="1664"/>
      <c r="AE18" s="1665"/>
    </row>
    <row r="19" spans="2:31" s="1649" customFormat="1" ht="16.5" customHeight="1" thickBot="1" thickTop="1">
      <c r="B19" s="1663"/>
      <c r="C19" s="1664"/>
      <c r="D19" s="1664"/>
      <c r="E19" s="1674" t="s">
        <v>26</v>
      </c>
      <c r="F19" s="1675">
        <v>253.422</v>
      </c>
      <c r="G19" s="1676"/>
      <c r="H19" s="1664"/>
      <c r="I19" s="1664"/>
      <c r="J19" s="1664"/>
      <c r="K19" s="1664"/>
      <c r="L19" s="1664"/>
      <c r="M19" s="1664"/>
      <c r="N19" s="1664"/>
      <c r="O19" s="1664"/>
      <c r="P19" s="1664"/>
      <c r="Q19" s="1664"/>
      <c r="R19" s="1664"/>
      <c r="S19" s="1664"/>
      <c r="T19" s="1664"/>
      <c r="U19" s="1664"/>
      <c r="V19" s="1664"/>
      <c r="W19" s="1664"/>
      <c r="X19" s="1664"/>
      <c r="Y19" s="1664"/>
      <c r="Z19" s="1664"/>
      <c r="AA19" s="1664"/>
      <c r="AB19" s="1664"/>
      <c r="AC19" s="1664"/>
      <c r="AD19" s="1664"/>
      <c r="AE19" s="1665"/>
    </row>
    <row r="20" spans="2:31" s="1649" customFormat="1" ht="16.5" customHeight="1" thickBot="1" thickTop="1">
      <c r="B20" s="1663"/>
      <c r="C20" s="1664"/>
      <c r="D20" s="1664"/>
      <c r="E20" s="1674" t="s">
        <v>27</v>
      </c>
      <c r="F20" s="1675">
        <v>211.19</v>
      </c>
      <c r="G20" s="1676"/>
      <c r="H20" s="1664"/>
      <c r="I20" s="1664"/>
      <c r="J20" s="1664"/>
      <c r="K20" s="1677"/>
      <c r="L20" s="1678"/>
      <c r="M20" s="1664"/>
      <c r="N20" s="1664"/>
      <c r="O20" s="1664"/>
      <c r="P20" s="1664"/>
      <c r="Q20" s="1664"/>
      <c r="R20" s="1664"/>
      <c r="S20" s="1664"/>
      <c r="T20" s="1664"/>
      <c r="U20" s="1664"/>
      <c r="V20" s="1664"/>
      <c r="W20" s="1679"/>
      <c r="X20" s="1679"/>
      <c r="Y20" s="1679"/>
      <c r="Z20" s="1679"/>
      <c r="AA20" s="1679"/>
      <c r="AB20" s="1679"/>
      <c r="AC20" s="1679"/>
      <c r="AE20" s="1665"/>
    </row>
    <row r="21" spans="2:31" s="1649" customFormat="1" ht="16.5" customHeight="1" thickBot="1" thickTop="1">
      <c r="B21" s="1663"/>
      <c r="C21" s="1664"/>
      <c r="D21" s="1664"/>
      <c r="E21" s="1664"/>
      <c r="F21" s="1680"/>
      <c r="G21" s="1664"/>
      <c r="H21" s="1664"/>
      <c r="I21" s="1664"/>
      <c r="J21" s="1664"/>
      <c r="K21" s="1664"/>
      <c r="L21" s="1664"/>
      <c r="M21" s="1664"/>
      <c r="N21" s="1664"/>
      <c r="O21" s="1681"/>
      <c r="P21" s="1664"/>
      <c r="Q21" s="1664"/>
      <c r="R21" s="1664"/>
      <c r="S21" s="1664"/>
      <c r="T21" s="1664"/>
      <c r="U21" s="1664"/>
      <c r="V21" s="1664"/>
      <c r="W21" s="1664"/>
      <c r="X21" s="1664"/>
      <c r="Y21" s="1664"/>
      <c r="Z21" s="1664"/>
      <c r="AA21" s="1664"/>
      <c r="AB21" s="1664"/>
      <c r="AC21" s="1664"/>
      <c r="AD21" s="1664"/>
      <c r="AE21" s="1665"/>
    </row>
    <row r="22" spans="2:31" s="1649" customFormat="1" ht="33.75" customHeight="1" thickBot="1" thickTop="1">
      <c r="B22" s="1663"/>
      <c r="C22" s="1682" t="s">
        <v>28</v>
      </c>
      <c r="D22" s="1682" t="s">
        <v>29</v>
      </c>
      <c r="E22" s="1683" t="s">
        <v>5</v>
      </c>
      <c r="F22" s="1684" t="s">
        <v>31</v>
      </c>
      <c r="G22" s="1685" t="s">
        <v>32</v>
      </c>
      <c r="H22" s="1686" t="s">
        <v>33</v>
      </c>
      <c r="I22" s="1687" t="s">
        <v>34</v>
      </c>
      <c r="J22" s="1688" t="s">
        <v>35</v>
      </c>
      <c r="K22" s="1683" t="s">
        <v>36</v>
      </c>
      <c r="L22" s="1689" t="s">
        <v>37</v>
      </c>
      <c r="M22" s="1690" t="s">
        <v>38</v>
      </c>
      <c r="N22" s="1685" t="s">
        <v>39</v>
      </c>
      <c r="O22" s="1690" t="s">
        <v>254</v>
      </c>
      <c r="P22" s="1685" t="s">
        <v>40</v>
      </c>
      <c r="Q22" s="1689" t="s">
        <v>41</v>
      </c>
      <c r="R22" s="1683" t="s">
        <v>42</v>
      </c>
      <c r="S22" s="1691" t="s">
        <v>43</v>
      </c>
      <c r="T22" s="1692" t="s">
        <v>44</v>
      </c>
      <c r="U22" s="1693" t="s">
        <v>45</v>
      </c>
      <c r="V22" s="1694"/>
      <c r="W22" s="1695"/>
      <c r="X22" s="1696" t="s">
        <v>46</v>
      </c>
      <c r="Y22" s="1697"/>
      <c r="Z22" s="1698"/>
      <c r="AA22" s="1699" t="s">
        <v>47</v>
      </c>
      <c r="AB22" s="1700" t="s">
        <v>48</v>
      </c>
      <c r="AC22" s="1701" t="s">
        <v>49</v>
      </c>
      <c r="AD22" s="1701" t="s">
        <v>50</v>
      </c>
      <c r="AE22" s="1702"/>
    </row>
    <row r="23" spans="2:31" s="1649" customFormat="1" ht="16.5" customHeight="1" thickTop="1">
      <c r="B23" s="1663"/>
      <c r="C23" s="1703"/>
      <c r="D23" s="1703"/>
      <c r="E23" s="194"/>
      <c r="F23" s="195"/>
      <c r="G23" s="196"/>
      <c r="H23" s="195"/>
      <c r="I23" s="1704"/>
      <c r="J23" s="1705"/>
      <c r="K23" s="197"/>
      <c r="L23" s="198"/>
      <c r="M23" s="1706"/>
      <c r="N23" s="1707"/>
      <c r="O23" s="1708"/>
      <c r="P23" s="1709"/>
      <c r="Q23" s="1710"/>
      <c r="R23" s="1710"/>
      <c r="S23" s="1711"/>
      <c r="T23" s="1712"/>
      <c r="U23" s="1713"/>
      <c r="V23" s="1714"/>
      <c r="W23" s="1715"/>
      <c r="X23" s="1716"/>
      <c r="Y23" s="1717"/>
      <c r="Z23" s="1718"/>
      <c r="AA23" s="1719"/>
      <c r="AB23" s="1720"/>
      <c r="AC23" s="1721"/>
      <c r="AD23" s="1722"/>
      <c r="AE23" s="1723"/>
    </row>
    <row r="24" spans="2:31" s="1649" customFormat="1" ht="16.5" customHeight="1">
      <c r="B24" s="1663"/>
      <c r="C24" s="1724">
        <v>3</v>
      </c>
      <c r="D24" s="169">
        <v>250985</v>
      </c>
      <c r="E24" s="194" t="s">
        <v>261</v>
      </c>
      <c r="F24" s="195">
        <v>500</v>
      </c>
      <c r="G24" s="196">
        <v>194</v>
      </c>
      <c r="H24" s="195" t="s">
        <v>258</v>
      </c>
      <c r="I24" s="1704">
        <f>IF(H24="A",200,IF(H24="B",60,20))</f>
        <v>20</v>
      </c>
      <c r="J24" s="1705">
        <f>IF(F24=500,IF(G24&lt;100,100*$F$19/100,G24*$F$19/100),IF(G24&lt;100,100*$F$20/100,G24*$F$20/100))</f>
        <v>491.63868</v>
      </c>
      <c r="K24" s="1725">
        <v>41154.913194444445</v>
      </c>
      <c r="L24" s="1726">
        <v>41154.92152777778</v>
      </c>
      <c r="M24" s="1706">
        <f>IF(E24="","",(L24-K24)*24)</f>
        <v>0.19999999995343387</v>
      </c>
      <c r="N24" s="1707">
        <f>IF(E24="","",ROUND((L24-K24)*24*60,0))</f>
        <v>12</v>
      </c>
      <c r="O24" s="1708" t="s">
        <v>262</v>
      </c>
      <c r="P24" s="1709" t="str">
        <f>IF(E24="","","--")</f>
        <v>--</v>
      </c>
      <c r="Q24" s="1710" t="str">
        <f>IF(E24="","","NO")</f>
        <v>NO</v>
      </c>
      <c r="R24" s="1710" t="str">
        <f>IF(E24="","",IF(OR(O24="P",O24="RP"),"--","NO"))</f>
        <v>NO</v>
      </c>
      <c r="S24" s="1711" t="str">
        <f>IF(O24="P",J24*I24*ROUND(N24/60,2)*0.01,"--")</f>
        <v>--</v>
      </c>
      <c r="T24" s="1712" t="str">
        <f>IF(O24="RP",J24*I24*ROUND(N24/60,2)*0.01*P24/100,"--")</f>
        <v>--</v>
      </c>
      <c r="U24" s="1713">
        <v>0</v>
      </c>
      <c r="V24" s="1714">
        <f>IF(AND(O24="F",N24&gt;=10),J24*I24*IF(Q24="SI",1.2,1)*IF(N24&lt;=300,ROUND(N24/60,2),5),"--")</f>
        <v>1966.55472</v>
      </c>
      <c r="W24" s="1715" t="str">
        <f>IF(AND(O24="F",N24&gt;300),(ROUND(N24/60,2)-5)*J24*I24*0.1*IF(Q24="SI",1.2,1),"--")</f>
        <v>--</v>
      </c>
      <c r="X24" s="1716" t="str">
        <f>IF(AND(O24="R",R24="NO"),J24*I24*P24/100*IF(Q24="SI",1.2,1),"--")</f>
        <v>--</v>
      </c>
      <c r="Y24" s="1717" t="str">
        <f>IF(AND(O24="R",N24&gt;=10),J24*I24*P24/100*IF(Q24="SI",1.2,1)*IF(N24&lt;=300,ROUND(N24/60,2),5),"--")</f>
        <v>--</v>
      </c>
      <c r="Z24" s="1718" t="str">
        <f>IF(AND(O24="R",N24&gt;300),(ROUND(N24/60,2)-5)*J24*I24*0.1*P24/100*IF(Q24="SI",1.2,1),"--")</f>
        <v>--</v>
      </c>
      <c r="AA24" s="1719" t="str">
        <f>IF(O24="RF",ROUND(N24/60,2)*J24*I24*0.1*IF(Q24="SI",1.2,1),"--")</f>
        <v>--</v>
      </c>
      <c r="AB24" s="1720" t="str">
        <f>IF(O24="RR",ROUND(N24/60,2)*J24*I24*0.1*P24/100*IF(Q24="SI",1.2,1),"--")</f>
        <v>--</v>
      </c>
      <c r="AC24" s="1727" t="str">
        <f>IF(E24="","","SI")</f>
        <v>SI</v>
      </c>
      <c r="AD24" s="1722">
        <f>IF(E24="","",SUM(S24:AB24)*IF(AC24="SI",1,2))</f>
        <v>1966.55472</v>
      </c>
      <c r="AE24" s="1723"/>
    </row>
    <row r="25" spans="2:31" s="1649" customFormat="1" ht="16.5" customHeight="1">
      <c r="B25" s="1663"/>
      <c r="C25" s="1728"/>
      <c r="D25" s="1728"/>
      <c r="E25" s="1703"/>
      <c r="F25" s="1729"/>
      <c r="G25" s="1730"/>
      <c r="H25" s="1729"/>
      <c r="I25" s="1704">
        <f>IF(H25="A",200,IF(H25="B",60,20))</f>
        <v>20</v>
      </c>
      <c r="J25" s="1705">
        <f>IF(F25=500,IF(G25&lt;100,100*$F$19/100,G25*$F$19/100),IF(G25&lt;100,100*$F$20/100,G25*$F$20/100))</f>
        <v>211.19</v>
      </c>
      <c r="K25" s="1725"/>
      <c r="L25" s="1726"/>
      <c r="M25" s="1706">
        <f>IF(E25="","",(L25-K25)*24)</f>
      </c>
      <c r="N25" s="1707">
        <f>IF(E25="","",ROUND((L25-K25)*24*60,0))</f>
      </c>
      <c r="O25" s="1708"/>
      <c r="P25" s="1709">
        <f>IF(E25="","","--")</f>
      </c>
      <c r="Q25" s="1710">
        <f>IF(E25="","","NO")</f>
      </c>
      <c r="R25" s="1710">
        <f>IF(E25="","",IF(OR(O25="P",O25="RP"),"--","NO"))</f>
      </c>
      <c r="S25" s="1711" t="str">
        <f>IF(O25="P",J25*I25*ROUND(N25/60,2)*0.01,"--")</f>
        <v>--</v>
      </c>
      <c r="T25" s="1712" t="str">
        <f>IF(O25="RP",J25*I25*ROUND(N25/60,2)*0.01*P25/100,"--")</f>
        <v>--</v>
      </c>
      <c r="U25" s="1713">
        <v>0</v>
      </c>
      <c r="V25" s="1714" t="str">
        <f>IF(AND(O25="F",N25&gt;=10),J25*I25*IF(Q25="SI",1.2,1)*IF(N25&lt;=300,ROUND(N25/60,2),5),"--")</f>
        <v>--</v>
      </c>
      <c r="W25" s="1715" t="str">
        <f>IF(AND(O25="F",N25&gt;300),(ROUND(N25/60,2)-5)*J25*I25*0.1*IF(Q25="SI",1.2,1),"--")</f>
        <v>--</v>
      </c>
      <c r="X25" s="1716" t="str">
        <f>IF(AND(O25="R",R25="NO"),J25*I25*P25/100*IF(Q25="SI",1.2,1),"--")</f>
        <v>--</v>
      </c>
      <c r="Y25" s="1717" t="str">
        <f>IF(AND(O25="R",N25&gt;=10),J25*I25*P25/100*IF(Q25="SI",1.2,1)*IF(N25&lt;=300,ROUND(N25/60,2),5),"--")</f>
        <v>--</v>
      </c>
      <c r="Z25" s="1718" t="str">
        <f>IF(AND(O25="R",N25&gt;300),(ROUND(N25/60,2)-5)*J25*I25*0.1*P25/100*IF(Q25="SI",1.2,1),"--")</f>
        <v>--</v>
      </c>
      <c r="AA25" s="1719" t="str">
        <f>IF(O25="RF",ROUND(N25/60,2)*J25*I25*0.1*IF(Q25="SI",1.2,1),"--")</f>
        <v>--</v>
      </c>
      <c r="AB25" s="1720" t="str">
        <f>IF(O25="RR",ROUND(N25/60,2)*J25*I25*0.1*P25/100*IF(Q25="SI",1.2,1),"--")</f>
        <v>--</v>
      </c>
      <c r="AC25" s="1721">
        <f>IF(E25="","","SI")</f>
      </c>
      <c r="AD25" s="1722">
        <f>IF(E25="","",SUM(S25:AB25)*IF(AC25="SI",1,2))</f>
      </c>
      <c r="AE25" s="1723"/>
    </row>
    <row r="26" spans="2:31" s="1649" customFormat="1" ht="16.5" customHeight="1">
      <c r="B26" s="1663"/>
      <c r="C26" s="1703"/>
      <c r="D26" s="1703"/>
      <c r="E26" s="1703"/>
      <c r="F26" s="1729"/>
      <c r="G26" s="1730"/>
      <c r="H26" s="1729"/>
      <c r="I26" s="1704">
        <f>IF(H26="A",200,IF(H26="B",60,20))</f>
        <v>20</v>
      </c>
      <c r="J26" s="1705">
        <f>IF(F26=500,IF(G26&lt;100,100*$F$19/100,G26*$F$19/100),IF(G26&lt;100,100*$F$20/100,G26*$F$20/100))</f>
        <v>211.19</v>
      </c>
      <c r="K26" s="1725"/>
      <c r="L26" s="1726"/>
      <c r="M26" s="1706">
        <f>IF(E26="","",(L26-K26)*24)</f>
      </c>
      <c r="N26" s="1707">
        <f>IF(E26="","",ROUND((L26-K26)*24*60,0))</f>
      </c>
      <c r="O26" s="1708"/>
      <c r="P26" s="1709">
        <f>IF(E26="","","--")</f>
      </c>
      <c r="Q26" s="1710">
        <f>IF(E26="","","NO")</f>
      </c>
      <c r="R26" s="1710">
        <f>IF(E26="","",IF(OR(O26="P",O26="RP"),"--","NO"))</f>
      </c>
      <c r="S26" s="1711" t="str">
        <f>IF(O26="P",J26*I26*ROUND(N26/60,2)*0.01,"--")</f>
        <v>--</v>
      </c>
      <c r="T26" s="1712" t="str">
        <f>IF(O26="RP",J26*I26*ROUND(N26/60,2)*0.01*P26/100,"--")</f>
        <v>--</v>
      </c>
      <c r="U26" s="1713">
        <v>0</v>
      </c>
      <c r="V26" s="1714" t="str">
        <f>IF(AND(O26="F",N26&gt;=10),J26*I26*IF(Q26="SI",1.2,1)*IF(N26&lt;=300,ROUND(N26/60,2),5),"--")</f>
        <v>--</v>
      </c>
      <c r="W26" s="1715" t="str">
        <f>IF(AND(O26="F",N26&gt;300),(ROUND(N26/60,2)-5)*J26*I26*0.1*IF(Q26="SI",1.2,1),"--")</f>
        <v>--</v>
      </c>
      <c r="X26" s="1716" t="str">
        <f>IF(AND(O26="R",R26="NO"),J26*I26*P26/100*IF(Q26="SI",1.2,1),"--")</f>
        <v>--</v>
      </c>
      <c r="Y26" s="1717" t="str">
        <f>IF(AND(O26="R",N26&gt;=10),J26*I26*P26/100*IF(Q26="SI",1.2,1)*IF(N26&lt;=300,ROUND(N26/60,2),5),"--")</f>
        <v>--</v>
      </c>
      <c r="Z26" s="1718" t="str">
        <f>IF(AND(O26="R",N26&gt;300),(ROUND(N26/60,2)-5)*J26*I26*0.1*P26/100*IF(Q26="SI",1.2,1),"--")</f>
        <v>--</v>
      </c>
      <c r="AA26" s="1719" t="str">
        <f>IF(O26="RF",ROUND(N26/60,2)*J26*I26*0.1*IF(Q26="SI",1.2,1),"--")</f>
        <v>--</v>
      </c>
      <c r="AB26" s="1720" t="str">
        <f>IF(O26="RR",ROUND(N26/60,2)*J26*I26*0.1*P26/100*IF(Q26="SI",1.2,1),"--")</f>
        <v>--</v>
      </c>
      <c r="AC26" s="1721">
        <f>IF(E26="","","SI")</f>
      </c>
      <c r="AD26" s="1722">
        <f>IF(E26="","",SUM(S26:AB26)*IF(AC26="SI",1,2))</f>
      </c>
      <c r="AE26" s="1723"/>
    </row>
    <row r="27" spans="2:31" s="1649" customFormat="1" ht="16.5" customHeight="1" thickBot="1">
      <c r="B27" s="1663"/>
      <c r="C27" s="1703"/>
      <c r="D27" s="1731"/>
      <c r="E27" s="1731"/>
      <c r="F27" s="1732"/>
      <c r="G27" s="1733"/>
      <c r="H27" s="1734"/>
      <c r="I27" s="1735"/>
      <c r="J27" s="1736"/>
      <c r="K27" s="1737"/>
      <c r="L27" s="1737"/>
      <c r="M27" s="1738"/>
      <c r="N27" s="1738"/>
      <c r="O27" s="1739"/>
      <c r="P27" s="1740"/>
      <c r="Q27" s="1739"/>
      <c r="R27" s="1739"/>
      <c r="S27" s="1741"/>
      <c r="T27" s="1742"/>
      <c r="U27" s="1743"/>
      <c r="V27" s="1744"/>
      <c r="W27" s="1745"/>
      <c r="X27" s="1746"/>
      <c r="Y27" s="1747"/>
      <c r="Z27" s="1748"/>
      <c r="AA27" s="1749"/>
      <c r="AB27" s="1750"/>
      <c r="AC27" s="1751"/>
      <c r="AD27" s="1752"/>
      <c r="AE27" s="1723"/>
    </row>
    <row r="28" spans="2:31" s="1649" customFormat="1" ht="16.5" customHeight="1" thickBot="1" thickTop="1">
      <c r="B28" s="1663"/>
      <c r="C28" s="1753" t="s">
        <v>255</v>
      </c>
      <c r="D28" s="1754" t="s">
        <v>510</v>
      </c>
      <c r="F28" s="1755"/>
      <c r="G28" s="1680"/>
      <c r="H28" s="1756"/>
      <c r="I28" s="1680"/>
      <c r="J28" s="1757"/>
      <c r="K28" s="1757"/>
      <c r="L28" s="1757"/>
      <c r="M28" s="1757"/>
      <c r="N28" s="1757"/>
      <c r="O28" s="1757"/>
      <c r="P28" s="1758"/>
      <c r="Q28" s="1757"/>
      <c r="R28" s="1757"/>
      <c r="S28" s="1759">
        <f aca="true" t="shared" si="0" ref="S28:AB28">SUM(S23:S27)</f>
        <v>0</v>
      </c>
      <c r="T28" s="1760">
        <f t="shared" si="0"/>
        <v>0</v>
      </c>
      <c r="U28" s="1761">
        <f t="shared" si="0"/>
        <v>0</v>
      </c>
      <c r="V28" s="1761">
        <f t="shared" si="0"/>
        <v>1966.55472</v>
      </c>
      <c r="W28" s="1761">
        <f t="shared" si="0"/>
        <v>0</v>
      </c>
      <c r="X28" s="1762">
        <f t="shared" si="0"/>
        <v>0</v>
      </c>
      <c r="Y28" s="1762">
        <f t="shared" si="0"/>
        <v>0</v>
      </c>
      <c r="Z28" s="1762">
        <f t="shared" si="0"/>
        <v>0</v>
      </c>
      <c r="AA28" s="1763">
        <f t="shared" si="0"/>
        <v>0</v>
      </c>
      <c r="AB28" s="1764">
        <f t="shared" si="0"/>
        <v>0</v>
      </c>
      <c r="AC28" s="1765"/>
      <c r="AD28" s="1766">
        <f>ROUND(SUM(AD23:AD27),2)</f>
        <v>1966.55</v>
      </c>
      <c r="AE28" s="1723"/>
    </row>
    <row r="29" spans="2:31" s="1767" customFormat="1" ht="9.75" thickTop="1">
      <c r="B29" s="1768"/>
      <c r="C29" s="1769"/>
      <c r="D29" s="1754"/>
      <c r="F29" s="1770"/>
      <c r="G29" s="1771"/>
      <c r="H29" s="1772"/>
      <c r="I29" s="1771"/>
      <c r="J29" s="1773"/>
      <c r="K29" s="1773"/>
      <c r="L29" s="1773"/>
      <c r="M29" s="1773"/>
      <c r="N29" s="1773"/>
      <c r="O29" s="1773"/>
      <c r="P29" s="1774"/>
      <c r="Q29" s="1773"/>
      <c r="R29" s="1773"/>
      <c r="S29" s="1775"/>
      <c r="T29" s="1775"/>
      <c r="U29" s="1775"/>
      <c r="V29" s="1775"/>
      <c r="W29" s="1775"/>
      <c r="X29" s="1775"/>
      <c r="Y29" s="1775"/>
      <c r="Z29" s="1775"/>
      <c r="AA29" s="1775"/>
      <c r="AB29" s="1775"/>
      <c r="AC29" s="1775"/>
      <c r="AD29" s="1776"/>
      <c r="AE29" s="1777"/>
    </row>
    <row r="30" spans="2:31" s="1649" customFormat="1" ht="16.5" customHeight="1" thickBot="1">
      <c r="B30" s="1778"/>
      <c r="C30" s="1779"/>
      <c r="D30" s="1779"/>
      <c r="E30" s="1779"/>
      <c r="F30" s="1779"/>
      <c r="G30" s="1779"/>
      <c r="H30" s="1779"/>
      <c r="I30" s="1779"/>
      <c r="J30" s="1779"/>
      <c r="K30" s="1779"/>
      <c r="L30" s="1779"/>
      <c r="M30" s="1779"/>
      <c r="N30" s="1779"/>
      <c r="O30" s="1779"/>
      <c r="P30" s="1779"/>
      <c r="Q30" s="1779"/>
      <c r="R30" s="1779"/>
      <c r="S30" s="1779"/>
      <c r="T30" s="1779"/>
      <c r="U30" s="1779"/>
      <c r="V30" s="1779"/>
      <c r="W30" s="1779"/>
      <c r="X30" s="1779"/>
      <c r="Y30" s="1779"/>
      <c r="Z30" s="1779"/>
      <c r="AA30" s="1779"/>
      <c r="AB30" s="1779"/>
      <c r="AC30" s="1779"/>
      <c r="AD30" s="1779"/>
      <c r="AE30" s="1780"/>
    </row>
    <row r="31" spans="2:31" ht="16.5" customHeight="1" thickTop="1">
      <c r="B31" s="1781"/>
      <c r="AE31" s="1781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0" r:id="rId2"/>
  <headerFooter alignWithMargins="0">
    <oddFooter>&amp;L&amp;"Times New Roman,Normal"&amp;8&amp;F-&amp;A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0">
    <pageSetUpPr fitToPage="1"/>
  </sheetPr>
  <dimension ref="A1:AF43"/>
  <sheetViews>
    <sheetView zoomScale="70" zoomScaleNormal="70" zoomScalePageLayoutView="0" workbookViewId="0" topLeftCell="A1">
      <selection activeCell="N51" sqref="N51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7109375" style="9" customWidth="1"/>
    <col min="6" max="6" width="45.7109375" style="9" customWidth="1"/>
    <col min="7" max="8" width="9.7109375" style="9" customWidth="1"/>
    <col min="9" max="9" width="3.8515625" style="9" customWidth="1"/>
    <col min="10" max="10" width="3.140625" style="9" hidden="1" customWidth="1"/>
    <col min="11" max="11" width="6.00390625" style="9" hidden="1" customWidth="1"/>
    <col min="12" max="13" width="15.7109375" style="9" customWidth="1"/>
    <col min="14" max="16" width="9.7109375" style="9" customWidth="1"/>
    <col min="17" max="17" width="8.7109375" style="9" customWidth="1"/>
    <col min="18" max="18" width="5.421875" style="9" customWidth="1"/>
    <col min="19" max="19" width="6.00390625" style="9" customWidth="1"/>
    <col min="20" max="21" width="12.28125" style="9" hidden="1" customWidth="1"/>
    <col min="22" max="27" width="5.7109375" style="9" hidden="1" customWidth="1"/>
    <col min="28" max="28" width="12.28125" style="9" hidden="1" customWidth="1"/>
    <col min="29" max="29" width="13.421875" style="9" hidden="1" customWidth="1"/>
    <col min="30" max="30" width="9.7109375" style="9" customWidth="1"/>
    <col min="31" max="31" width="15.7109375" style="9" customWidth="1"/>
    <col min="32" max="32" width="4.140625" style="9" customWidth="1"/>
    <col min="33" max="33" width="30.421875" style="9" customWidth="1"/>
    <col min="34" max="34" width="3.140625" style="9" customWidth="1"/>
    <col min="35" max="35" width="3.57421875" style="9" customWidth="1"/>
    <col min="36" max="36" width="24.28125" style="9" customWidth="1"/>
    <col min="37" max="37" width="4.7109375" style="9" customWidth="1"/>
    <col min="38" max="38" width="7.57421875" style="9" customWidth="1"/>
    <col min="39" max="40" width="4.140625" style="9" customWidth="1"/>
    <col min="41" max="41" width="7.140625" style="9" customWidth="1"/>
    <col min="42" max="42" width="5.28125" style="9" customWidth="1"/>
    <col min="43" max="43" width="5.421875" style="9" customWidth="1"/>
    <col min="44" max="44" width="4.7109375" style="9" customWidth="1"/>
    <col min="45" max="45" width="5.28125" style="9" customWidth="1"/>
    <col min="46" max="47" width="13.28125" style="9" customWidth="1"/>
    <col min="48" max="48" width="6.57421875" style="9" customWidth="1"/>
    <col min="49" max="49" width="6.421875" style="9" customWidth="1"/>
    <col min="50" max="53" width="11.421875" style="9" customWidth="1"/>
    <col min="54" max="54" width="12.7109375" style="9" customWidth="1"/>
    <col min="55" max="57" width="11.421875" style="9" customWidth="1"/>
    <col min="58" max="58" width="21.00390625" style="9" customWidth="1"/>
    <col min="59" max="16384" width="11.421875" style="9" customWidth="1"/>
  </cols>
  <sheetData>
    <row r="1" spans="1:32" s="3" customFormat="1" ht="26.25">
      <c r="A1" s="9"/>
      <c r="E1" s="9"/>
      <c r="G1" s="9"/>
      <c r="I1" s="9"/>
      <c r="K1" s="9"/>
      <c r="M1" s="9"/>
      <c r="O1" s="9"/>
      <c r="Q1" s="9"/>
      <c r="S1" s="9"/>
      <c r="U1" s="9"/>
      <c r="W1" s="9"/>
      <c r="Y1" s="9"/>
      <c r="AA1" s="9"/>
      <c r="AF1" s="5"/>
    </row>
    <row r="2" spans="1:32" s="3" customFormat="1" ht="26.25">
      <c r="A2" s="88"/>
      <c r="B2" s="2" t="str">
        <f>+'TOT-0912'!B2</f>
        <v>ANEXO IV al Memorándum  D.T.E.E.  N° 295 / 2014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8" customFormat="1" ht="23.25" customHeight="1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32" s="8" customFormat="1" ht="13.5" thickTop="1">
      <c r="B7" s="91"/>
      <c r="C7" s="92"/>
      <c r="D7" s="92"/>
      <c r="E7" s="92"/>
      <c r="F7" s="92"/>
      <c r="G7" s="93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4"/>
    </row>
    <row r="8" spans="2:32" s="18" customFormat="1" ht="20.25">
      <c r="B8" s="95"/>
      <c r="C8" s="23"/>
      <c r="D8" s="23"/>
      <c r="E8" s="23"/>
      <c r="F8" s="96" t="s">
        <v>23</v>
      </c>
      <c r="G8" s="23"/>
      <c r="H8" s="23"/>
      <c r="I8" s="23"/>
      <c r="J8" s="23"/>
      <c r="P8" s="23"/>
      <c r="Q8" s="23"/>
      <c r="R8" s="97"/>
      <c r="S8" s="97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98"/>
    </row>
    <row r="9" spans="2:32" s="8" customFormat="1" ht="16.5" customHeight="1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99"/>
    </row>
    <row r="10" spans="2:32" s="249" customFormat="1" ht="33" customHeight="1">
      <c r="B10" s="250"/>
      <c r="C10" s="251"/>
      <c r="D10" s="251"/>
      <c r="E10" s="251"/>
      <c r="F10" s="252" t="s">
        <v>24</v>
      </c>
      <c r="G10" s="251"/>
      <c r="H10" s="251"/>
      <c r="I10" s="251"/>
      <c r="K10" s="251"/>
      <c r="L10" s="251"/>
      <c r="M10" s="251"/>
      <c r="N10" s="251"/>
      <c r="O10" s="251"/>
      <c r="P10" s="251"/>
      <c r="Q10" s="251"/>
      <c r="R10" s="252"/>
      <c r="S10" s="252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3"/>
    </row>
    <row r="11" spans="2:32" s="254" customFormat="1" ht="33" customHeight="1">
      <c r="B11" s="255"/>
      <c r="C11" s="256"/>
      <c r="D11" s="256"/>
      <c r="E11" s="256"/>
      <c r="F11" s="252" t="s">
        <v>51</v>
      </c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8"/>
    </row>
    <row r="12" spans="2:32" s="34" customFormat="1" ht="19.5">
      <c r="B12" s="35" t="str">
        <f>'TOT-0912'!B14</f>
        <v>Desde el 01 al 30 de septiembre de 2012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101"/>
      <c r="Q12" s="101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102"/>
    </row>
    <row r="13" spans="2:32" s="8" customFormat="1" ht="16.5" customHeight="1" thickBot="1">
      <c r="B13" s="55"/>
      <c r="C13" s="11"/>
      <c r="D13" s="11"/>
      <c r="E13" s="11"/>
      <c r="F13" s="11"/>
      <c r="G13" s="85"/>
      <c r="H13" s="85"/>
      <c r="I13" s="11"/>
      <c r="J13" s="11"/>
      <c r="K13" s="11"/>
      <c r="L13" s="103"/>
      <c r="M13" s="11"/>
      <c r="N13" s="11"/>
      <c r="O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99"/>
    </row>
    <row r="14" spans="2:32" s="8" customFormat="1" ht="16.5" customHeight="1" thickBot="1" thickTop="1">
      <c r="B14" s="55"/>
      <c r="C14" s="11"/>
      <c r="D14" s="11"/>
      <c r="E14" s="11"/>
      <c r="F14" s="104" t="s">
        <v>26</v>
      </c>
      <c r="G14" s="105">
        <v>117.179</v>
      </c>
      <c r="H14" s="106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99"/>
    </row>
    <row r="15" spans="2:32" s="8" customFormat="1" ht="16.5" customHeight="1" thickBot="1" thickTop="1">
      <c r="B15" s="55"/>
      <c r="C15" s="11"/>
      <c r="D15" s="11"/>
      <c r="E15" s="11"/>
      <c r="F15" s="104" t="s">
        <v>27</v>
      </c>
      <c r="G15" s="105" t="s">
        <v>336</v>
      </c>
      <c r="H15" s="106"/>
      <c r="I15" s="11"/>
      <c r="J15" s="11"/>
      <c r="K15" s="11"/>
      <c r="L15" s="107"/>
      <c r="M15" s="108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09"/>
      <c r="Y15" s="109"/>
      <c r="Z15" s="109"/>
      <c r="AA15" s="109"/>
      <c r="AB15" s="109"/>
      <c r="AC15" s="109"/>
      <c r="AD15" s="109"/>
      <c r="AF15" s="99"/>
    </row>
    <row r="16" spans="2:32" s="8" customFormat="1" ht="16.5" customHeight="1" thickBot="1" thickTop="1">
      <c r="B16" s="55"/>
      <c r="C16" s="110">
        <v>3</v>
      </c>
      <c r="D16" s="110">
        <v>4</v>
      </c>
      <c r="E16" s="110">
        <v>5</v>
      </c>
      <c r="F16" s="110">
        <v>6</v>
      </c>
      <c r="G16" s="110">
        <v>7</v>
      </c>
      <c r="H16" s="110">
        <v>8</v>
      </c>
      <c r="I16" s="110">
        <v>9</v>
      </c>
      <c r="J16" s="110">
        <v>10</v>
      </c>
      <c r="K16" s="110">
        <v>11</v>
      </c>
      <c r="L16" s="110">
        <v>12</v>
      </c>
      <c r="M16" s="110">
        <v>13</v>
      </c>
      <c r="N16" s="110">
        <v>14</v>
      </c>
      <c r="O16" s="110">
        <v>15</v>
      </c>
      <c r="P16" s="110">
        <v>16</v>
      </c>
      <c r="Q16" s="110">
        <v>17</v>
      </c>
      <c r="R16" s="110">
        <v>18</v>
      </c>
      <c r="S16" s="110">
        <v>19</v>
      </c>
      <c r="T16" s="110">
        <v>20</v>
      </c>
      <c r="U16" s="110">
        <v>21</v>
      </c>
      <c r="V16" s="110">
        <v>22</v>
      </c>
      <c r="W16" s="110">
        <v>23</v>
      </c>
      <c r="X16" s="110">
        <v>24</v>
      </c>
      <c r="Y16" s="110">
        <v>25</v>
      </c>
      <c r="Z16" s="110">
        <v>26</v>
      </c>
      <c r="AA16" s="110">
        <v>27</v>
      </c>
      <c r="AB16" s="110">
        <v>28</v>
      </c>
      <c r="AC16" s="110">
        <v>29</v>
      </c>
      <c r="AD16" s="110">
        <v>30</v>
      </c>
      <c r="AE16" s="110">
        <v>31</v>
      </c>
      <c r="AF16" s="99"/>
    </row>
    <row r="17" spans="2:32" s="8" customFormat="1" ht="33.75" customHeight="1" thickBot="1" thickTop="1">
      <c r="B17" s="55"/>
      <c r="C17" s="111" t="s">
        <v>28</v>
      </c>
      <c r="D17" s="111" t="s">
        <v>29</v>
      </c>
      <c r="E17" s="111" t="s">
        <v>30</v>
      </c>
      <c r="F17" s="112" t="s">
        <v>5</v>
      </c>
      <c r="G17" s="113" t="s">
        <v>31</v>
      </c>
      <c r="H17" s="114" t="s">
        <v>32</v>
      </c>
      <c r="I17" s="115" t="s">
        <v>33</v>
      </c>
      <c r="J17" s="116" t="s">
        <v>34</v>
      </c>
      <c r="K17" s="117" t="s">
        <v>35</v>
      </c>
      <c r="L17" s="112" t="s">
        <v>36</v>
      </c>
      <c r="M17" s="118" t="s">
        <v>37</v>
      </c>
      <c r="N17" s="119" t="s">
        <v>38</v>
      </c>
      <c r="O17" s="114" t="s">
        <v>39</v>
      </c>
      <c r="P17" s="119" t="s">
        <v>254</v>
      </c>
      <c r="Q17" s="114" t="s">
        <v>40</v>
      </c>
      <c r="R17" s="118" t="s">
        <v>41</v>
      </c>
      <c r="S17" s="112" t="s">
        <v>42</v>
      </c>
      <c r="T17" s="120" t="s">
        <v>43</v>
      </c>
      <c r="U17" s="121" t="s">
        <v>44</v>
      </c>
      <c r="V17" s="122" t="s">
        <v>45</v>
      </c>
      <c r="W17" s="123"/>
      <c r="X17" s="124"/>
      <c r="Y17" s="125" t="s">
        <v>46</v>
      </c>
      <c r="Z17" s="126"/>
      <c r="AA17" s="127"/>
      <c r="AB17" s="128" t="s">
        <v>47</v>
      </c>
      <c r="AC17" s="129" t="s">
        <v>48</v>
      </c>
      <c r="AD17" s="130" t="s">
        <v>49</v>
      </c>
      <c r="AE17" s="130" t="s">
        <v>50</v>
      </c>
      <c r="AF17" s="131"/>
    </row>
    <row r="18" spans="2:32" s="8" customFormat="1" ht="16.5" customHeight="1" thickTop="1">
      <c r="B18" s="55"/>
      <c r="C18" s="132"/>
      <c r="D18" s="132"/>
      <c r="E18" s="132"/>
      <c r="F18" s="133"/>
      <c r="G18" s="133"/>
      <c r="H18" s="134"/>
      <c r="I18" s="135"/>
      <c r="J18" s="136"/>
      <c r="K18" s="137"/>
      <c r="L18" s="138"/>
      <c r="M18" s="138"/>
      <c r="N18" s="135"/>
      <c r="O18" s="135"/>
      <c r="P18" s="135"/>
      <c r="Q18" s="135"/>
      <c r="R18" s="135"/>
      <c r="S18" s="135"/>
      <c r="T18" s="139"/>
      <c r="U18" s="140"/>
      <c r="V18" s="141"/>
      <c r="W18" s="142"/>
      <c r="X18" s="143"/>
      <c r="Y18" s="144"/>
      <c r="Z18" s="145"/>
      <c r="AA18" s="146"/>
      <c r="AB18" s="147"/>
      <c r="AC18" s="148"/>
      <c r="AD18" s="135"/>
      <c r="AE18" s="149"/>
      <c r="AF18" s="99"/>
    </row>
    <row r="19" spans="2:32" s="8" customFormat="1" ht="16.5" customHeight="1">
      <c r="B19" s="55"/>
      <c r="C19" s="259"/>
      <c r="D19" s="259"/>
      <c r="E19" s="259"/>
      <c r="F19" s="194"/>
      <c r="G19" s="195"/>
      <c r="H19" s="196"/>
      <c r="I19" s="195"/>
      <c r="J19" s="172">
        <f aca="true" t="shared" si="0" ref="J19:J39">IF(I19="A",200,IF(I19="B",60,20))</f>
        <v>20</v>
      </c>
      <c r="K19" s="173" t="e">
        <f aca="true" t="shared" si="1" ref="K19:K39">IF(G19=500,IF(H19&lt;100,100*$G$14/100,H19*$G$14/100),IF(H19&lt;100,100*$G$15/100,H19*$G$15/100))</f>
        <v>#VALUE!</v>
      </c>
      <c r="L19" s="174"/>
      <c r="M19" s="175"/>
      <c r="N19" s="176">
        <f aca="true" t="shared" si="2" ref="N19:N39">IF(F19="","",(M19-L19)*24)</f>
      </c>
      <c r="O19" s="177">
        <f aca="true" t="shared" si="3" ref="O19:O39">IF(F19="","",ROUND((M19-L19)*24*60,0))</f>
      </c>
      <c r="P19" s="178"/>
      <c r="Q19" s="179">
        <f aca="true" t="shared" si="4" ref="Q19:Q39">IF(F19="","","--")</f>
      </c>
      <c r="R19" s="180">
        <f aca="true" t="shared" si="5" ref="R19:R39">IF(F19="","","NO")</f>
      </c>
      <c r="S19" s="180">
        <f aca="true" t="shared" si="6" ref="S19:S39">IF(F19="","",IF(OR(P19="P",P19="RP"),"--","NO"))</f>
      </c>
      <c r="T19" s="260" t="str">
        <f aca="true" t="shared" si="7" ref="T19:T39">IF(P19="P",K19*J19*ROUND(O19/60,2)*0.01,"--")</f>
        <v>--</v>
      </c>
      <c r="U19" s="261" t="str">
        <f aca="true" t="shared" si="8" ref="U19:U39">IF(P19="RP",K19*J19*ROUND(O19/60,2)*0.01*Q19/100,"--")</f>
        <v>--</v>
      </c>
      <c r="V19" s="262" t="str">
        <f aca="true" t="shared" si="9" ref="V19:V39">IF(AND(P19="F",S19="NO"),K19*J19*IF(R19="SI",1.2,1),"--")</f>
        <v>--</v>
      </c>
      <c r="W19" s="263" t="str">
        <f aca="true" t="shared" si="10" ref="W19:W39">IF(AND(P19="F",O19&gt;=10),K19*J19*IF(R19="SI",1.2,1)*IF(O19&lt;=300,ROUND(O19/60,2),5),"--")</f>
        <v>--</v>
      </c>
      <c r="X19" s="264" t="str">
        <f aca="true" t="shared" si="11" ref="X19:X39">IF(AND(P19="F",O19&gt;300),(ROUND(O19/60,2)-5)*K19*J19*0.1*IF(R19="SI",1.2,1),"--")</f>
        <v>--</v>
      </c>
      <c r="Y19" s="265" t="str">
        <f aca="true" t="shared" si="12" ref="Y19:Y39">IF(AND(P19="R",S19="NO"),K19*J19*Q19/100*IF(R19="SI",1.2,1),"--")</f>
        <v>--</v>
      </c>
      <c r="Z19" s="266" t="str">
        <f aca="true" t="shared" si="13" ref="Z19:Z39">IF(AND(P19="R",O19&gt;=10),K19*J19*Q19/100*IF(R19="SI",1.2,1)*IF(O19&lt;=300,ROUND(O19/60,2),5),"--")</f>
        <v>--</v>
      </c>
      <c r="AA19" s="267" t="str">
        <f aca="true" t="shared" si="14" ref="AA19:AA39">IF(AND(P19="R",O19&gt;300),(ROUND(O19/60,2)-5)*K19*J19*0.1*Q19/100*IF(R19="SI",1.2,1),"--")</f>
        <v>--</v>
      </c>
      <c r="AB19" s="268" t="str">
        <f aca="true" t="shared" si="15" ref="AB19:AB39">IF(P19="RF",ROUND(O19/60,2)*K19*J19*0.1*IF(R19="SI",1.2,1),"--")</f>
        <v>--</v>
      </c>
      <c r="AC19" s="269" t="str">
        <f aca="true" t="shared" si="16" ref="AC19:AC39">IF(P19="RR",ROUND(O19/60,2)*K19*J19*0.1*Q19/100*IF(R19="SI",1.2,1),"--")</f>
        <v>--</v>
      </c>
      <c r="AD19" s="270">
        <f aca="true" t="shared" si="17" ref="AD19:AD39">IF(F19="","","SI")</f>
      </c>
      <c r="AE19" s="192">
        <f aca="true" t="shared" si="18" ref="AE19:AE39">IF(F19="","",SUM(T19:AC19)*IF(AD19="SI",1,2))</f>
      </c>
      <c r="AF19" s="99"/>
    </row>
    <row r="20" spans="2:32" s="8" customFormat="1" ht="16.5" customHeight="1">
      <c r="B20" s="55"/>
      <c r="C20" s="259">
        <v>12</v>
      </c>
      <c r="D20" s="259">
        <v>251378</v>
      </c>
      <c r="E20" s="259">
        <v>1617</v>
      </c>
      <c r="F20" s="194" t="s">
        <v>266</v>
      </c>
      <c r="G20" s="195">
        <v>500</v>
      </c>
      <c r="H20" s="196">
        <v>40</v>
      </c>
      <c r="I20" s="195" t="s">
        <v>258</v>
      </c>
      <c r="J20" s="172">
        <f t="shared" si="0"/>
        <v>20</v>
      </c>
      <c r="K20" s="173">
        <f t="shared" si="1"/>
        <v>117.179</v>
      </c>
      <c r="L20" s="174">
        <v>41157.31458333333</v>
      </c>
      <c r="M20" s="175">
        <v>41157.654861111114</v>
      </c>
      <c r="N20" s="176">
        <f t="shared" si="2"/>
        <v>8.166666666744277</v>
      </c>
      <c r="O20" s="177">
        <f t="shared" si="3"/>
        <v>490</v>
      </c>
      <c r="P20" s="178" t="s">
        <v>259</v>
      </c>
      <c r="Q20" s="179" t="str">
        <f t="shared" si="4"/>
        <v>--</v>
      </c>
      <c r="R20" s="180" t="str">
        <f t="shared" si="5"/>
        <v>NO</v>
      </c>
      <c r="S20" s="180" t="str">
        <f t="shared" si="6"/>
        <v>--</v>
      </c>
      <c r="T20" s="260">
        <f t="shared" si="7"/>
        <v>191.470486</v>
      </c>
      <c r="U20" s="261" t="str">
        <f t="shared" si="8"/>
        <v>--</v>
      </c>
      <c r="V20" s="262" t="str">
        <f t="shared" si="9"/>
        <v>--</v>
      </c>
      <c r="W20" s="263" t="str">
        <f t="shared" si="10"/>
        <v>--</v>
      </c>
      <c r="X20" s="264" t="str">
        <f t="shared" si="11"/>
        <v>--</v>
      </c>
      <c r="Y20" s="265" t="str">
        <f t="shared" si="12"/>
        <v>--</v>
      </c>
      <c r="Z20" s="266" t="str">
        <f t="shared" si="13"/>
        <v>--</v>
      </c>
      <c r="AA20" s="267" t="str">
        <f t="shared" si="14"/>
        <v>--</v>
      </c>
      <c r="AB20" s="268" t="str">
        <f t="shared" si="15"/>
        <v>--</v>
      </c>
      <c r="AC20" s="269" t="str">
        <f t="shared" si="16"/>
        <v>--</v>
      </c>
      <c r="AD20" s="191" t="s">
        <v>79</v>
      </c>
      <c r="AE20" s="192">
        <f t="shared" si="18"/>
        <v>191.470486</v>
      </c>
      <c r="AF20" s="193"/>
    </row>
    <row r="21" spans="2:32" s="8" customFormat="1" ht="16.5" customHeight="1">
      <c r="B21" s="55"/>
      <c r="C21" s="150">
        <v>13</v>
      </c>
      <c r="D21" s="150">
        <v>251380</v>
      </c>
      <c r="E21" s="150">
        <v>1617</v>
      </c>
      <c r="F21" s="194" t="s">
        <v>266</v>
      </c>
      <c r="G21" s="195">
        <v>500</v>
      </c>
      <c r="H21" s="196">
        <v>40</v>
      </c>
      <c r="I21" s="195" t="s">
        <v>258</v>
      </c>
      <c r="J21" s="172">
        <f t="shared" si="0"/>
        <v>20</v>
      </c>
      <c r="K21" s="173">
        <f t="shared" si="1"/>
        <v>117.179</v>
      </c>
      <c r="L21" s="174">
        <v>41158.39375</v>
      </c>
      <c r="M21" s="175">
        <v>41158.65972222222</v>
      </c>
      <c r="N21" s="176">
        <f t="shared" si="2"/>
        <v>6.383333333185874</v>
      </c>
      <c r="O21" s="177">
        <f t="shared" si="3"/>
        <v>383</v>
      </c>
      <c r="P21" s="178" t="s">
        <v>259</v>
      </c>
      <c r="Q21" s="179" t="str">
        <f t="shared" si="4"/>
        <v>--</v>
      </c>
      <c r="R21" s="180" t="str">
        <f t="shared" si="5"/>
        <v>NO</v>
      </c>
      <c r="S21" s="180" t="str">
        <f t="shared" si="6"/>
        <v>--</v>
      </c>
      <c r="T21" s="260">
        <f t="shared" si="7"/>
        <v>149.520404</v>
      </c>
      <c r="U21" s="261" t="str">
        <f t="shared" si="8"/>
        <v>--</v>
      </c>
      <c r="V21" s="262" t="str">
        <f t="shared" si="9"/>
        <v>--</v>
      </c>
      <c r="W21" s="263" t="str">
        <f t="shared" si="10"/>
        <v>--</v>
      </c>
      <c r="X21" s="264" t="str">
        <f t="shared" si="11"/>
        <v>--</v>
      </c>
      <c r="Y21" s="265" t="str">
        <f t="shared" si="12"/>
        <v>--</v>
      </c>
      <c r="Z21" s="266" t="str">
        <f t="shared" si="13"/>
        <v>--</v>
      </c>
      <c r="AA21" s="267" t="str">
        <f t="shared" si="14"/>
        <v>--</v>
      </c>
      <c r="AB21" s="268" t="str">
        <f t="shared" si="15"/>
        <v>--</v>
      </c>
      <c r="AC21" s="269" t="str">
        <f t="shared" si="16"/>
        <v>--</v>
      </c>
      <c r="AD21" s="191" t="s">
        <v>79</v>
      </c>
      <c r="AE21" s="192">
        <f t="shared" si="18"/>
        <v>149.520404</v>
      </c>
      <c r="AF21" s="193"/>
    </row>
    <row r="22" spans="2:32" s="8" customFormat="1" ht="16.5" customHeight="1">
      <c r="B22" s="55"/>
      <c r="C22" s="169">
        <v>14</v>
      </c>
      <c r="D22" s="169">
        <v>251382</v>
      </c>
      <c r="E22" s="169">
        <v>1617</v>
      </c>
      <c r="F22" s="194" t="s">
        <v>266</v>
      </c>
      <c r="G22" s="195">
        <v>500</v>
      </c>
      <c r="H22" s="196">
        <v>40</v>
      </c>
      <c r="I22" s="195" t="s">
        <v>258</v>
      </c>
      <c r="J22" s="172">
        <f t="shared" si="0"/>
        <v>20</v>
      </c>
      <c r="K22" s="173">
        <f t="shared" si="1"/>
        <v>117.179</v>
      </c>
      <c r="L22" s="197">
        <v>41159.299305555556</v>
      </c>
      <c r="M22" s="198">
        <v>41159.6125</v>
      </c>
      <c r="N22" s="176">
        <f t="shared" si="2"/>
        <v>7.516666666720994</v>
      </c>
      <c r="O22" s="177">
        <f t="shared" si="3"/>
        <v>451</v>
      </c>
      <c r="P22" s="178" t="s">
        <v>259</v>
      </c>
      <c r="Q22" s="179" t="str">
        <f t="shared" si="4"/>
        <v>--</v>
      </c>
      <c r="R22" s="180" t="str">
        <f t="shared" si="5"/>
        <v>NO</v>
      </c>
      <c r="S22" s="180" t="str">
        <f t="shared" si="6"/>
        <v>--</v>
      </c>
      <c r="T22" s="260">
        <f t="shared" si="7"/>
        <v>176.23721599999996</v>
      </c>
      <c r="U22" s="261" t="str">
        <f t="shared" si="8"/>
        <v>--</v>
      </c>
      <c r="V22" s="262" t="str">
        <f t="shared" si="9"/>
        <v>--</v>
      </c>
      <c r="W22" s="263" t="str">
        <f t="shared" si="10"/>
        <v>--</v>
      </c>
      <c r="X22" s="264" t="str">
        <f t="shared" si="11"/>
        <v>--</v>
      </c>
      <c r="Y22" s="265" t="str">
        <f t="shared" si="12"/>
        <v>--</v>
      </c>
      <c r="Z22" s="266" t="str">
        <f t="shared" si="13"/>
        <v>--</v>
      </c>
      <c r="AA22" s="267" t="str">
        <f t="shared" si="14"/>
        <v>--</v>
      </c>
      <c r="AB22" s="268" t="str">
        <f t="shared" si="15"/>
        <v>--</v>
      </c>
      <c r="AC22" s="269" t="str">
        <f t="shared" si="16"/>
        <v>--</v>
      </c>
      <c r="AD22" s="191" t="s">
        <v>79</v>
      </c>
      <c r="AE22" s="192">
        <f t="shared" si="18"/>
        <v>176.23721599999996</v>
      </c>
      <c r="AF22" s="193"/>
    </row>
    <row r="23" spans="2:32" s="8" customFormat="1" ht="16.5" customHeight="1">
      <c r="B23" s="55"/>
      <c r="C23" s="150">
        <v>15</v>
      </c>
      <c r="D23" s="150">
        <v>251619</v>
      </c>
      <c r="E23" s="150">
        <v>1617</v>
      </c>
      <c r="F23" s="194" t="s">
        <v>266</v>
      </c>
      <c r="G23" s="195">
        <v>500</v>
      </c>
      <c r="H23" s="196">
        <v>40</v>
      </c>
      <c r="I23" s="195" t="s">
        <v>258</v>
      </c>
      <c r="J23" s="172">
        <f t="shared" si="0"/>
        <v>20</v>
      </c>
      <c r="K23" s="173">
        <f t="shared" si="1"/>
        <v>117.179</v>
      </c>
      <c r="L23" s="197">
        <v>41166.356944444444</v>
      </c>
      <c r="M23" s="198">
        <v>41166.626388888886</v>
      </c>
      <c r="N23" s="176">
        <f t="shared" si="2"/>
        <v>6.46666666661622</v>
      </c>
      <c r="O23" s="177">
        <f t="shared" si="3"/>
        <v>388</v>
      </c>
      <c r="P23" s="178" t="s">
        <v>259</v>
      </c>
      <c r="Q23" s="179" t="str">
        <f t="shared" si="4"/>
        <v>--</v>
      </c>
      <c r="R23" s="180" t="str">
        <f t="shared" si="5"/>
        <v>NO</v>
      </c>
      <c r="S23" s="180" t="str">
        <f t="shared" si="6"/>
        <v>--</v>
      </c>
      <c r="T23" s="260">
        <f t="shared" si="7"/>
        <v>151.629626</v>
      </c>
      <c r="U23" s="261" t="str">
        <f t="shared" si="8"/>
        <v>--</v>
      </c>
      <c r="V23" s="262" t="str">
        <f t="shared" si="9"/>
        <v>--</v>
      </c>
      <c r="W23" s="263" t="str">
        <f t="shared" si="10"/>
        <v>--</v>
      </c>
      <c r="X23" s="264" t="str">
        <f t="shared" si="11"/>
        <v>--</v>
      </c>
      <c r="Y23" s="265" t="str">
        <f t="shared" si="12"/>
        <v>--</v>
      </c>
      <c r="Z23" s="266" t="str">
        <f t="shared" si="13"/>
        <v>--</v>
      </c>
      <c r="AA23" s="267" t="str">
        <f t="shared" si="14"/>
        <v>--</v>
      </c>
      <c r="AB23" s="268" t="str">
        <f t="shared" si="15"/>
        <v>--</v>
      </c>
      <c r="AC23" s="269" t="str">
        <f t="shared" si="16"/>
        <v>--</v>
      </c>
      <c r="AD23" s="191" t="s">
        <v>79</v>
      </c>
      <c r="AE23" s="192">
        <f t="shared" si="18"/>
        <v>151.629626</v>
      </c>
      <c r="AF23" s="193"/>
    </row>
    <row r="24" spans="2:32" s="8" customFormat="1" ht="16.5" customHeight="1">
      <c r="B24" s="55"/>
      <c r="C24" s="169"/>
      <c r="D24" s="169"/>
      <c r="E24" s="169"/>
      <c r="F24" s="169"/>
      <c r="G24" s="170"/>
      <c r="H24" s="171"/>
      <c r="I24" s="170"/>
      <c r="J24" s="172">
        <f t="shared" si="0"/>
        <v>20</v>
      </c>
      <c r="K24" s="173" t="e">
        <f t="shared" si="1"/>
        <v>#VALUE!</v>
      </c>
      <c r="L24" s="174"/>
      <c r="M24" s="175"/>
      <c r="N24" s="176">
        <f t="shared" si="2"/>
      </c>
      <c r="O24" s="177">
        <f t="shared" si="3"/>
      </c>
      <c r="P24" s="178"/>
      <c r="Q24" s="179">
        <f t="shared" si="4"/>
      </c>
      <c r="R24" s="180">
        <f t="shared" si="5"/>
      </c>
      <c r="S24" s="180">
        <f t="shared" si="6"/>
      </c>
      <c r="T24" s="260" t="str">
        <f t="shared" si="7"/>
        <v>--</v>
      </c>
      <c r="U24" s="261" t="str">
        <f t="shared" si="8"/>
        <v>--</v>
      </c>
      <c r="V24" s="262" t="str">
        <f t="shared" si="9"/>
        <v>--</v>
      </c>
      <c r="W24" s="263" t="str">
        <f t="shared" si="10"/>
        <v>--</v>
      </c>
      <c r="X24" s="264" t="str">
        <f t="shared" si="11"/>
        <v>--</v>
      </c>
      <c r="Y24" s="265" t="str">
        <f t="shared" si="12"/>
        <v>--</v>
      </c>
      <c r="Z24" s="266" t="str">
        <f t="shared" si="13"/>
        <v>--</v>
      </c>
      <c r="AA24" s="267" t="str">
        <f t="shared" si="14"/>
        <v>--</v>
      </c>
      <c r="AB24" s="268" t="str">
        <f t="shared" si="15"/>
        <v>--</v>
      </c>
      <c r="AC24" s="269" t="str">
        <f t="shared" si="16"/>
        <v>--</v>
      </c>
      <c r="AD24" s="191">
        <f t="shared" si="17"/>
      </c>
      <c r="AE24" s="192">
        <f t="shared" si="18"/>
      </c>
      <c r="AF24" s="193"/>
    </row>
    <row r="25" spans="2:32" s="8" customFormat="1" ht="16.5" customHeight="1">
      <c r="B25" s="55"/>
      <c r="C25" s="150"/>
      <c r="D25" s="150"/>
      <c r="E25" s="150"/>
      <c r="F25" s="169"/>
      <c r="G25" s="170"/>
      <c r="H25" s="171"/>
      <c r="I25" s="170"/>
      <c r="J25" s="172">
        <f t="shared" si="0"/>
        <v>20</v>
      </c>
      <c r="K25" s="173" t="e">
        <f t="shared" si="1"/>
        <v>#VALUE!</v>
      </c>
      <c r="L25" s="174"/>
      <c r="M25" s="175"/>
      <c r="N25" s="176">
        <f t="shared" si="2"/>
      </c>
      <c r="O25" s="177">
        <f t="shared" si="3"/>
      </c>
      <c r="P25" s="178"/>
      <c r="Q25" s="179">
        <f t="shared" si="4"/>
      </c>
      <c r="R25" s="180">
        <f t="shared" si="5"/>
      </c>
      <c r="S25" s="180">
        <f t="shared" si="6"/>
      </c>
      <c r="T25" s="260" t="str">
        <f t="shared" si="7"/>
        <v>--</v>
      </c>
      <c r="U25" s="261" t="str">
        <f t="shared" si="8"/>
        <v>--</v>
      </c>
      <c r="V25" s="262" t="str">
        <f t="shared" si="9"/>
        <v>--</v>
      </c>
      <c r="W25" s="263" t="str">
        <f t="shared" si="10"/>
        <v>--</v>
      </c>
      <c r="X25" s="264" t="str">
        <f t="shared" si="11"/>
        <v>--</v>
      </c>
      <c r="Y25" s="265" t="str">
        <f t="shared" si="12"/>
        <v>--</v>
      </c>
      <c r="Z25" s="266" t="str">
        <f t="shared" si="13"/>
        <v>--</v>
      </c>
      <c r="AA25" s="267" t="str">
        <f t="shared" si="14"/>
        <v>--</v>
      </c>
      <c r="AB25" s="268" t="str">
        <f t="shared" si="15"/>
        <v>--</v>
      </c>
      <c r="AC25" s="269" t="str">
        <f t="shared" si="16"/>
        <v>--</v>
      </c>
      <c r="AD25" s="191">
        <f t="shared" si="17"/>
      </c>
      <c r="AE25" s="192">
        <f t="shared" si="18"/>
      </c>
      <c r="AF25" s="193"/>
    </row>
    <row r="26" spans="2:32" s="8" customFormat="1" ht="16.5" customHeight="1">
      <c r="B26" s="55"/>
      <c r="C26" s="169"/>
      <c r="D26" s="169"/>
      <c r="E26" s="169"/>
      <c r="F26" s="199"/>
      <c r="G26" s="200"/>
      <c r="H26" s="201"/>
      <c r="I26" s="200"/>
      <c r="J26" s="172">
        <f t="shared" si="0"/>
        <v>20</v>
      </c>
      <c r="K26" s="173" t="e">
        <f t="shared" si="1"/>
        <v>#VALUE!</v>
      </c>
      <c r="L26" s="202"/>
      <c r="M26" s="203"/>
      <c r="N26" s="176">
        <f t="shared" si="2"/>
      </c>
      <c r="O26" s="177">
        <f t="shared" si="3"/>
      </c>
      <c r="P26" s="178"/>
      <c r="Q26" s="179">
        <f t="shared" si="4"/>
      </c>
      <c r="R26" s="180">
        <f t="shared" si="5"/>
      </c>
      <c r="S26" s="180">
        <f t="shared" si="6"/>
      </c>
      <c r="T26" s="260" t="str">
        <f t="shared" si="7"/>
        <v>--</v>
      </c>
      <c r="U26" s="261" t="str">
        <f t="shared" si="8"/>
        <v>--</v>
      </c>
      <c r="V26" s="262" t="str">
        <f t="shared" si="9"/>
        <v>--</v>
      </c>
      <c r="W26" s="263" t="str">
        <f t="shared" si="10"/>
        <v>--</v>
      </c>
      <c r="X26" s="264" t="str">
        <f t="shared" si="11"/>
        <v>--</v>
      </c>
      <c r="Y26" s="265" t="str">
        <f t="shared" si="12"/>
        <v>--</v>
      </c>
      <c r="Z26" s="266" t="str">
        <f t="shared" si="13"/>
        <v>--</v>
      </c>
      <c r="AA26" s="267" t="str">
        <f t="shared" si="14"/>
        <v>--</v>
      </c>
      <c r="AB26" s="268" t="str">
        <f t="shared" si="15"/>
        <v>--</v>
      </c>
      <c r="AC26" s="269" t="str">
        <f t="shared" si="16"/>
        <v>--</v>
      </c>
      <c r="AD26" s="191">
        <f t="shared" si="17"/>
      </c>
      <c r="AE26" s="192">
        <f t="shared" si="18"/>
      </c>
      <c r="AF26" s="193"/>
    </row>
    <row r="27" spans="2:32" s="8" customFormat="1" ht="16.5" customHeight="1">
      <c r="B27" s="55"/>
      <c r="C27" s="150"/>
      <c r="D27" s="150"/>
      <c r="E27" s="150"/>
      <c r="F27" s="199"/>
      <c r="G27" s="200"/>
      <c r="H27" s="201"/>
      <c r="I27" s="200"/>
      <c r="J27" s="172">
        <f t="shared" si="0"/>
        <v>20</v>
      </c>
      <c r="K27" s="173" t="e">
        <f t="shared" si="1"/>
        <v>#VALUE!</v>
      </c>
      <c r="L27" s="202"/>
      <c r="M27" s="203"/>
      <c r="N27" s="176">
        <f t="shared" si="2"/>
      </c>
      <c r="O27" s="177">
        <f t="shared" si="3"/>
      </c>
      <c r="P27" s="178"/>
      <c r="Q27" s="179">
        <f t="shared" si="4"/>
      </c>
      <c r="R27" s="180">
        <f t="shared" si="5"/>
      </c>
      <c r="S27" s="180">
        <f t="shared" si="6"/>
      </c>
      <c r="T27" s="260" t="str">
        <f t="shared" si="7"/>
        <v>--</v>
      </c>
      <c r="U27" s="261" t="str">
        <f t="shared" si="8"/>
        <v>--</v>
      </c>
      <c r="V27" s="262" t="str">
        <f t="shared" si="9"/>
        <v>--</v>
      </c>
      <c r="W27" s="263" t="str">
        <f t="shared" si="10"/>
        <v>--</v>
      </c>
      <c r="X27" s="264" t="str">
        <f t="shared" si="11"/>
        <v>--</v>
      </c>
      <c r="Y27" s="265" t="str">
        <f t="shared" si="12"/>
        <v>--</v>
      </c>
      <c r="Z27" s="266" t="str">
        <f t="shared" si="13"/>
        <v>--</v>
      </c>
      <c r="AA27" s="267" t="str">
        <f t="shared" si="14"/>
        <v>--</v>
      </c>
      <c r="AB27" s="268" t="str">
        <f t="shared" si="15"/>
        <v>--</v>
      </c>
      <c r="AC27" s="269" t="str">
        <f t="shared" si="16"/>
        <v>--</v>
      </c>
      <c r="AD27" s="191">
        <f t="shared" si="17"/>
      </c>
      <c r="AE27" s="192">
        <f t="shared" si="18"/>
      </c>
      <c r="AF27" s="193"/>
    </row>
    <row r="28" spans="2:32" s="8" customFormat="1" ht="16.5" customHeight="1">
      <c r="B28" s="55"/>
      <c r="C28" s="169"/>
      <c r="D28" s="169"/>
      <c r="E28" s="169"/>
      <c r="F28" s="199"/>
      <c r="G28" s="200"/>
      <c r="H28" s="201"/>
      <c r="I28" s="200"/>
      <c r="J28" s="172">
        <f t="shared" si="0"/>
        <v>20</v>
      </c>
      <c r="K28" s="173" t="e">
        <f t="shared" si="1"/>
        <v>#VALUE!</v>
      </c>
      <c r="L28" s="202"/>
      <c r="M28" s="203"/>
      <c r="N28" s="176">
        <f t="shared" si="2"/>
      </c>
      <c r="O28" s="177">
        <f t="shared" si="3"/>
      </c>
      <c r="P28" s="178"/>
      <c r="Q28" s="179">
        <f t="shared" si="4"/>
      </c>
      <c r="R28" s="180">
        <f t="shared" si="5"/>
      </c>
      <c r="S28" s="180">
        <f t="shared" si="6"/>
      </c>
      <c r="T28" s="260" t="str">
        <f t="shared" si="7"/>
        <v>--</v>
      </c>
      <c r="U28" s="261" t="str">
        <f t="shared" si="8"/>
        <v>--</v>
      </c>
      <c r="V28" s="262" t="str">
        <f t="shared" si="9"/>
        <v>--</v>
      </c>
      <c r="W28" s="263" t="str">
        <f t="shared" si="10"/>
        <v>--</v>
      </c>
      <c r="X28" s="264" t="str">
        <f t="shared" si="11"/>
        <v>--</v>
      </c>
      <c r="Y28" s="265" t="str">
        <f t="shared" si="12"/>
        <v>--</v>
      </c>
      <c r="Z28" s="266" t="str">
        <f t="shared" si="13"/>
        <v>--</v>
      </c>
      <c r="AA28" s="267" t="str">
        <f t="shared" si="14"/>
        <v>--</v>
      </c>
      <c r="AB28" s="268" t="str">
        <f t="shared" si="15"/>
        <v>--</v>
      </c>
      <c r="AC28" s="269" t="str">
        <f t="shared" si="16"/>
        <v>--</v>
      </c>
      <c r="AD28" s="191">
        <f t="shared" si="17"/>
      </c>
      <c r="AE28" s="192">
        <f t="shared" si="18"/>
      </c>
      <c r="AF28" s="193"/>
    </row>
    <row r="29" spans="2:32" s="8" customFormat="1" ht="16.5" customHeight="1">
      <c r="B29" s="55"/>
      <c r="C29" s="150"/>
      <c r="D29" s="150"/>
      <c r="E29" s="150"/>
      <c r="F29" s="199"/>
      <c r="G29" s="200"/>
      <c r="H29" s="201"/>
      <c r="I29" s="200"/>
      <c r="J29" s="172">
        <f t="shared" si="0"/>
        <v>20</v>
      </c>
      <c r="K29" s="173" t="e">
        <f t="shared" si="1"/>
        <v>#VALUE!</v>
      </c>
      <c r="L29" s="202"/>
      <c r="M29" s="203"/>
      <c r="N29" s="176">
        <f t="shared" si="2"/>
      </c>
      <c r="O29" s="177">
        <f t="shared" si="3"/>
      </c>
      <c r="P29" s="178"/>
      <c r="Q29" s="179">
        <f t="shared" si="4"/>
      </c>
      <c r="R29" s="180">
        <f t="shared" si="5"/>
      </c>
      <c r="S29" s="180">
        <f t="shared" si="6"/>
      </c>
      <c r="T29" s="260" t="str">
        <f t="shared" si="7"/>
        <v>--</v>
      </c>
      <c r="U29" s="261" t="str">
        <f t="shared" si="8"/>
        <v>--</v>
      </c>
      <c r="V29" s="262" t="str">
        <f t="shared" si="9"/>
        <v>--</v>
      </c>
      <c r="W29" s="263" t="str">
        <f t="shared" si="10"/>
        <v>--</v>
      </c>
      <c r="X29" s="264" t="str">
        <f t="shared" si="11"/>
        <v>--</v>
      </c>
      <c r="Y29" s="265" t="str">
        <f t="shared" si="12"/>
        <v>--</v>
      </c>
      <c r="Z29" s="266" t="str">
        <f t="shared" si="13"/>
        <v>--</v>
      </c>
      <c r="AA29" s="267" t="str">
        <f t="shared" si="14"/>
        <v>--</v>
      </c>
      <c r="AB29" s="268" t="str">
        <f t="shared" si="15"/>
        <v>--</v>
      </c>
      <c r="AC29" s="269" t="str">
        <f t="shared" si="16"/>
        <v>--</v>
      </c>
      <c r="AD29" s="191">
        <f t="shared" si="17"/>
      </c>
      <c r="AE29" s="192">
        <f t="shared" si="18"/>
      </c>
      <c r="AF29" s="193"/>
    </row>
    <row r="30" spans="2:32" s="8" customFormat="1" ht="16.5" customHeight="1">
      <c r="B30" s="55"/>
      <c r="C30" s="169"/>
      <c r="D30" s="169"/>
      <c r="E30" s="169"/>
      <c r="F30" s="199"/>
      <c r="G30" s="200"/>
      <c r="H30" s="201"/>
      <c r="I30" s="200"/>
      <c r="J30" s="172">
        <f t="shared" si="0"/>
        <v>20</v>
      </c>
      <c r="K30" s="173" t="e">
        <f t="shared" si="1"/>
        <v>#VALUE!</v>
      </c>
      <c r="L30" s="202"/>
      <c r="M30" s="203"/>
      <c r="N30" s="176">
        <f t="shared" si="2"/>
      </c>
      <c r="O30" s="177">
        <f t="shared" si="3"/>
      </c>
      <c r="P30" s="178"/>
      <c r="Q30" s="179">
        <f t="shared" si="4"/>
      </c>
      <c r="R30" s="180">
        <f t="shared" si="5"/>
      </c>
      <c r="S30" s="180">
        <f t="shared" si="6"/>
      </c>
      <c r="T30" s="260" t="str">
        <f t="shared" si="7"/>
        <v>--</v>
      </c>
      <c r="U30" s="261" t="str">
        <f t="shared" si="8"/>
        <v>--</v>
      </c>
      <c r="V30" s="262" t="str">
        <f t="shared" si="9"/>
        <v>--</v>
      </c>
      <c r="W30" s="263" t="str">
        <f t="shared" si="10"/>
        <v>--</v>
      </c>
      <c r="X30" s="264" t="str">
        <f t="shared" si="11"/>
        <v>--</v>
      </c>
      <c r="Y30" s="265" t="str">
        <f t="shared" si="12"/>
        <v>--</v>
      </c>
      <c r="Z30" s="266" t="str">
        <f t="shared" si="13"/>
        <v>--</v>
      </c>
      <c r="AA30" s="267" t="str">
        <f t="shared" si="14"/>
        <v>--</v>
      </c>
      <c r="AB30" s="268" t="str">
        <f t="shared" si="15"/>
        <v>--</v>
      </c>
      <c r="AC30" s="269" t="str">
        <f t="shared" si="16"/>
        <v>--</v>
      </c>
      <c r="AD30" s="191">
        <f t="shared" si="17"/>
      </c>
      <c r="AE30" s="192">
        <f t="shared" si="18"/>
      </c>
      <c r="AF30" s="193"/>
    </row>
    <row r="31" spans="2:32" s="8" customFormat="1" ht="16.5" customHeight="1">
      <c r="B31" s="55"/>
      <c r="C31" s="150"/>
      <c r="D31" s="150"/>
      <c r="E31" s="150"/>
      <c r="F31" s="199"/>
      <c r="G31" s="200"/>
      <c r="H31" s="201"/>
      <c r="I31" s="200"/>
      <c r="J31" s="172">
        <f t="shared" si="0"/>
        <v>20</v>
      </c>
      <c r="K31" s="173" t="e">
        <f t="shared" si="1"/>
        <v>#VALUE!</v>
      </c>
      <c r="L31" s="202"/>
      <c r="M31" s="204"/>
      <c r="N31" s="176">
        <f t="shared" si="2"/>
      </c>
      <c r="O31" s="177">
        <f t="shared" si="3"/>
      </c>
      <c r="P31" s="178"/>
      <c r="Q31" s="179">
        <f t="shared" si="4"/>
      </c>
      <c r="R31" s="180">
        <f t="shared" si="5"/>
      </c>
      <c r="S31" s="180">
        <f t="shared" si="6"/>
      </c>
      <c r="T31" s="260" t="str">
        <f t="shared" si="7"/>
        <v>--</v>
      </c>
      <c r="U31" s="261" t="str">
        <f t="shared" si="8"/>
        <v>--</v>
      </c>
      <c r="V31" s="262" t="str">
        <f t="shared" si="9"/>
        <v>--</v>
      </c>
      <c r="W31" s="263" t="str">
        <f t="shared" si="10"/>
        <v>--</v>
      </c>
      <c r="X31" s="264" t="str">
        <f t="shared" si="11"/>
        <v>--</v>
      </c>
      <c r="Y31" s="265" t="str">
        <f t="shared" si="12"/>
        <v>--</v>
      </c>
      <c r="Z31" s="266" t="str">
        <f t="shared" si="13"/>
        <v>--</v>
      </c>
      <c r="AA31" s="267" t="str">
        <f t="shared" si="14"/>
        <v>--</v>
      </c>
      <c r="AB31" s="268" t="str">
        <f t="shared" si="15"/>
        <v>--</v>
      </c>
      <c r="AC31" s="269" t="str">
        <f t="shared" si="16"/>
        <v>--</v>
      </c>
      <c r="AD31" s="191">
        <f t="shared" si="17"/>
      </c>
      <c r="AE31" s="192">
        <f t="shared" si="18"/>
      </c>
      <c r="AF31" s="193"/>
    </row>
    <row r="32" spans="2:32" s="8" customFormat="1" ht="16.5" customHeight="1">
      <c r="B32" s="55"/>
      <c r="C32" s="169"/>
      <c r="D32" s="169"/>
      <c r="E32" s="169"/>
      <c r="F32" s="199"/>
      <c r="G32" s="200"/>
      <c r="H32" s="201"/>
      <c r="I32" s="200"/>
      <c r="J32" s="172">
        <f t="shared" si="0"/>
        <v>20</v>
      </c>
      <c r="K32" s="173" t="e">
        <f t="shared" si="1"/>
        <v>#VALUE!</v>
      </c>
      <c r="L32" s="202"/>
      <c r="M32" s="204"/>
      <c r="N32" s="176">
        <f t="shared" si="2"/>
      </c>
      <c r="O32" s="177">
        <f t="shared" si="3"/>
      </c>
      <c r="P32" s="178"/>
      <c r="Q32" s="179">
        <f t="shared" si="4"/>
      </c>
      <c r="R32" s="180">
        <f t="shared" si="5"/>
      </c>
      <c r="S32" s="180">
        <f t="shared" si="6"/>
      </c>
      <c r="T32" s="260" t="str">
        <f t="shared" si="7"/>
        <v>--</v>
      </c>
      <c r="U32" s="261" t="str">
        <f t="shared" si="8"/>
        <v>--</v>
      </c>
      <c r="V32" s="262" t="str">
        <f t="shared" si="9"/>
        <v>--</v>
      </c>
      <c r="W32" s="263" t="str">
        <f t="shared" si="10"/>
        <v>--</v>
      </c>
      <c r="X32" s="264" t="str">
        <f t="shared" si="11"/>
        <v>--</v>
      </c>
      <c r="Y32" s="265" t="str">
        <f t="shared" si="12"/>
        <v>--</v>
      </c>
      <c r="Z32" s="266" t="str">
        <f t="shared" si="13"/>
        <v>--</v>
      </c>
      <c r="AA32" s="267" t="str">
        <f t="shared" si="14"/>
        <v>--</v>
      </c>
      <c r="AB32" s="268" t="str">
        <f t="shared" si="15"/>
        <v>--</v>
      </c>
      <c r="AC32" s="269" t="str">
        <f t="shared" si="16"/>
        <v>--</v>
      </c>
      <c r="AD32" s="191">
        <f t="shared" si="17"/>
      </c>
      <c r="AE32" s="192">
        <f t="shared" si="18"/>
      </c>
      <c r="AF32" s="193"/>
    </row>
    <row r="33" spans="2:32" s="8" customFormat="1" ht="16.5" customHeight="1">
      <c r="B33" s="55"/>
      <c r="C33" s="150"/>
      <c r="D33" s="150"/>
      <c r="E33" s="150"/>
      <c r="F33" s="199"/>
      <c r="G33" s="200"/>
      <c r="H33" s="201"/>
      <c r="I33" s="200"/>
      <c r="J33" s="172">
        <f t="shared" si="0"/>
        <v>20</v>
      </c>
      <c r="K33" s="173" t="e">
        <f t="shared" si="1"/>
        <v>#VALUE!</v>
      </c>
      <c r="L33" s="202"/>
      <c r="M33" s="204"/>
      <c r="N33" s="176">
        <f t="shared" si="2"/>
      </c>
      <c r="O33" s="177">
        <f t="shared" si="3"/>
      </c>
      <c r="P33" s="178"/>
      <c r="Q33" s="179">
        <f t="shared" si="4"/>
      </c>
      <c r="R33" s="180">
        <f t="shared" si="5"/>
      </c>
      <c r="S33" s="180">
        <f t="shared" si="6"/>
      </c>
      <c r="T33" s="260" t="str">
        <f t="shared" si="7"/>
        <v>--</v>
      </c>
      <c r="U33" s="261" t="str">
        <f t="shared" si="8"/>
        <v>--</v>
      </c>
      <c r="V33" s="262" t="str">
        <f t="shared" si="9"/>
        <v>--</v>
      </c>
      <c r="W33" s="263" t="str">
        <f t="shared" si="10"/>
        <v>--</v>
      </c>
      <c r="X33" s="264" t="str">
        <f t="shared" si="11"/>
        <v>--</v>
      </c>
      <c r="Y33" s="265" t="str">
        <f t="shared" si="12"/>
        <v>--</v>
      </c>
      <c r="Z33" s="266" t="str">
        <f t="shared" si="13"/>
        <v>--</v>
      </c>
      <c r="AA33" s="267" t="str">
        <f t="shared" si="14"/>
        <v>--</v>
      </c>
      <c r="AB33" s="268" t="str">
        <f t="shared" si="15"/>
        <v>--</v>
      </c>
      <c r="AC33" s="269" t="str">
        <f t="shared" si="16"/>
        <v>--</v>
      </c>
      <c r="AD33" s="191">
        <f t="shared" si="17"/>
      </c>
      <c r="AE33" s="192">
        <f t="shared" si="18"/>
      </c>
      <c r="AF33" s="193"/>
    </row>
    <row r="34" spans="2:32" s="8" customFormat="1" ht="16.5" customHeight="1">
      <c r="B34" s="55"/>
      <c r="C34" s="169"/>
      <c r="D34" s="169"/>
      <c r="E34" s="169"/>
      <c r="F34" s="199"/>
      <c r="G34" s="200"/>
      <c r="H34" s="201"/>
      <c r="I34" s="200"/>
      <c r="J34" s="172">
        <f t="shared" si="0"/>
        <v>20</v>
      </c>
      <c r="K34" s="173" t="e">
        <f t="shared" si="1"/>
        <v>#VALUE!</v>
      </c>
      <c r="L34" s="202"/>
      <c r="M34" s="204"/>
      <c r="N34" s="176">
        <f t="shared" si="2"/>
      </c>
      <c r="O34" s="177">
        <f t="shared" si="3"/>
      </c>
      <c r="P34" s="178"/>
      <c r="Q34" s="179">
        <f t="shared" si="4"/>
      </c>
      <c r="R34" s="180">
        <f t="shared" si="5"/>
      </c>
      <c r="S34" s="180">
        <f t="shared" si="6"/>
      </c>
      <c r="T34" s="260" t="str">
        <f t="shared" si="7"/>
        <v>--</v>
      </c>
      <c r="U34" s="261" t="str">
        <f t="shared" si="8"/>
        <v>--</v>
      </c>
      <c r="V34" s="262" t="str">
        <f t="shared" si="9"/>
        <v>--</v>
      </c>
      <c r="W34" s="263" t="str">
        <f t="shared" si="10"/>
        <v>--</v>
      </c>
      <c r="X34" s="264" t="str">
        <f t="shared" si="11"/>
        <v>--</v>
      </c>
      <c r="Y34" s="265" t="str">
        <f t="shared" si="12"/>
        <v>--</v>
      </c>
      <c r="Z34" s="266" t="str">
        <f t="shared" si="13"/>
        <v>--</v>
      </c>
      <c r="AA34" s="267" t="str">
        <f t="shared" si="14"/>
        <v>--</v>
      </c>
      <c r="AB34" s="268" t="str">
        <f t="shared" si="15"/>
        <v>--</v>
      </c>
      <c r="AC34" s="269" t="str">
        <f t="shared" si="16"/>
        <v>--</v>
      </c>
      <c r="AD34" s="191">
        <f t="shared" si="17"/>
      </c>
      <c r="AE34" s="192">
        <f t="shared" si="18"/>
      </c>
      <c r="AF34" s="193"/>
    </row>
    <row r="35" spans="2:32" s="8" customFormat="1" ht="16.5" customHeight="1">
      <c r="B35" s="55"/>
      <c r="C35" s="150"/>
      <c r="D35" s="150"/>
      <c r="E35" s="150"/>
      <c r="F35" s="199"/>
      <c r="G35" s="200"/>
      <c r="H35" s="201"/>
      <c r="I35" s="200"/>
      <c r="J35" s="172">
        <f t="shared" si="0"/>
        <v>20</v>
      </c>
      <c r="K35" s="173" t="e">
        <f t="shared" si="1"/>
        <v>#VALUE!</v>
      </c>
      <c r="L35" s="202"/>
      <c r="M35" s="204"/>
      <c r="N35" s="176">
        <f t="shared" si="2"/>
      </c>
      <c r="O35" s="177">
        <f t="shared" si="3"/>
      </c>
      <c r="P35" s="178"/>
      <c r="Q35" s="179">
        <f t="shared" si="4"/>
      </c>
      <c r="R35" s="180">
        <f t="shared" si="5"/>
      </c>
      <c r="S35" s="180">
        <f t="shared" si="6"/>
      </c>
      <c r="T35" s="260" t="str">
        <f t="shared" si="7"/>
        <v>--</v>
      </c>
      <c r="U35" s="261" t="str">
        <f t="shared" si="8"/>
        <v>--</v>
      </c>
      <c r="V35" s="262" t="str">
        <f t="shared" si="9"/>
        <v>--</v>
      </c>
      <c r="W35" s="263" t="str">
        <f t="shared" si="10"/>
        <v>--</v>
      </c>
      <c r="X35" s="264" t="str">
        <f t="shared" si="11"/>
        <v>--</v>
      </c>
      <c r="Y35" s="265" t="str">
        <f t="shared" si="12"/>
        <v>--</v>
      </c>
      <c r="Z35" s="266" t="str">
        <f t="shared" si="13"/>
        <v>--</v>
      </c>
      <c r="AA35" s="267" t="str">
        <f t="shared" si="14"/>
        <v>--</v>
      </c>
      <c r="AB35" s="268" t="str">
        <f t="shared" si="15"/>
        <v>--</v>
      </c>
      <c r="AC35" s="269" t="str">
        <f t="shared" si="16"/>
        <v>--</v>
      </c>
      <c r="AD35" s="191">
        <f t="shared" si="17"/>
      </c>
      <c r="AE35" s="192">
        <f t="shared" si="18"/>
      </c>
      <c r="AF35" s="193"/>
    </row>
    <row r="36" spans="2:32" s="8" customFormat="1" ht="16.5" customHeight="1">
      <c r="B36" s="55"/>
      <c r="C36" s="169"/>
      <c r="D36" s="169"/>
      <c r="E36" s="169"/>
      <c r="F36" s="199"/>
      <c r="G36" s="200"/>
      <c r="H36" s="201"/>
      <c r="I36" s="200"/>
      <c r="J36" s="172">
        <f t="shared" si="0"/>
        <v>20</v>
      </c>
      <c r="K36" s="173" t="e">
        <f t="shared" si="1"/>
        <v>#VALUE!</v>
      </c>
      <c r="L36" s="202"/>
      <c r="M36" s="204"/>
      <c r="N36" s="176">
        <f t="shared" si="2"/>
      </c>
      <c r="O36" s="177">
        <f t="shared" si="3"/>
      </c>
      <c r="P36" s="178"/>
      <c r="Q36" s="179">
        <f t="shared" si="4"/>
      </c>
      <c r="R36" s="180">
        <f t="shared" si="5"/>
      </c>
      <c r="S36" s="180">
        <f t="shared" si="6"/>
      </c>
      <c r="T36" s="260" t="str">
        <f t="shared" si="7"/>
        <v>--</v>
      </c>
      <c r="U36" s="261" t="str">
        <f t="shared" si="8"/>
        <v>--</v>
      </c>
      <c r="V36" s="262" t="str">
        <f t="shared" si="9"/>
        <v>--</v>
      </c>
      <c r="W36" s="263" t="str">
        <f t="shared" si="10"/>
        <v>--</v>
      </c>
      <c r="X36" s="264" t="str">
        <f t="shared" si="11"/>
        <v>--</v>
      </c>
      <c r="Y36" s="265" t="str">
        <f t="shared" si="12"/>
        <v>--</v>
      </c>
      <c r="Z36" s="266" t="str">
        <f t="shared" si="13"/>
        <v>--</v>
      </c>
      <c r="AA36" s="267" t="str">
        <f t="shared" si="14"/>
        <v>--</v>
      </c>
      <c r="AB36" s="268" t="str">
        <f t="shared" si="15"/>
        <v>--</v>
      </c>
      <c r="AC36" s="269" t="str">
        <f t="shared" si="16"/>
        <v>--</v>
      </c>
      <c r="AD36" s="191">
        <f t="shared" si="17"/>
      </c>
      <c r="AE36" s="192">
        <f t="shared" si="18"/>
      </c>
      <c r="AF36" s="193"/>
    </row>
    <row r="37" spans="2:32" s="8" customFormat="1" ht="16.5" customHeight="1">
      <c r="B37" s="55"/>
      <c r="C37" s="150"/>
      <c r="D37" s="150"/>
      <c r="E37" s="150"/>
      <c r="F37" s="199"/>
      <c r="G37" s="200"/>
      <c r="H37" s="201"/>
      <c r="I37" s="200"/>
      <c r="J37" s="172">
        <f t="shared" si="0"/>
        <v>20</v>
      </c>
      <c r="K37" s="173" t="e">
        <f t="shared" si="1"/>
        <v>#VALUE!</v>
      </c>
      <c r="L37" s="202"/>
      <c r="M37" s="204"/>
      <c r="N37" s="176">
        <f t="shared" si="2"/>
      </c>
      <c r="O37" s="177">
        <f t="shared" si="3"/>
      </c>
      <c r="P37" s="178"/>
      <c r="Q37" s="179">
        <f t="shared" si="4"/>
      </c>
      <c r="R37" s="180">
        <f t="shared" si="5"/>
      </c>
      <c r="S37" s="180">
        <f t="shared" si="6"/>
      </c>
      <c r="T37" s="260" t="str">
        <f t="shared" si="7"/>
        <v>--</v>
      </c>
      <c r="U37" s="261" t="str">
        <f t="shared" si="8"/>
        <v>--</v>
      </c>
      <c r="V37" s="262" t="str">
        <f t="shared" si="9"/>
        <v>--</v>
      </c>
      <c r="W37" s="263" t="str">
        <f t="shared" si="10"/>
        <v>--</v>
      </c>
      <c r="X37" s="264" t="str">
        <f t="shared" si="11"/>
        <v>--</v>
      </c>
      <c r="Y37" s="265" t="str">
        <f t="shared" si="12"/>
        <v>--</v>
      </c>
      <c r="Z37" s="266" t="str">
        <f t="shared" si="13"/>
        <v>--</v>
      </c>
      <c r="AA37" s="267" t="str">
        <f t="shared" si="14"/>
        <v>--</v>
      </c>
      <c r="AB37" s="268" t="str">
        <f t="shared" si="15"/>
        <v>--</v>
      </c>
      <c r="AC37" s="269" t="str">
        <f t="shared" si="16"/>
        <v>--</v>
      </c>
      <c r="AD37" s="191">
        <f t="shared" si="17"/>
      </c>
      <c r="AE37" s="192">
        <f t="shared" si="18"/>
      </c>
      <c r="AF37" s="193"/>
    </row>
    <row r="38" spans="2:32" s="8" customFormat="1" ht="16.5" customHeight="1">
      <c r="B38" s="55"/>
      <c r="C38" s="169"/>
      <c r="D38" s="169"/>
      <c r="E38" s="169"/>
      <c r="F38" s="199"/>
      <c r="G38" s="200"/>
      <c r="H38" s="201"/>
      <c r="I38" s="200"/>
      <c r="J38" s="172">
        <f t="shared" si="0"/>
        <v>20</v>
      </c>
      <c r="K38" s="173" t="e">
        <f t="shared" si="1"/>
        <v>#VALUE!</v>
      </c>
      <c r="L38" s="202"/>
      <c r="M38" s="204"/>
      <c r="N38" s="176">
        <f t="shared" si="2"/>
      </c>
      <c r="O38" s="177">
        <f t="shared" si="3"/>
      </c>
      <c r="P38" s="178"/>
      <c r="Q38" s="179">
        <f t="shared" si="4"/>
      </c>
      <c r="R38" s="180">
        <f t="shared" si="5"/>
      </c>
      <c r="S38" s="180">
        <f t="shared" si="6"/>
      </c>
      <c r="T38" s="260" t="str">
        <f t="shared" si="7"/>
        <v>--</v>
      </c>
      <c r="U38" s="261" t="str">
        <f t="shared" si="8"/>
        <v>--</v>
      </c>
      <c r="V38" s="262" t="str">
        <f t="shared" si="9"/>
        <v>--</v>
      </c>
      <c r="W38" s="263" t="str">
        <f t="shared" si="10"/>
        <v>--</v>
      </c>
      <c r="X38" s="264" t="str">
        <f t="shared" si="11"/>
        <v>--</v>
      </c>
      <c r="Y38" s="265" t="str">
        <f t="shared" si="12"/>
        <v>--</v>
      </c>
      <c r="Z38" s="266" t="str">
        <f t="shared" si="13"/>
        <v>--</v>
      </c>
      <c r="AA38" s="267" t="str">
        <f t="shared" si="14"/>
        <v>--</v>
      </c>
      <c r="AB38" s="268" t="str">
        <f t="shared" si="15"/>
        <v>--</v>
      </c>
      <c r="AC38" s="269" t="str">
        <f t="shared" si="16"/>
        <v>--</v>
      </c>
      <c r="AD38" s="191">
        <f t="shared" si="17"/>
      </c>
      <c r="AE38" s="192">
        <f t="shared" si="18"/>
      </c>
      <c r="AF38" s="193"/>
    </row>
    <row r="39" spans="2:32" s="8" customFormat="1" ht="16.5" customHeight="1">
      <c r="B39" s="55"/>
      <c r="C39" s="150"/>
      <c r="D39" s="150"/>
      <c r="E39" s="150"/>
      <c r="F39" s="199"/>
      <c r="G39" s="200"/>
      <c r="H39" s="201"/>
      <c r="I39" s="200"/>
      <c r="J39" s="172">
        <f t="shared" si="0"/>
        <v>20</v>
      </c>
      <c r="K39" s="173" t="e">
        <f t="shared" si="1"/>
        <v>#VALUE!</v>
      </c>
      <c r="L39" s="202"/>
      <c r="M39" s="204"/>
      <c r="N39" s="176">
        <f t="shared" si="2"/>
      </c>
      <c r="O39" s="177">
        <f t="shared" si="3"/>
      </c>
      <c r="P39" s="178"/>
      <c r="Q39" s="179">
        <f t="shared" si="4"/>
      </c>
      <c r="R39" s="180">
        <f t="shared" si="5"/>
      </c>
      <c r="S39" s="180">
        <f t="shared" si="6"/>
      </c>
      <c r="T39" s="260" t="str">
        <f t="shared" si="7"/>
        <v>--</v>
      </c>
      <c r="U39" s="261" t="str">
        <f t="shared" si="8"/>
        <v>--</v>
      </c>
      <c r="V39" s="262" t="str">
        <f t="shared" si="9"/>
        <v>--</v>
      </c>
      <c r="W39" s="263" t="str">
        <f t="shared" si="10"/>
        <v>--</v>
      </c>
      <c r="X39" s="264" t="str">
        <f t="shared" si="11"/>
        <v>--</v>
      </c>
      <c r="Y39" s="265" t="str">
        <f t="shared" si="12"/>
        <v>--</v>
      </c>
      <c r="Z39" s="266" t="str">
        <f t="shared" si="13"/>
        <v>--</v>
      </c>
      <c r="AA39" s="267" t="str">
        <f t="shared" si="14"/>
        <v>--</v>
      </c>
      <c r="AB39" s="268" t="str">
        <f t="shared" si="15"/>
        <v>--</v>
      </c>
      <c r="AC39" s="269" t="str">
        <f t="shared" si="16"/>
        <v>--</v>
      </c>
      <c r="AD39" s="191">
        <f t="shared" si="17"/>
      </c>
      <c r="AE39" s="192">
        <f t="shared" si="18"/>
      </c>
      <c r="AF39" s="193"/>
    </row>
    <row r="40" spans="2:32" s="8" customFormat="1" ht="16.5" customHeight="1" thickBot="1">
      <c r="B40" s="55"/>
      <c r="C40" s="169"/>
      <c r="D40" s="205"/>
      <c r="E40" s="169"/>
      <c r="F40" s="207"/>
      <c r="G40" s="208"/>
      <c r="H40" s="209"/>
      <c r="I40" s="210"/>
      <c r="J40" s="211"/>
      <c r="K40" s="212"/>
      <c r="L40" s="213"/>
      <c r="M40" s="213"/>
      <c r="N40" s="214"/>
      <c r="O40" s="214"/>
      <c r="P40" s="215"/>
      <c r="Q40" s="216"/>
      <c r="R40" s="215"/>
      <c r="S40" s="215"/>
      <c r="T40" s="217"/>
      <c r="U40" s="218"/>
      <c r="V40" s="219"/>
      <c r="W40" s="220"/>
      <c r="X40" s="221"/>
      <c r="Y40" s="222"/>
      <c r="Z40" s="223"/>
      <c r="AA40" s="224"/>
      <c r="AB40" s="225"/>
      <c r="AC40" s="226"/>
      <c r="AD40" s="227"/>
      <c r="AE40" s="228"/>
      <c r="AF40" s="193"/>
    </row>
    <row r="41" spans="2:32" s="8" customFormat="1" ht="16.5" customHeight="1" thickBot="1" thickTop="1">
      <c r="B41" s="55"/>
      <c r="C41" s="625" t="s">
        <v>327</v>
      </c>
      <c r="D41" s="626" t="s">
        <v>341</v>
      </c>
      <c r="E41" s="229"/>
      <c r="F41" s="231"/>
      <c r="G41" s="232"/>
      <c r="H41" s="233"/>
      <c r="I41" s="234"/>
      <c r="J41" s="233"/>
      <c r="K41" s="235"/>
      <c r="L41" s="235"/>
      <c r="M41" s="235"/>
      <c r="N41" s="235"/>
      <c r="O41" s="235"/>
      <c r="P41" s="235"/>
      <c r="Q41" s="236"/>
      <c r="R41" s="235"/>
      <c r="S41" s="235"/>
      <c r="T41" s="237">
        <f aca="true" t="shared" si="19" ref="T41:AC41">SUM(T18:T40)</f>
        <v>668.857732</v>
      </c>
      <c r="U41" s="238">
        <f t="shared" si="19"/>
        <v>0</v>
      </c>
      <c r="V41" s="239">
        <f t="shared" si="19"/>
        <v>0</v>
      </c>
      <c r="W41" s="239">
        <f t="shared" si="19"/>
        <v>0</v>
      </c>
      <c r="X41" s="239">
        <f t="shared" si="19"/>
        <v>0</v>
      </c>
      <c r="Y41" s="240">
        <f t="shared" si="19"/>
        <v>0</v>
      </c>
      <c r="Z41" s="240">
        <f t="shared" si="19"/>
        <v>0</v>
      </c>
      <c r="AA41" s="240">
        <f t="shared" si="19"/>
        <v>0</v>
      </c>
      <c r="AB41" s="241">
        <f t="shared" si="19"/>
        <v>0</v>
      </c>
      <c r="AC41" s="242">
        <f t="shared" si="19"/>
        <v>0</v>
      </c>
      <c r="AD41" s="243"/>
      <c r="AE41" s="244">
        <f>ROUND(SUM(AE18:AE40),2)</f>
        <v>668.86</v>
      </c>
      <c r="AF41" s="193"/>
    </row>
    <row r="42" spans="2:32" s="8" customFormat="1" ht="16.5" customHeight="1" thickBot="1" thickTop="1">
      <c r="B42" s="245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7"/>
    </row>
    <row r="43" spans="2:32" ht="16.5" customHeight="1" thickTop="1">
      <c r="B43" s="248"/>
      <c r="C43" s="248"/>
      <c r="D43" s="248"/>
      <c r="AF43" s="248"/>
    </row>
  </sheetData>
  <sheetProtection password="CC12"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Roman,Normal"&amp;8&amp;F-&amp;A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F43"/>
  <sheetViews>
    <sheetView zoomScale="70" zoomScaleNormal="70" zoomScalePageLayoutView="0" workbookViewId="0" topLeftCell="A1">
      <selection activeCell="N51" sqref="N51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7109375" style="9" customWidth="1"/>
    <col min="6" max="6" width="45.7109375" style="9" customWidth="1"/>
    <col min="7" max="8" width="9.7109375" style="9" customWidth="1"/>
    <col min="9" max="9" width="3.8515625" style="9" customWidth="1"/>
    <col min="10" max="10" width="3.140625" style="9" hidden="1" customWidth="1"/>
    <col min="11" max="11" width="6.00390625" style="9" hidden="1" customWidth="1"/>
    <col min="12" max="13" width="15.7109375" style="9" customWidth="1"/>
    <col min="14" max="16" width="9.7109375" style="9" customWidth="1"/>
    <col min="17" max="17" width="8.7109375" style="9" customWidth="1"/>
    <col min="18" max="18" width="5.421875" style="9" customWidth="1"/>
    <col min="19" max="19" width="6.00390625" style="9" customWidth="1"/>
    <col min="20" max="21" width="12.28125" style="9" hidden="1" customWidth="1"/>
    <col min="22" max="27" width="5.7109375" style="9" hidden="1" customWidth="1"/>
    <col min="28" max="28" width="12.28125" style="9" hidden="1" customWidth="1"/>
    <col min="29" max="29" width="13.421875" style="9" hidden="1" customWidth="1"/>
    <col min="30" max="30" width="9.7109375" style="9" customWidth="1"/>
    <col min="31" max="31" width="15.7109375" style="9" customWidth="1"/>
    <col min="32" max="32" width="4.140625" style="9" customWidth="1"/>
    <col min="33" max="33" width="30.421875" style="9" customWidth="1"/>
    <col min="34" max="34" width="3.140625" style="9" customWidth="1"/>
    <col min="35" max="35" width="3.57421875" style="9" customWidth="1"/>
    <col min="36" max="36" width="24.28125" style="9" customWidth="1"/>
    <col min="37" max="37" width="4.7109375" style="9" customWidth="1"/>
    <col min="38" max="38" width="7.57421875" style="9" customWidth="1"/>
    <col min="39" max="40" width="4.140625" style="9" customWidth="1"/>
    <col min="41" max="41" width="7.140625" style="9" customWidth="1"/>
    <col min="42" max="42" width="5.28125" style="9" customWidth="1"/>
    <col min="43" max="43" width="5.421875" style="9" customWidth="1"/>
    <col min="44" max="44" width="4.7109375" style="9" customWidth="1"/>
    <col min="45" max="45" width="5.28125" style="9" customWidth="1"/>
    <col min="46" max="47" width="13.28125" style="9" customWidth="1"/>
    <col min="48" max="48" width="6.57421875" style="9" customWidth="1"/>
    <col min="49" max="49" width="6.421875" style="9" customWidth="1"/>
    <col min="50" max="53" width="11.421875" style="9" customWidth="1"/>
    <col min="54" max="54" width="12.7109375" style="9" customWidth="1"/>
    <col min="55" max="57" width="11.421875" style="9" customWidth="1"/>
    <col min="58" max="58" width="21.00390625" style="9" customWidth="1"/>
    <col min="59" max="16384" width="11.421875" style="9" customWidth="1"/>
  </cols>
  <sheetData>
    <row r="1" spans="1:32" s="3" customFormat="1" ht="26.25">
      <c r="A1" s="9"/>
      <c r="E1" s="9"/>
      <c r="G1" s="9"/>
      <c r="I1" s="9"/>
      <c r="K1" s="9"/>
      <c r="M1" s="9"/>
      <c r="O1" s="9"/>
      <c r="Q1" s="9"/>
      <c r="S1" s="9"/>
      <c r="U1" s="9"/>
      <c r="W1" s="9"/>
      <c r="Y1" s="9"/>
      <c r="AA1" s="9"/>
      <c r="AF1" s="5"/>
    </row>
    <row r="2" spans="1:32" s="3" customFormat="1" ht="26.25">
      <c r="A2" s="88"/>
      <c r="B2" s="2" t="str">
        <f>+'TOT-0912'!B2</f>
        <v>ANEXO IV al Memorándum  D.T.E.E.  N° 295 / 2014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8" customFormat="1" ht="23.25" customHeight="1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32" s="8" customFormat="1" ht="13.5" thickTop="1">
      <c r="B7" s="91"/>
      <c r="C7" s="92"/>
      <c r="D7" s="92"/>
      <c r="E7" s="92"/>
      <c r="F7" s="92"/>
      <c r="G7" s="93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4"/>
    </row>
    <row r="8" spans="2:32" s="18" customFormat="1" ht="20.25">
      <c r="B8" s="95"/>
      <c r="C8" s="23"/>
      <c r="D8" s="23"/>
      <c r="E8" s="23"/>
      <c r="F8" s="96" t="s">
        <v>23</v>
      </c>
      <c r="G8" s="23"/>
      <c r="H8" s="23"/>
      <c r="I8" s="23"/>
      <c r="J8" s="23"/>
      <c r="P8" s="23"/>
      <c r="Q8" s="23"/>
      <c r="R8" s="97"/>
      <c r="S8" s="97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98"/>
    </row>
    <row r="9" spans="2:32" s="8" customFormat="1" ht="16.5" customHeight="1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99"/>
    </row>
    <row r="10" spans="2:32" s="249" customFormat="1" ht="33" customHeight="1">
      <c r="B10" s="250"/>
      <c r="C10" s="251"/>
      <c r="D10" s="251"/>
      <c r="E10" s="251"/>
      <c r="F10" s="252" t="s">
        <v>24</v>
      </c>
      <c r="G10" s="251"/>
      <c r="H10" s="251"/>
      <c r="I10" s="251"/>
      <c r="K10" s="251"/>
      <c r="L10" s="251"/>
      <c r="M10" s="251"/>
      <c r="N10" s="251"/>
      <c r="O10" s="251"/>
      <c r="P10" s="251"/>
      <c r="Q10" s="251"/>
      <c r="R10" s="252"/>
      <c r="S10" s="252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3"/>
    </row>
    <row r="11" spans="2:32" s="254" customFormat="1" ht="33" customHeight="1">
      <c r="B11" s="255"/>
      <c r="C11" s="256"/>
      <c r="D11" s="256"/>
      <c r="E11" s="256"/>
      <c r="F11" s="272" t="s">
        <v>359</v>
      </c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8"/>
    </row>
    <row r="12" spans="2:32" s="34" customFormat="1" ht="19.5">
      <c r="B12" s="35" t="str">
        <f>'TOT-0912'!B14</f>
        <v>Desde el 01 al 30 de septiembre de 2012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101"/>
      <c r="Q12" s="101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102"/>
    </row>
    <row r="13" spans="2:32" s="8" customFormat="1" ht="16.5" customHeight="1" thickBot="1">
      <c r="B13" s="55"/>
      <c r="C13" s="11"/>
      <c r="D13" s="11"/>
      <c r="E13" s="11"/>
      <c r="F13" s="11"/>
      <c r="G13" s="85"/>
      <c r="H13" s="85"/>
      <c r="I13" s="11"/>
      <c r="J13" s="11"/>
      <c r="K13" s="11"/>
      <c r="L13" s="103"/>
      <c r="M13" s="11"/>
      <c r="N13" s="11"/>
      <c r="O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99"/>
    </row>
    <row r="14" spans="2:32" s="8" customFormat="1" ht="16.5" customHeight="1" thickBot="1" thickTop="1">
      <c r="B14" s="55"/>
      <c r="C14" s="11"/>
      <c r="D14" s="11"/>
      <c r="E14" s="11"/>
      <c r="F14" s="104" t="s">
        <v>26</v>
      </c>
      <c r="G14" s="105">
        <v>253.422</v>
      </c>
      <c r="H14" s="106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99"/>
    </row>
    <row r="15" spans="2:32" s="8" customFormat="1" ht="16.5" customHeight="1" thickBot="1" thickTop="1">
      <c r="B15" s="55"/>
      <c r="C15" s="11"/>
      <c r="D15" s="11"/>
      <c r="E15" s="11"/>
      <c r="F15" s="104" t="s">
        <v>27</v>
      </c>
      <c r="G15" s="105" t="s">
        <v>336</v>
      </c>
      <c r="H15" s="106"/>
      <c r="I15" s="11"/>
      <c r="J15" s="11"/>
      <c r="K15" s="11"/>
      <c r="L15" s="107"/>
      <c r="M15" s="108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09"/>
      <c r="Y15" s="109"/>
      <c r="Z15" s="109"/>
      <c r="AA15" s="109"/>
      <c r="AB15" s="109"/>
      <c r="AC15" s="109"/>
      <c r="AD15" s="109"/>
      <c r="AF15" s="99"/>
    </row>
    <row r="16" spans="2:32" s="8" customFormat="1" ht="16.5" customHeight="1" thickBot="1" thickTop="1">
      <c r="B16" s="55"/>
      <c r="C16" s="110">
        <v>3</v>
      </c>
      <c r="D16" s="110">
        <v>4</v>
      </c>
      <c r="E16" s="110">
        <v>5</v>
      </c>
      <c r="F16" s="110">
        <v>6</v>
      </c>
      <c r="G16" s="110">
        <v>7</v>
      </c>
      <c r="H16" s="110">
        <v>8</v>
      </c>
      <c r="I16" s="110">
        <v>9</v>
      </c>
      <c r="J16" s="110">
        <v>10</v>
      </c>
      <c r="K16" s="110">
        <v>11</v>
      </c>
      <c r="L16" s="110">
        <v>12</v>
      </c>
      <c r="M16" s="110">
        <v>13</v>
      </c>
      <c r="N16" s="110">
        <v>14</v>
      </c>
      <c r="O16" s="110">
        <v>15</v>
      </c>
      <c r="P16" s="110">
        <v>16</v>
      </c>
      <c r="Q16" s="110">
        <v>17</v>
      </c>
      <c r="R16" s="110">
        <v>18</v>
      </c>
      <c r="S16" s="110">
        <v>19</v>
      </c>
      <c r="T16" s="110">
        <v>20</v>
      </c>
      <c r="U16" s="110">
        <v>21</v>
      </c>
      <c r="V16" s="110">
        <v>22</v>
      </c>
      <c r="W16" s="110">
        <v>23</v>
      </c>
      <c r="X16" s="110">
        <v>24</v>
      </c>
      <c r="Y16" s="110">
        <v>25</v>
      </c>
      <c r="Z16" s="110">
        <v>26</v>
      </c>
      <c r="AA16" s="110">
        <v>27</v>
      </c>
      <c r="AB16" s="110">
        <v>28</v>
      </c>
      <c r="AC16" s="110">
        <v>29</v>
      </c>
      <c r="AD16" s="110">
        <v>30</v>
      </c>
      <c r="AE16" s="110">
        <v>31</v>
      </c>
      <c r="AF16" s="99"/>
    </row>
    <row r="17" spans="2:32" s="8" customFormat="1" ht="33.75" customHeight="1" thickBot="1" thickTop="1">
      <c r="B17" s="55"/>
      <c r="C17" s="111" t="s">
        <v>28</v>
      </c>
      <c r="D17" s="111" t="s">
        <v>29</v>
      </c>
      <c r="E17" s="111" t="s">
        <v>30</v>
      </c>
      <c r="F17" s="112" t="s">
        <v>5</v>
      </c>
      <c r="G17" s="113" t="s">
        <v>31</v>
      </c>
      <c r="H17" s="114" t="s">
        <v>32</v>
      </c>
      <c r="I17" s="115" t="s">
        <v>33</v>
      </c>
      <c r="J17" s="116" t="s">
        <v>34</v>
      </c>
      <c r="K17" s="117" t="s">
        <v>35</v>
      </c>
      <c r="L17" s="112" t="s">
        <v>36</v>
      </c>
      <c r="M17" s="118" t="s">
        <v>37</v>
      </c>
      <c r="N17" s="119" t="s">
        <v>38</v>
      </c>
      <c r="O17" s="114" t="s">
        <v>39</v>
      </c>
      <c r="P17" s="119" t="s">
        <v>254</v>
      </c>
      <c r="Q17" s="114" t="s">
        <v>40</v>
      </c>
      <c r="R17" s="118" t="s">
        <v>41</v>
      </c>
      <c r="S17" s="112" t="s">
        <v>42</v>
      </c>
      <c r="T17" s="120" t="s">
        <v>43</v>
      </c>
      <c r="U17" s="121" t="s">
        <v>44</v>
      </c>
      <c r="V17" s="122" t="s">
        <v>45</v>
      </c>
      <c r="W17" s="123"/>
      <c r="X17" s="124"/>
      <c r="Y17" s="125" t="s">
        <v>46</v>
      </c>
      <c r="Z17" s="126"/>
      <c r="AA17" s="127"/>
      <c r="AB17" s="128" t="s">
        <v>47</v>
      </c>
      <c r="AC17" s="129" t="s">
        <v>48</v>
      </c>
      <c r="AD17" s="130" t="s">
        <v>49</v>
      </c>
      <c r="AE17" s="130" t="s">
        <v>50</v>
      </c>
      <c r="AF17" s="131"/>
    </row>
    <row r="18" spans="2:32" s="8" customFormat="1" ht="16.5" customHeight="1" thickTop="1">
      <c r="B18" s="55"/>
      <c r="C18" s="132"/>
      <c r="D18" s="132"/>
      <c r="E18" s="132"/>
      <c r="F18" s="133"/>
      <c r="G18" s="133"/>
      <c r="H18" s="134"/>
      <c r="I18" s="135"/>
      <c r="J18" s="136"/>
      <c r="K18" s="137"/>
      <c r="L18" s="138"/>
      <c r="M18" s="138"/>
      <c r="N18" s="135"/>
      <c r="O18" s="135"/>
      <c r="P18" s="135"/>
      <c r="Q18" s="135"/>
      <c r="R18" s="135"/>
      <c r="S18" s="135"/>
      <c r="T18" s="139"/>
      <c r="U18" s="140"/>
      <c r="V18" s="141"/>
      <c r="W18" s="142"/>
      <c r="X18" s="143"/>
      <c r="Y18" s="144"/>
      <c r="Z18" s="145"/>
      <c r="AA18" s="146"/>
      <c r="AB18" s="147"/>
      <c r="AC18" s="148"/>
      <c r="AD18" s="135"/>
      <c r="AE18" s="149"/>
      <c r="AF18" s="99"/>
    </row>
    <row r="19" spans="2:32" s="8" customFormat="1" ht="16.5" customHeight="1">
      <c r="B19" s="55"/>
      <c r="C19" s="259"/>
      <c r="D19" s="259"/>
      <c r="E19" s="259"/>
      <c r="F19" s="194"/>
      <c r="G19" s="195"/>
      <c r="H19" s="196"/>
      <c r="I19" s="195"/>
      <c r="J19" s="172">
        <f aca="true" t="shared" si="0" ref="J19:J39">IF(I19="A",200,IF(I19="B",60,20))</f>
        <v>20</v>
      </c>
      <c r="K19" s="173" t="e">
        <f aca="true" t="shared" si="1" ref="K19:K39">IF(G19=500,IF(H19&lt;100,100*$G$14/100,H19*$G$14/100),IF(H19&lt;100,100*$G$15/100,H19*$G$15/100))</f>
        <v>#VALUE!</v>
      </c>
      <c r="L19" s="174"/>
      <c r="M19" s="175"/>
      <c r="N19" s="176">
        <f aca="true" t="shared" si="2" ref="N19:N39">IF(F19="","",(M19-L19)*24)</f>
      </c>
      <c r="O19" s="177">
        <f aca="true" t="shared" si="3" ref="O19:O39">IF(F19="","",ROUND((M19-L19)*24*60,0))</f>
      </c>
      <c r="P19" s="178"/>
      <c r="Q19" s="179">
        <f aca="true" t="shared" si="4" ref="Q19:Q39">IF(F19="","","--")</f>
      </c>
      <c r="R19" s="180">
        <f aca="true" t="shared" si="5" ref="R19:R39">IF(F19="","","NO")</f>
      </c>
      <c r="S19" s="180">
        <f aca="true" t="shared" si="6" ref="S19:S39">IF(F19="","",IF(OR(P19="P",P19="RP"),"--","NO"))</f>
      </c>
      <c r="T19" s="260" t="str">
        <f aca="true" t="shared" si="7" ref="T19:T39">IF(P19="P",K19*J19*ROUND(O19/60,2)*0.01,"--")</f>
        <v>--</v>
      </c>
      <c r="U19" s="261" t="str">
        <f aca="true" t="shared" si="8" ref="U19:U39">IF(P19="RP",K19*J19*ROUND(O19/60,2)*0.01*Q19/100,"--")</f>
        <v>--</v>
      </c>
      <c r="V19" s="262" t="str">
        <f aca="true" t="shared" si="9" ref="V19:V39">IF(AND(P19="F",S19="NO"),K19*J19*IF(R19="SI",1.2,1),"--")</f>
        <v>--</v>
      </c>
      <c r="W19" s="263" t="str">
        <f aca="true" t="shared" si="10" ref="W19:W39">IF(AND(P19="F",O19&gt;=10),K19*J19*IF(R19="SI",1.2,1)*IF(O19&lt;=300,ROUND(O19/60,2),5),"--")</f>
        <v>--</v>
      </c>
      <c r="X19" s="264" t="str">
        <f aca="true" t="shared" si="11" ref="X19:X39">IF(AND(P19="F",O19&gt;300),(ROUND(O19/60,2)-5)*K19*J19*0.1*IF(R19="SI",1.2,1),"--")</f>
        <v>--</v>
      </c>
      <c r="Y19" s="265" t="str">
        <f aca="true" t="shared" si="12" ref="Y19:Y39">IF(AND(P19="R",S19="NO"),K19*J19*Q19/100*IF(R19="SI",1.2,1),"--")</f>
        <v>--</v>
      </c>
      <c r="Z19" s="266" t="str">
        <f aca="true" t="shared" si="13" ref="Z19:Z39">IF(AND(P19="R",O19&gt;=10),K19*J19*Q19/100*IF(R19="SI",1.2,1)*IF(O19&lt;=300,ROUND(O19/60,2),5),"--")</f>
        <v>--</v>
      </c>
      <c r="AA19" s="267" t="str">
        <f aca="true" t="shared" si="14" ref="AA19:AA39">IF(AND(P19="R",O19&gt;300),(ROUND(O19/60,2)-5)*K19*J19*0.1*Q19/100*IF(R19="SI",1.2,1),"--")</f>
        <v>--</v>
      </c>
      <c r="AB19" s="268" t="str">
        <f aca="true" t="shared" si="15" ref="AB19:AB39">IF(P19="RF",ROUND(O19/60,2)*K19*J19*0.1*IF(R19="SI",1.2,1),"--")</f>
        <v>--</v>
      </c>
      <c r="AC19" s="269" t="str">
        <f aca="true" t="shared" si="16" ref="AC19:AC39">IF(P19="RR",ROUND(O19/60,2)*K19*J19*0.1*Q19/100*IF(R19="SI",1.2,1),"--")</f>
        <v>--</v>
      </c>
      <c r="AD19" s="270">
        <f aca="true" t="shared" si="17" ref="AD19:AD39">IF(F19="","","SI")</f>
      </c>
      <c r="AE19" s="192">
        <f aca="true" t="shared" si="18" ref="AE19:AE39">IF(F19="","",SUM(T19:AC19)*IF(AD19="SI",1,2))</f>
      </c>
      <c r="AF19" s="99"/>
    </row>
    <row r="20" spans="2:32" s="8" customFormat="1" ht="16.5" customHeight="1">
      <c r="B20" s="55"/>
      <c r="C20" s="259">
        <v>16</v>
      </c>
      <c r="D20" s="259">
        <v>251859</v>
      </c>
      <c r="E20" s="259">
        <v>4444</v>
      </c>
      <c r="F20" s="194" t="s">
        <v>267</v>
      </c>
      <c r="G20" s="195">
        <v>500</v>
      </c>
      <c r="H20" s="196">
        <v>354</v>
      </c>
      <c r="I20" s="195" t="s">
        <v>483</v>
      </c>
      <c r="J20" s="172">
        <f t="shared" si="0"/>
        <v>200</v>
      </c>
      <c r="K20" s="173">
        <f t="shared" si="1"/>
        <v>897.1138799999999</v>
      </c>
      <c r="L20" s="174">
        <v>41175.29375</v>
      </c>
      <c r="M20" s="175">
        <v>41175.40347222222</v>
      </c>
      <c r="N20" s="176">
        <f t="shared" si="2"/>
        <v>2.633333333360497</v>
      </c>
      <c r="O20" s="177">
        <f t="shared" si="3"/>
        <v>158</v>
      </c>
      <c r="P20" s="178" t="s">
        <v>259</v>
      </c>
      <c r="Q20" s="179" t="str">
        <f t="shared" si="4"/>
        <v>--</v>
      </c>
      <c r="R20" s="180" t="str">
        <f t="shared" si="5"/>
        <v>NO</v>
      </c>
      <c r="S20" s="180" t="str">
        <f t="shared" si="6"/>
        <v>--</v>
      </c>
      <c r="T20" s="260">
        <f t="shared" si="7"/>
        <v>4718.819008799999</v>
      </c>
      <c r="U20" s="261" t="str">
        <f t="shared" si="8"/>
        <v>--</v>
      </c>
      <c r="V20" s="262" t="str">
        <f t="shared" si="9"/>
        <v>--</v>
      </c>
      <c r="W20" s="263" t="str">
        <f t="shared" si="10"/>
        <v>--</v>
      </c>
      <c r="X20" s="264" t="str">
        <f t="shared" si="11"/>
        <v>--</v>
      </c>
      <c r="Y20" s="265" t="str">
        <f t="shared" si="12"/>
        <v>--</v>
      </c>
      <c r="Z20" s="266" t="str">
        <f t="shared" si="13"/>
        <v>--</v>
      </c>
      <c r="AA20" s="267" t="str">
        <f t="shared" si="14"/>
        <v>--</v>
      </c>
      <c r="AB20" s="268" t="str">
        <f t="shared" si="15"/>
        <v>--</v>
      </c>
      <c r="AC20" s="269" t="str">
        <f t="shared" si="16"/>
        <v>--</v>
      </c>
      <c r="AD20" s="191" t="s">
        <v>79</v>
      </c>
      <c r="AE20" s="192">
        <f t="shared" si="18"/>
        <v>4718.819008799999</v>
      </c>
      <c r="AF20" s="193"/>
    </row>
    <row r="21" spans="2:32" s="8" customFormat="1" ht="16.5" customHeight="1">
      <c r="B21" s="55"/>
      <c r="C21" s="150"/>
      <c r="D21" s="150"/>
      <c r="E21" s="150"/>
      <c r="F21" s="194"/>
      <c r="G21" s="195"/>
      <c r="H21" s="196"/>
      <c r="I21" s="195"/>
      <c r="J21" s="172">
        <f t="shared" si="0"/>
        <v>20</v>
      </c>
      <c r="K21" s="173" t="e">
        <f t="shared" si="1"/>
        <v>#VALUE!</v>
      </c>
      <c r="L21" s="174"/>
      <c r="M21" s="175"/>
      <c r="N21" s="176">
        <f t="shared" si="2"/>
      </c>
      <c r="O21" s="177">
        <f t="shared" si="3"/>
      </c>
      <c r="P21" s="178"/>
      <c r="Q21" s="179">
        <f t="shared" si="4"/>
      </c>
      <c r="R21" s="180">
        <f t="shared" si="5"/>
      </c>
      <c r="S21" s="180">
        <f t="shared" si="6"/>
      </c>
      <c r="T21" s="260" t="str">
        <f t="shared" si="7"/>
        <v>--</v>
      </c>
      <c r="U21" s="261" t="str">
        <f t="shared" si="8"/>
        <v>--</v>
      </c>
      <c r="V21" s="262" t="str">
        <f t="shared" si="9"/>
        <v>--</v>
      </c>
      <c r="W21" s="263" t="str">
        <f t="shared" si="10"/>
        <v>--</v>
      </c>
      <c r="X21" s="264" t="str">
        <f t="shared" si="11"/>
        <v>--</v>
      </c>
      <c r="Y21" s="265" t="str">
        <f t="shared" si="12"/>
        <v>--</v>
      </c>
      <c r="Z21" s="266" t="str">
        <f t="shared" si="13"/>
        <v>--</v>
      </c>
      <c r="AA21" s="267" t="str">
        <f t="shared" si="14"/>
        <v>--</v>
      </c>
      <c r="AB21" s="268" t="str">
        <f t="shared" si="15"/>
        <v>--</v>
      </c>
      <c r="AC21" s="269" t="str">
        <f t="shared" si="16"/>
        <v>--</v>
      </c>
      <c r="AD21" s="191">
        <f t="shared" si="17"/>
      </c>
      <c r="AE21" s="192">
        <f t="shared" si="18"/>
      </c>
      <c r="AF21" s="193"/>
    </row>
    <row r="22" spans="2:32" s="8" customFormat="1" ht="16.5" customHeight="1">
      <c r="B22" s="55"/>
      <c r="C22" s="169"/>
      <c r="D22" s="169"/>
      <c r="E22" s="169"/>
      <c r="F22" s="194"/>
      <c r="G22" s="195"/>
      <c r="H22" s="196"/>
      <c r="I22" s="195"/>
      <c r="J22" s="172">
        <f t="shared" si="0"/>
        <v>20</v>
      </c>
      <c r="K22" s="173" t="e">
        <f t="shared" si="1"/>
        <v>#VALUE!</v>
      </c>
      <c r="L22" s="197"/>
      <c r="M22" s="198"/>
      <c r="N22" s="176">
        <f t="shared" si="2"/>
      </c>
      <c r="O22" s="177">
        <f t="shared" si="3"/>
      </c>
      <c r="P22" s="178"/>
      <c r="Q22" s="179">
        <f t="shared" si="4"/>
      </c>
      <c r="R22" s="180">
        <f t="shared" si="5"/>
      </c>
      <c r="S22" s="180">
        <f t="shared" si="6"/>
      </c>
      <c r="T22" s="260" t="str">
        <f t="shared" si="7"/>
        <v>--</v>
      </c>
      <c r="U22" s="261" t="str">
        <f t="shared" si="8"/>
        <v>--</v>
      </c>
      <c r="V22" s="262" t="str">
        <f t="shared" si="9"/>
        <v>--</v>
      </c>
      <c r="W22" s="263" t="str">
        <f t="shared" si="10"/>
        <v>--</v>
      </c>
      <c r="X22" s="264" t="str">
        <f t="shared" si="11"/>
        <v>--</v>
      </c>
      <c r="Y22" s="265" t="str">
        <f t="shared" si="12"/>
        <v>--</v>
      </c>
      <c r="Z22" s="266" t="str">
        <f t="shared" si="13"/>
        <v>--</v>
      </c>
      <c r="AA22" s="267" t="str">
        <f t="shared" si="14"/>
        <v>--</v>
      </c>
      <c r="AB22" s="268" t="str">
        <f t="shared" si="15"/>
        <v>--</v>
      </c>
      <c r="AC22" s="269" t="str">
        <f t="shared" si="16"/>
        <v>--</v>
      </c>
      <c r="AD22" s="191">
        <f t="shared" si="17"/>
      </c>
      <c r="AE22" s="192">
        <f t="shared" si="18"/>
      </c>
      <c r="AF22" s="193"/>
    </row>
    <row r="23" spans="2:32" s="8" customFormat="1" ht="16.5" customHeight="1">
      <c r="B23" s="55"/>
      <c r="C23" s="150"/>
      <c r="D23" s="150"/>
      <c r="E23" s="150"/>
      <c r="F23" s="194"/>
      <c r="G23" s="195"/>
      <c r="H23" s="196"/>
      <c r="I23" s="195"/>
      <c r="J23" s="172">
        <f t="shared" si="0"/>
        <v>20</v>
      </c>
      <c r="K23" s="173" t="e">
        <f t="shared" si="1"/>
        <v>#VALUE!</v>
      </c>
      <c r="L23" s="197"/>
      <c r="M23" s="198"/>
      <c r="N23" s="176">
        <f t="shared" si="2"/>
      </c>
      <c r="O23" s="177">
        <f t="shared" si="3"/>
      </c>
      <c r="P23" s="178"/>
      <c r="Q23" s="179">
        <f t="shared" si="4"/>
      </c>
      <c r="R23" s="180">
        <f t="shared" si="5"/>
      </c>
      <c r="S23" s="180">
        <f t="shared" si="6"/>
      </c>
      <c r="T23" s="260" t="str">
        <f t="shared" si="7"/>
        <v>--</v>
      </c>
      <c r="U23" s="261" t="str">
        <f t="shared" si="8"/>
        <v>--</v>
      </c>
      <c r="V23" s="262" t="str">
        <f t="shared" si="9"/>
        <v>--</v>
      </c>
      <c r="W23" s="263" t="str">
        <f t="shared" si="10"/>
        <v>--</v>
      </c>
      <c r="X23" s="264" t="str">
        <f t="shared" si="11"/>
        <v>--</v>
      </c>
      <c r="Y23" s="265" t="str">
        <f t="shared" si="12"/>
        <v>--</v>
      </c>
      <c r="Z23" s="266" t="str">
        <f t="shared" si="13"/>
        <v>--</v>
      </c>
      <c r="AA23" s="267" t="str">
        <f t="shared" si="14"/>
        <v>--</v>
      </c>
      <c r="AB23" s="268" t="str">
        <f t="shared" si="15"/>
        <v>--</v>
      </c>
      <c r="AC23" s="269" t="str">
        <f t="shared" si="16"/>
        <v>--</v>
      </c>
      <c r="AD23" s="191">
        <f t="shared" si="17"/>
      </c>
      <c r="AE23" s="192">
        <f t="shared" si="18"/>
      </c>
      <c r="AF23" s="193"/>
    </row>
    <row r="24" spans="2:32" s="8" customFormat="1" ht="16.5" customHeight="1">
      <c r="B24" s="55"/>
      <c r="C24" s="169"/>
      <c r="D24" s="169"/>
      <c r="E24" s="169"/>
      <c r="F24" s="169"/>
      <c r="G24" s="170"/>
      <c r="H24" s="171"/>
      <c r="I24" s="170"/>
      <c r="J24" s="172">
        <f t="shared" si="0"/>
        <v>20</v>
      </c>
      <c r="K24" s="173" t="e">
        <f t="shared" si="1"/>
        <v>#VALUE!</v>
      </c>
      <c r="L24" s="174"/>
      <c r="M24" s="175"/>
      <c r="N24" s="176">
        <f t="shared" si="2"/>
      </c>
      <c r="O24" s="177">
        <f t="shared" si="3"/>
      </c>
      <c r="P24" s="178"/>
      <c r="Q24" s="179">
        <f t="shared" si="4"/>
      </c>
      <c r="R24" s="180">
        <f t="shared" si="5"/>
      </c>
      <c r="S24" s="180">
        <f t="shared" si="6"/>
      </c>
      <c r="T24" s="260" t="str">
        <f t="shared" si="7"/>
        <v>--</v>
      </c>
      <c r="U24" s="261" t="str">
        <f t="shared" si="8"/>
        <v>--</v>
      </c>
      <c r="V24" s="262" t="str">
        <f t="shared" si="9"/>
        <v>--</v>
      </c>
      <c r="W24" s="263" t="str">
        <f t="shared" si="10"/>
        <v>--</v>
      </c>
      <c r="X24" s="264" t="str">
        <f t="shared" si="11"/>
        <v>--</v>
      </c>
      <c r="Y24" s="265" t="str">
        <f t="shared" si="12"/>
        <v>--</v>
      </c>
      <c r="Z24" s="266" t="str">
        <f t="shared" si="13"/>
        <v>--</v>
      </c>
      <c r="AA24" s="267" t="str">
        <f t="shared" si="14"/>
        <v>--</v>
      </c>
      <c r="AB24" s="268" t="str">
        <f t="shared" si="15"/>
        <v>--</v>
      </c>
      <c r="AC24" s="269" t="str">
        <f t="shared" si="16"/>
        <v>--</v>
      </c>
      <c r="AD24" s="191">
        <f t="shared" si="17"/>
      </c>
      <c r="AE24" s="192">
        <f t="shared" si="18"/>
      </c>
      <c r="AF24" s="193"/>
    </row>
    <row r="25" spans="2:32" s="8" customFormat="1" ht="16.5" customHeight="1">
      <c r="B25" s="55"/>
      <c r="C25" s="150"/>
      <c r="D25" s="150"/>
      <c r="E25" s="150"/>
      <c r="F25" s="169"/>
      <c r="G25" s="170"/>
      <c r="H25" s="171"/>
      <c r="I25" s="170"/>
      <c r="J25" s="172">
        <f t="shared" si="0"/>
        <v>20</v>
      </c>
      <c r="K25" s="173" t="e">
        <f t="shared" si="1"/>
        <v>#VALUE!</v>
      </c>
      <c r="L25" s="174"/>
      <c r="M25" s="175"/>
      <c r="N25" s="176">
        <f t="shared" si="2"/>
      </c>
      <c r="O25" s="177">
        <f t="shared" si="3"/>
      </c>
      <c r="P25" s="178"/>
      <c r="Q25" s="179">
        <f t="shared" si="4"/>
      </c>
      <c r="R25" s="180">
        <f t="shared" si="5"/>
      </c>
      <c r="S25" s="180">
        <f t="shared" si="6"/>
      </c>
      <c r="T25" s="260" t="str">
        <f t="shared" si="7"/>
        <v>--</v>
      </c>
      <c r="U25" s="261" t="str">
        <f t="shared" si="8"/>
        <v>--</v>
      </c>
      <c r="V25" s="262" t="str">
        <f t="shared" si="9"/>
        <v>--</v>
      </c>
      <c r="W25" s="263" t="str">
        <f t="shared" si="10"/>
        <v>--</v>
      </c>
      <c r="X25" s="264" t="str">
        <f t="shared" si="11"/>
        <v>--</v>
      </c>
      <c r="Y25" s="265" t="str">
        <f t="shared" si="12"/>
        <v>--</v>
      </c>
      <c r="Z25" s="266" t="str">
        <f t="shared" si="13"/>
        <v>--</v>
      </c>
      <c r="AA25" s="267" t="str">
        <f t="shared" si="14"/>
        <v>--</v>
      </c>
      <c r="AB25" s="268" t="str">
        <f t="shared" si="15"/>
        <v>--</v>
      </c>
      <c r="AC25" s="269" t="str">
        <f t="shared" si="16"/>
        <v>--</v>
      </c>
      <c r="AD25" s="191">
        <f t="shared" si="17"/>
      </c>
      <c r="AE25" s="192">
        <f t="shared" si="18"/>
      </c>
      <c r="AF25" s="193"/>
    </row>
    <row r="26" spans="2:32" s="8" customFormat="1" ht="16.5" customHeight="1">
      <c r="B26" s="55"/>
      <c r="C26" s="169"/>
      <c r="D26" s="169"/>
      <c r="E26" s="169"/>
      <c r="F26" s="199"/>
      <c r="G26" s="200"/>
      <c r="H26" s="201"/>
      <c r="I26" s="200"/>
      <c r="J26" s="172">
        <f t="shared" si="0"/>
        <v>20</v>
      </c>
      <c r="K26" s="173" t="e">
        <f t="shared" si="1"/>
        <v>#VALUE!</v>
      </c>
      <c r="L26" s="202"/>
      <c r="M26" s="203"/>
      <c r="N26" s="176">
        <f t="shared" si="2"/>
      </c>
      <c r="O26" s="177">
        <f t="shared" si="3"/>
      </c>
      <c r="P26" s="178"/>
      <c r="Q26" s="179">
        <f t="shared" si="4"/>
      </c>
      <c r="R26" s="180">
        <f t="shared" si="5"/>
      </c>
      <c r="S26" s="180">
        <f t="shared" si="6"/>
      </c>
      <c r="T26" s="260" t="str">
        <f t="shared" si="7"/>
        <v>--</v>
      </c>
      <c r="U26" s="261" t="str">
        <f t="shared" si="8"/>
        <v>--</v>
      </c>
      <c r="V26" s="262" t="str">
        <f t="shared" si="9"/>
        <v>--</v>
      </c>
      <c r="W26" s="263" t="str">
        <f t="shared" si="10"/>
        <v>--</v>
      </c>
      <c r="X26" s="264" t="str">
        <f t="shared" si="11"/>
        <v>--</v>
      </c>
      <c r="Y26" s="265" t="str">
        <f t="shared" si="12"/>
        <v>--</v>
      </c>
      <c r="Z26" s="266" t="str">
        <f t="shared" si="13"/>
        <v>--</v>
      </c>
      <c r="AA26" s="267" t="str">
        <f t="shared" si="14"/>
        <v>--</v>
      </c>
      <c r="AB26" s="268" t="str">
        <f t="shared" si="15"/>
        <v>--</v>
      </c>
      <c r="AC26" s="269" t="str">
        <f t="shared" si="16"/>
        <v>--</v>
      </c>
      <c r="AD26" s="191">
        <f t="shared" si="17"/>
      </c>
      <c r="AE26" s="192">
        <f t="shared" si="18"/>
      </c>
      <c r="AF26" s="193"/>
    </row>
    <row r="27" spans="2:32" s="8" customFormat="1" ht="16.5" customHeight="1">
      <c r="B27" s="55"/>
      <c r="C27" s="150"/>
      <c r="D27" s="150"/>
      <c r="E27" s="150"/>
      <c r="F27" s="199"/>
      <c r="G27" s="200"/>
      <c r="H27" s="201"/>
      <c r="I27" s="200"/>
      <c r="J27" s="172">
        <f t="shared" si="0"/>
        <v>20</v>
      </c>
      <c r="K27" s="173" t="e">
        <f t="shared" si="1"/>
        <v>#VALUE!</v>
      </c>
      <c r="L27" s="202"/>
      <c r="M27" s="203"/>
      <c r="N27" s="176">
        <f t="shared" si="2"/>
      </c>
      <c r="O27" s="177">
        <f t="shared" si="3"/>
      </c>
      <c r="P27" s="178"/>
      <c r="Q27" s="179">
        <f t="shared" si="4"/>
      </c>
      <c r="R27" s="180">
        <f t="shared" si="5"/>
      </c>
      <c r="S27" s="180">
        <f t="shared" si="6"/>
      </c>
      <c r="T27" s="260" t="str">
        <f t="shared" si="7"/>
        <v>--</v>
      </c>
      <c r="U27" s="261" t="str">
        <f t="shared" si="8"/>
        <v>--</v>
      </c>
      <c r="V27" s="262" t="str">
        <f t="shared" si="9"/>
        <v>--</v>
      </c>
      <c r="W27" s="263" t="str">
        <f t="shared" si="10"/>
        <v>--</v>
      </c>
      <c r="X27" s="264" t="str">
        <f t="shared" si="11"/>
        <v>--</v>
      </c>
      <c r="Y27" s="265" t="str">
        <f t="shared" si="12"/>
        <v>--</v>
      </c>
      <c r="Z27" s="266" t="str">
        <f t="shared" si="13"/>
        <v>--</v>
      </c>
      <c r="AA27" s="267" t="str">
        <f t="shared" si="14"/>
        <v>--</v>
      </c>
      <c r="AB27" s="268" t="str">
        <f t="shared" si="15"/>
        <v>--</v>
      </c>
      <c r="AC27" s="269" t="str">
        <f t="shared" si="16"/>
        <v>--</v>
      </c>
      <c r="AD27" s="191">
        <f t="shared" si="17"/>
      </c>
      <c r="AE27" s="192">
        <f t="shared" si="18"/>
      </c>
      <c r="AF27" s="193"/>
    </row>
    <row r="28" spans="2:32" s="8" customFormat="1" ht="16.5" customHeight="1">
      <c r="B28" s="55"/>
      <c r="C28" s="169"/>
      <c r="D28" s="169"/>
      <c r="E28" s="169"/>
      <c r="F28" s="199"/>
      <c r="G28" s="200"/>
      <c r="H28" s="201"/>
      <c r="I28" s="200"/>
      <c r="J28" s="172">
        <f t="shared" si="0"/>
        <v>20</v>
      </c>
      <c r="K28" s="173" t="e">
        <f t="shared" si="1"/>
        <v>#VALUE!</v>
      </c>
      <c r="L28" s="202"/>
      <c r="M28" s="203"/>
      <c r="N28" s="176">
        <f t="shared" si="2"/>
      </c>
      <c r="O28" s="177">
        <f t="shared" si="3"/>
      </c>
      <c r="P28" s="178"/>
      <c r="Q28" s="179">
        <f t="shared" si="4"/>
      </c>
      <c r="R28" s="180">
        <f t="shared" si="5"/>
      </c>
      <c r="S28" s="180">
        <f t="shared" si="6"/>
      </c>
      <c r="T28" s="260" t="str">
        <f t="shared" si="7"/>
        <v>--</v>
      </c>
      <c r="U28" s="261" t="str">
        <f t="shared" si="8"/>
        <v>--</v>
      </c>
      <c r="V28" s="262" t="str">
        <f t="shared" si="9"/>
        <v>--</v>
      </c>
      <c r="W28" s="263" t="str">
        <f t="shared" si="10"/>
        <v>--</v>
      </c>
      <c r="X28" s="264" t="str">
        <f t="shared" si="11"/>
        <v>--</v>
      </c>
      <c r="Y28" s="265" t="str">
        <f t="shared" si="12"/>
        <v>--</v>
      </c>
      <c r="Z28" s="266" t="str">
        <f t="shared" si="13"/>
        <v>--</v>
      </c>
      <c r="AA28" s="267" t="str">
        <f t="shared" si="14"/>
        <v>--</v>
      </c>
      <c r="AB28" s="268" t="str">
        <f t="shared" si="15"/>
        <v>--</v>
      </c>
      <c r="AC28" s="269" t="str">
        <f t="shared" si="16"/>
        <v>--</v>
      </c>
      <c r="AD28" s="191">
        <f t="shared" si="17"/>
      </c>
      <c r="AE28" s="192">
        <f t="shared" si="18"/>
      </c>
      <c r="AF28" s="193"/>
    </row>
    <row r="29" spans="2:32" s="8" customFormat="1" ht="16.5" customHeight="1">
      <c r="B29" s="55"/>
      <c r="C29" s="150"/>
      <c r="D29" s="150"/>
      <c r="E29" s="150"/>
      <c r="F29" s="199"/>
      <c r="G29" s="200"/>
      <c r="H29" s="201"/>
      <c r="I29" s="200"/>
      <c r="J29" s="172">
        <f t="shared" si="0"/>
        <v>20</v>
      </c>
      <c r="K29" s="173" t="e">
        <f t="shared" si="1"/>
        <v>#VALUE!</v>
      </c>
      <c r="L29" s="202"/>
      <c r="M29" s="203"/>
      <c r="N29" s="176">
        <f t="shared" si="2"/>
      </c>
      <c r="O29" s="177">
        <f t="shared" si="3"/>
      </c>
      <c r="P29" s="178"/>
      <c r="Q29" s="179">
        <f t="shared" si="4"/>
      </c>
      <c r="R29" s="180">
        <f t="shared" si="5"/>
      </c>
      <c r="S29" s="180">
        <f t="shared" si="6"/>
      </c>
      <c r="T29" s="260" t="str">
        <f t="shared" si="7"/>
        <v>--</v>
      </c>
      <c r="U29" s="261" t="str">
        <f t="shared" si="8"/>
        <v>--</v>
      </c>
      <c r="V29" s="262" t="str">
        <f t="shared" si="9"/>
        <v>--</v>
      </c>
      <c r="W29" s="263" t="str">
        <f t="shared" si="10"/>
        <v>--</v>
      </c>
      <c r="X29" s="264" t="str">
        <f t="shared" si="11"/>
        <v>--</v>
      </c>
      <c r="Y29" s="265" t="str">
        <f t="shared" si="12"/>
        <v>--</v>
      </c>
      <c r="Z29" s="266" t="str">
        <f t="shared" si="13"/>
        <v>--</v>
      </c>
      <c r="AA29" s="267" t="str">
        <f t="shared" si="14"/>
        <v>--</v>
      </c>
      <c r="AB29" s="268" t="str">
        <f t="shared" si="15"/>
        <v>--</v>
      </c>
      <c r="AC29" s="269" t="str">
        <f t="shared" si="16"/>
        <v>--</v>
      </c>
      <c r="AD29" s="191">
        <f t="shared" si="17"/>
      </c>
      <c r="AE29" s="192">
        <f t="shared" si="18"/>
      </c>
      <c r="AF29" s="193"/>
    </row>
    <row r="30" spans="2:32" s="8" customFormat="1" ht="16.5" customHeight="1">
      <c r="B30" s="55"/>
      <c r="C30" s="169"/>
      <c r="D30" s="169"/>
      <c r="E30" s="169"/>
      <c r="F30" s="199"/>
      <c r="G30" s="200"/>
      <c r="H30" s="201"/>
      <c r="I30" s="200"/>
      <c r="J30" s="172">
        <f t="shared" si="0"/>
        <v>20</v>
      </c>
      <c r="K30" s="173" t="e">
        <f t="shared" si="1"/>
        <v>#VALUE!</v>
      </c>
      <c r="L30" s="202"/>
      <c r="M30" s="203"/>
      <c r="N30" s="176">
        <f t="shared" si="2"/>
      </c>
      <c r="O30" s="177">
        <f t="shared" si="3"/>
      </c>
      <c r="P30" s="178"/>
      <c r="Q30" s="179">
        <f t="shared" si="4"/>
      </c>
      <c r="R30" s="180">
        <f t="shared" si="5"/>
      </c>
      <c r="S30" s="180">
        <f t="shared" si="6"/>
      </c>
      <c r="T30" s="260" t="str">
        <f t="shared" si="7"/>
        <v>--</v>
      </c>
      <c r="U30" s="261" t="str">
        <f t="shared" si="8"/>
        <v>--</v>
      </c>
      <c r="V30" s="262" t="str">
        <f t="shared" si="9"/>
        <v>--</v>
      </c>
      <c r="W30" s="263" t="str">
        <f t="shared" si="10"/>
        <v>--</v>
      </c>
      <c r="X30" s="264" t="str">
        <f t="shared" si="11"/>
        <v>--</v>
      </c>
      <c r="Y30" s="265" t="str">
        <f t="shared" si="12"/>
        <v>--</v>
      </c>
      <c r="Z30" s="266" t="str">
        <f t="shared" si="13"/>
        <v>--</v>
      </c>
      <c r="AA30" s="267" t="str">
        <f t="shared" si="14"/>
        <v>--</v>
      </c>
      <c r="AB30" s="268" t="str">
        <f t="shared" si="15"/>
        <v>--</v>
      </c>
      <c r="AC30" s="269" t="str">
        <f t="shared" si="16"/>
        <v>--</v>
      </c>
      <c r="AD30" s="191">
        <f t="shared" si="17"/>
      </c>
      <c r="AE30" s="192">
        <f t="shared" si="18"/>
      </c>
      <c r="AF30" s="193"/>
    </row>
    <row r="31" spans="2:32" s="8" customFormat="1" ht="16.5" customHeight="1">
      <c r="B31" s="55"/>
      <c r="C31" s="150"/>
      <c r="D31" s="150"/>
      <c r="E31" s="150"/>
      <c r="F31" s="199"/>
      <c r="G31" s="200"/>
      <c r="H31" s="201"/>
      <c r="I31" s="200"/>
      <c r="J31" s="172">
        <f t="shared" si="0"/>
        <v>20</v>
      </c>
      <c r="K31" s="173" t="e">
        <f t="shared" si="1"/>
        <v>#VALUE!</v>
      </c>
      <c r="L31" s="202"/>
      <c r="M31" s="204"/>
      <c r="N31" s="176">
        <f t="shared" si="2"/>
      </c>
      <c r="O31" s="177">
        <f t="shared" si="3"/>
      </c>
      <c r="P31" s="178"/>
      <c r="Q31" s="179">
        <f t="shared" si="4"/>
      </c>
      <c r="R31" s="180">
        <f t="shared" si="5"/>
      </c>
      <c r="S31" s="180">
        <f t="shared" si="6"/>
      </c>
      <c r="T31" s="260" t="str">
        <f t="shared" si="7"/>
        <v>--</v>
      </c>
      <c r="U31" s="261" t="str">
        <f t="shared" si="8"/>
        <v>--</v>
      </c>
      <c r="V31" s="262" t="str">
        <f t="shared" si="9"/>
        <v>--</v>
      </c>
      <c r="W31" s="263" t="str">
        <f t="shared" si="10"/>
        <v>--</v>
      </c>
      <c r="X31" s="264" t="str">
        <f t="shared" si="11"/>
        <v>--</v>
      </c>
      <c r="Y31" s="265" t="str">
        <f t="shared" si="12"/>
        <v>--</v>
      </c>
      <c r="Z31" s="266" t="str">
        <f t="shared" si="13"/>
        <v>--</v>
      </c>
      <c r="AA31" s="267" t="str">
        <f t="shared" si="14"/>
        <v>--</v>
      </c>
      <c r="AB31" s="268" t="str">
        <f t="shared" si="15"/>
        <v>--</v>
      </c>
      <c r="AC31" s="269" t="str">
        <f t="shared" si="16"/>
        <v>--</v>
      </c>
      <c r="AD31" s="191">
        <f t="shared" si="17"/>
      </c>
      <c r="AE31" s="192">
        <f t="shared" si="18"/>
      </c>
      <c r="AF31" s="193"/>
    </row>
    <row r="32" spans="2:32" s="8" customFormat="1" ht="16.5" customHeight="1">
      <c r="B32" s="55"/>
      <c r="C32" s="169"/>
      <c r="D32" s="169"/>
      <c r="E32" s="169"/>
      <c r="F32" s="199"/>
      <c r="G32" s="200"/>
      <c r="H32" s="201"/>
      <c r="I32" s="200"/>
      <c r="J32" s="172">
        <f t="shared" si="0"/>
        <v>20</v>
      </c>
      <c r="K32" s="173" t="e">
        <f t="shared" si="1"/>
        <v>#VALUE!</v>
      </c>
      <c r="L32" s="202"/>
      <c r="M32" s="204"/>
      <c r="N32" s="176">
        <f t="shared" si="2"/>
      </c>
      <c r="O32" s="177">
        <f t="shared" si="3"/>
      </c>
      <c r="P32" s="178"/>
      <c r="Q32" s="179">
        <f t="shared" si="4"/>
      </c>
      <c r="R32" s="180">
        <f t="shared" si="5"/>
      </c>
      <c r="S32" s="180">
        <f t="shared" si="6"/>
      </c>
      <c r="T32" s="260" t="str">
        <f t="shared" si="7"/>
        <v>--</v>
      </c>
      <c r="U32" s="261" t="str">
        <f t="shared" si="8"/>
        <v>--</v>
      </c>
      <c r="V32" s="262" t="str">
        <f t="shared" si="9"/>
        <v>--</v>
      </c>
      <c r="W32" s="263" t="str">
        <f t="shared" si="10"/>
        <v>--</v>
      </c>
      <c r="X32" s="264" t="str">
        <f t="shared" si="11"/>
        <v>--</v>
      </c>
      <c r="Y32" s="265" t="str">
        <f t="shared" si="12"/>
        <v>--</v>
      </c>
      <c r="Z32" s="266" t="str">
        <f t="shared" si="13"/>
        <v>--</v>
      </c>
      <c r="AA32" s="267" t="str">
        <f t="shared" si="14"/>
        <v>--</v>
      </c>
      <c r="AB32" s="268" t="str">
        <f t="shared" si="15"/>
        <v>--</v>
      </c>
      <c r="AC32" s="269" t="str">
        <f t="shared" si="16"/>
        <v>--</v>
      </c>
      <c r="AD32" s="191">
        <f t="shared" si="17"/>
      </c>
      <c r="AE32" s="192">
        <f t="shared" si="18"/>
      </c>
      <c r="AF32" s="193"/>
    </row>
    <row r="33" spans="2:32" s="8" customFormat="1" ht="16.5" customHeight="1">
      <c r="B33" s="55"/>
      <c r="C33" s="150"/>
      <c r="D33" s="150"/>
      <c r="E33" s="150"/>
      <c r="F33" s="199"/>
      <c r="G33" s="200"/>
      <c r="H33" s="201"/>
      <c r="I33" s="200"/>
      <c r="J33" s="172">
        <f t="shared" si="0"/>
        <v>20</v>
      </c>
      <c r="K33" s="173" t="e">
        <f t="shared" si="1"/>
        <v>#VALUE!</v>
      </c>
      <c r="L33" s="202"/>
      <c r="M33" s="204"/>
      <c r="N33" s="176">
        <f t="shared" si="2"/>
      </c>
      <c r="O33" s="177">
        <f t="shared" si="3"/>
      </c>
      <c r="P33" s="178"/>
      <c r="Q33" s="179">
        <f t="shared" si="4"/>
      </c>
      <c r="R33" s="180">
        <f t="shared" si="5"/>
      </c>
      <c r="S33" s="180">
        <f t="shared" si="6"/>
      </c>
      <c r="T33" s="260" t="str">
        <f t="shared" si="7"/>
        <v>--</v>
      </c>
      <c r="U33" s="261" t="str">
        <f t="shared" si="8"/>
        <v>--</v>
      </c>
      <c r="V33" s="262" t="str">
        <f t="shared" si="9"/>
        <v>--</v>
      </c>
      <c r="W33" s="263" t="str">
        <f t="shared" si="10"/>
        <v>--</v>
      </c>
      <c r="X33" s="264" t="str">
        <f t="shared" si="11"/>
        <v>--</v>
      </c>
      <c r="Y33" s="265" t="str">
        <f t="shared" si="12"/>
        <v>--</v>
      </c>
      <c r="Z33" s="266" t="str">
        <f t="shared" si="13"/>
        <v>--</v>
      </c>
      <c r="AA33" s="267" t="str">
        <f t="shared" si="14"/>
        <v>--</v>
      </c>
      <c r="AB33" s="268" t="str">
        <f t="shared" si="15"/>
        <v>--</v>
      </c>
      <c r="AC33" s="269" t="str">
        <f t="shared" si="16"/>
        <v>--</v>
      </c>
      <c r="AD33" s="191">
        <f t="shared" si="17"/>
      </c>
      <c r="AE33" s="192">
        <f t="shared" si="18"/>
      </c>
      <c r="AF33" s="193"/>
    </row>
    <row r="34" spans="2:32" s="8" customFormat="1" ht="16.5" customHeight="1">
      <c r="B34" s="55"/>
      <c r="C34" s="169"/>
      <c r="D34" s="169"/>
      <c r="E34" s="169"/>
      <c r="F34" s="199"/>
      <c r="G34" s="200"/>
      <c r="H34" s="201"/>
      <c r="I34" s="200"/>
      <c r="J34" s="172">
        <f t="shared" si="0"/>
        <v>20</v>
      </c>
      <c r="K34" s="173" t="e">
        <f t="shared" si="1"/>
        <v>#VALUE!</v>
      </c>
      <c r="L34" s="202"/>
      <c r="M34" s="204"/>
      <c r="N34" s="176">
        <f t="shared" si="2"/>
      </c>
      <c r="O34" s="177">
        <f t="shared" si="3"/>
      </c>
      <c r="P34" s="178"/>
      <c r="Q34" s="179">
        <f t="shared" si="4"/>
      </c>
      <c r="R34" s="180">
        <f t="shared" si="5"/>
      </c>
      <c r="S34" s="180">
        <f t="shared" si="6"/>
      </c>
      <c r="T34" s="260" t="str">
        <f t="shared" si="7"/>
        <v>--</v>
      </c>
      <c r="U34" s="261" t="str">
        <f t="shared" si="8"/>
        <v>--</v>
      </c>
      <c r="V34" s="262" t="str">
        <f t="shared" si="9"/>
        <v>--</v>
      </c>
      <c r="W34" s="263" t="str">
        <f t="shared" si="10"/>
        <v>--</v>
      </c>
      <c r="X34" s="264" t="str">
        <f t="shared" si="11"/>
        <v>--</v>
      </c>
      <c r="Y34" s="265" t="str">
        <f t="shared" si="12"/>
        <v>--</v>
      </c>
      <c r="Z34" s="266" t="str">
        <f t="shared" si="13"/>
        <v>--</v>
      </c>
      <c r="AA34" s="267" t="str">
        <f t="shared" si="14"/>
        <v>--</v>
      </c>
      <c r="AB34" s="268" t="str">
        <f t="shared" si="15"/>
        <v>--</v>
      </c>
      <c r="AC34" s="269" t="str">
        <f t="shared" si="16"/>
        <v>--</v>
      </c>
      <c r="AD34" s="191">
        <f t="shared" si="17"/>
      </c>
      <c r="AE34" s="192">
        <f t="shared" si="18"/>
      </c>
      <c r="AF34" s="193"/>
    </row>
    <row r="35" spans="2:32" s="8" customFormat="1" ht="16.5" customHeight="1">
      <c r="B35" s="55"/>
      <c r="C35" s="150"/>
      <c r="D35" s="150"/>
      <c r="E35" s="150"/>
      <c r="F35" s="199"/>
      <c r="G35" s="200"/>
      <c r="H35" s="201"/>
      <c r="I35" s="200"/>
      <c r="J35" s="172">
        <f t="shared" si="0"/>
        <v>20</v>
      </c>
      <c r="K35" s="173" t="e">
        <f t="shared" si="1"/>
        <v>#VALUE!</v>
      </c>
      <c r="L35" s="202"/>
      <c r="M35" s="204"/>
      <c r="N35" s="176">
        <f t="shared" si="2"/>
      </c>
      <c r="O35" s="177">
        <f t="shared" si="3"/>
      </c>
      <c r="P35" s="178"/>
      <c r="Q35" s="179">
        <f t="shared" si="4"/>
      </c>
      <c r="R35" s="180">
        <f t="shared" si="5"/>
      </c>
      <c r="S35" s="180">
        <f t="shared" si="6"/>
      </c>
      <c r="T35" s="260" t="str">
        <f t="shared" si="7"/>
        <v>--</v>
      </c>
      <c r="U35" s="261" t="str">
        <f t="shared" si="8"/>
        <v>--</v>
      </c>
      <c r="V35" s="262" t="str">
        <f t="shared" si="9"/>
        <v>--</v>
      </c>
      <c r="W35" s="263" t="str">
        <f t="shared" si="10"/>
        <v>--</v>
      </c>
      <c r="X35" s="264" t="str">
        <f t="shared" si="11"/>
        <v>--</v>
      </c>
      <c r="Y35" s="265" t="str">
        <f t="shared" si="12"/>
        <v>--</v>
      </c>
      <c r="Z35" s="266" t="str">
        <f t="shared" si="13"/>
        <v>--</v>
      </c>
      <c r="AA35" s="267" t="str">
        <f t="shared" si="14"/>
        <v>--</v>
      </c>
      <c r="AB35" s="268" t="str">
        <f t="shared" si="15"/>
        <v>--</v>
      </c>
      <c r="AC35" s="269" t="str">
        <f t="shared" si="16"/>
        <v>--</v>
      </c>
      <c r="AD35" s="191">
        <f t="shared" si="17"/>
      </c>
      <c r="AE35" s="192">
        <f t="shared" si="18"/>
      </c>
      <c r="AF35" s="193"/>
    </row>
    <row r="36" spans="2:32" s="8" customFormat="1" ht="16.5" customHeight="1">
      <c r="B36" s="55"/>
      <c r="C36" s="169"/>
      <c r="D36" s="169"/>
      <c r="E36" s="169"/>
      <c r="F36" s="199"/>
      <c r="G36" s="200"/>
      <c r="H36" s="201"/>
      <c r="I36" s="200"/>
      <c r="J36" s="172">
        <f t="shared" si="0"/>
        <v>20</v>
      </c>
      <c r="K36" s="173" t="e">
        <f t="shared" si="1"/>
        <v>#VALUE!</v>
      </c>
      <c r="L36" s="202"/>
      <c r="M36" s="204"/>
      <c r="N36" s="176">
        <f t="shared" si="2"/>
      </c>
      <c r="O36" s="177">
        <f t="shared" si="3"/>
      </c>
      <c r="P36" s="178"/>
      <c r="Q36" s="179">
        <f t="shared" si="4"/>
      </c>
      <c r="R36" s="180">
        <f t="shared" si="5"/>
      </c>
      <c r="S36" s="180">
        <f t="shared" si="6"/>
      </c>
      <c r="T36" s="260" t="str">
        <f t="shared" si="7"/>
        <v>--</v>
      </c>
      <c r="U36" s="261" t="str">
        <f t="shared" si="8"/>
        <v>--</v>
      </c>
      <c r="V36" s="262" t="str">
        <f t="shared" si="9"/>
        <v>--</v>
      </c>
      <c r="W36" s="263" t="str">
        <f t="shared" si="10"/>
        <v>--</v>
      </c>
      <c r="X36" s="264" t="str">
        <f t="shared" si="11"/>
        <v>--</v>
      </c>
      <c r="Y36" s="265" t="str">
        <f t="shared" si="12"/>
        <v>--</v>
      </c>
      <c r="Z36" s="266" t="str">
        <f t="shared" si="13"/>
        <v>--</v>
      </c>
      <c r="AA36" s="267" t="str">
        <f t="shared" si="14"/>
        <v>--</v>
      </c>
      <c r="AB36" s="268" t="str">
        <f t="shared" si="15"/>
        <v>--</v>
      </c>
      <c r="AC36" s="269" t="str">
        <f t="shared" si="16"/>
        <v>--</v>
      </c>
      <c r="AD36" s="191">
        <f t="shared" si="17"/>
      </c>
      <c r="AE36" s="192">
        <f t="shared" si="18"/>
      </c>
      <c r="AF36" s="193"/>
    </row>
    <row r="37" spans="2:32" s="8" customFormat="1" ht="16.5" customHeight="1">
      <c r="B37" s="55"/>
      <c r="C37" s="150"/>
      <c r="D37" s="150"/>
      <c r="E37" s="150"/>
      <c r="F37" s="199"/>
      <c r="G37" s="200"/>
      <c r="H37" s="201"/>
      <c r="I37" s="200"/>
      <c r="J37" s="172">
        <f t="shared" si="0"/>
        <v>20</v>
      </c>
      <c r="K37" s="173" t="e">
        <f t="shared" si="1"/>
        <v>#VALUE!</v>
      </c>
      <c r="L37" s="202"/>
      <c r="M37" s="204"/>
      <c r="N37" s="176">
        <f t="shared" si="2"/>
      </c>
      <c r="O37" s="177">
        <f t="shared" si="3"/>
      </c>
      <c r="P37" s="178"/>
      <c r="Q37" s="179">
        <f t="shared" si="4"/>
      </c>
      <c r="R37" s="180">
        <f t="shared" si="5"/>
      </c>
      <c r="S37" s="180">
        <f t="shared" si="6"/>
      </c>
      <c r="T37" s="260" t="str">
        <f t="shared" si="7"/>
        <v>--</v>
      </c>
      <c r="U37" s="261" t="str">
        <f t="shared" si="8"/>
        <v>--</v>
      </c>
      <c r="V37" s="262" t="str">
        <f t="shared" si="9"/>
        <v>--</v>
      </c>
      <c r="W37" s="263" t="str">
        <f t="shared" si="10"/>
        <v>--</v>
      </c>
      <c r="X37" s="264" t="str">
        <f t="shared" si="11"/>
        <v>--</v>
      </c>
      <c r="Y37" s="265" t="str">
        <f t="shared" si="12"/>
        <v>--</v>
      </c>
      <c r="Z37" s="266" t="str">
        <f t="shared" si="13"/>
        <v>--</v>
      </c>
      <c r="AA37" s="267" t="str">
        <f t="shared" si="14"/>
        <v>--</v>
      </c>
      <c r="AB37" s="268" t="str">
        <f t="shared" si="15"/>
        <v>--</v>
      </c>
      <c r="AC37" s="269" t="str">
        <f t="shared" si="16"/>
        <v>--</v>
      </c>
      <c r="AD37" s="191">
        <f t="shared" si="17"/>
      </c>
      <c r="AE37" s="192">
        <f t="shared" si="18"/>
      </c>
      <c r="AF37" s="193"/>
    </row>
    <row r="38" spans="2:32" s="8" customFormat="1" ht="16.5" customHeight="1">
      <c r="B38" s="55"/>
      <c r="C38" s="169"/>
      <c r="D38" s="169"/>
      <c r="E38" s="169"/>
      <c r="F38" s="199"/>
      <c r="G38" s="200"/>
      <c r="H38" s="201"/>
      <c r="I38" s="200"/>
      <c r="J38" s="172">
        <f t="shared" si="0"/>
        <v>20</v>
      </c>
      <c r="K38" s="173" t="e">
        <f t="shared" si="1"/>
        <v>#VALUE!</v>
      </c>
      <c r="L38" s="202"/>
      <c r="M38" s="204"/>
      <c r="N38" s="176">
        <f t="shared" si="2"/>
      </c>
      <c r="O38" s="177">
        <f t="shared" si="3"/>
      </c>
      <c r="P38" s="178"/>
      <c r="Q38" s="179">
        <f t="shared" si="4"/>
      </c>
      <c r="R38" s="180">
        <f t="shared" si="5"/>
      </c>
      <c r="S38" s="180">
        <f t="shared" si="6"/>
      </c>
      <c r="T38" s="260" t="str">
        <f t="shared" si="7"/>
        <v>--</v>
      </c>
      <c r="U38" s="261" t="str">
        <f t="shared" si="8"/>
        <v>--</v>
      </c>
      <c r="V38" s="262" t="str">
        <f t="shared" si="9"/>
        <v>--</v>
      </c>
      <c r="W38" s="263" t="str">
        <f t="shared" si="10"/>
        <v>--</v>
      </c>
      <c r="X38" s="264" t="str">
        <f t="shared" si="11"/>
        <v>--</v>
      </c>
      <c r="Y38" s="265" t="str">
        <f t="shared" si="12"/>
        <v>--</v>
      </c>
      <c r="Z38" s="266" t="str">
        <f t="shared" si="13"/>
        <v>--</v>
      </c>
      <c r="AA38" s="267" t="str">
        <f t="shared" si="14"/>
        <v>--</v>
      </c>
      <c r="AB38" s="268" t="str">
        <f t="shared" si="15"/>
        <v>--</v>
      </c>
      <c r="AC38" s="269" t="str">
        <f t="shared" si="16"/>
        <v>--</v>
      </c>
      <c r="AD38" s="191">
        <f t="shared" si="17"/>
      </c>
      <c r="AE38" s="192">
        <f t="shared" si="18"/>
      </c>
      <c r="AF38" s="193"/>
    </row>
    <row r="39" spans="2:32" s="8" customFormat="1" ht="16.5" customHeight="1">
      <c r="B39" s="55"/>
      <c r="C39" s="150"/>
      <c r="D39" s="150"/>
      <c r="E39" s="150"/>
      <c r="F39" s="199"/>
      <c r="G39" s="200"/>
      <c r="H39" s="201"/>
      <c r="I39" s="200"/>
      <c r="J39" s="172">
        <f t="shared" si="0"/>
        <v>20</v>
      </c>
      <c r="K39" s="173" t="e">
        <f t="shared" si="1"/>
        <v>#VALUE!</v>
      </c>
      <c r="L39" s="202"/>
      <c r="M39" s="204"/>
      <c r="N39" s="176">
        <f t="shared" si="2"/>
      </c>
      <c r="O39" s="177">
        <f t="shared" si="3"/>
      </c>
      <c r="P39" s="178"/>
      <c r="Q39" s="179">
        <f t="shared" si="4"/>
      </c>
      <c r="R39" s="180">
        <f t="shared" si="5"/>
      </c>
      <c r="S39" s="180">
        <f t="shared" si="6"/>
      </c>
      <c r="T39" s="260" t="str">
        <f t="shared" si="7"/>
        <v>--</v>
      </c>
      <c r="U39" s="261" t="str">
        <f t="shared" si="8"/>
        <v>--</v>
      </c>
      <c r="V39" s="262" t="str">
        <f t="shared" si="9"/>
        <v>--</v>
      </c>
      <c r="W39" s="263" t="str">
        <f t="shared" si="10"/>
        <v>--</v>
      </c>
      <c r="X39" s="264" t="str">
        <f t="shared" si="11"/>
        <v>--</v>
      </c>
      <c r="Y39" s="265" t="str">
        <f t="shared" si="12"/>
        <v>--</v>
      </c>
      <c r="Z39" s="266" t="str">
        <f t="shared" si="13"/>
        <v>--</v>
      </c>
      <c r="AA39" s="267" t="str">
        <f t="shared" si="14"/>
        <v>--</v>
      </c>
      <c r="AB39" s="268" t="str">
        <f t="shared" si="15"/>
        <v>--</v>
      </c>
      <c r="AC39" s="269" t="str">
        <f t="shared" si="16"/>
        <v>--</v>
      </c>
      <c r="AD39" s="191">
        <f t="shared" si="17"/>
      </c>
      <c r="AE39" s="192">
        <f t="shared" si="18"/>
      </c>
      <c r="AF39" s="193"/>
    </row>
    <row r="40" spans="2:32" s="8" customFormat="1" ht="16.5" customHeight="1" thickBot="1">
      <c r="B40" s="55"/>
      <c r="C40" s="169"/>
      <c r="D40" s="205"/>
      <c r="E40" s="169"/>
      <c r="F40" s="207"/>
      <c r="G40" s="208"/>
      <c r="H40" s="209"/>
      <c r="I40" s="210"/>
      <c r="J40" s="211"/>
      <c r="K40" s="212"/>
      <c r="L40" s="213"/>
      <c r="M40" s="213"/>
      <c r="N40" s="214"/>
      <c r="O40" s="214"/>
      <c r="P40" s="215"/>
      <c r="Q40" s="216"/>
      <c r="R40" s="215"/>
      <c r="S40" s="215"/>
      <c r="T40" s="217"/>
      <c r="U40" s="218"/>
      <c r="V40" s="219"/>
      <c r="W40" s="220"/>
      <c r="X40" s="221"/>
      <c r="Y40" s="222"/>
      <c r="Z40" s="223"/>
      <c r="AA40" s="224"/>
      <c r="AB40" s="225"/>
      <c r="AC40" s="226"/>
      <c r="AD40" s="227"/>
      <c r="AE40" s="228"/>
      <c r="AF40" s="193"/>
    </row>
    <row r="41" spans="2:32" s="8" customFormat="1" ht="16.5" customHeight="1" thickBot="1" thickTop="1">
      <c r="B41" s="55"/>
      <c r="C41" s="625" t="s">
        <v>327</v>
      </c>
      <c r="D41" s="626" t="s">
        <v>341</v>
      </c>
      <c r="E41" s="229"/>
      <c r="F41" s="231"/>
      <c r="G41" s="232"/>
      <c r="H41" s="233"/>
      <c r="I41" s="234"/>
      <c r="J41" s="233"/>
      <c r="K41" s="235"/>
      <c r="L41" s="235"/>
      <c r="M41" s="235"/>
      <c r="N41" s="235"/>
      <c r="O41" s="235"/>
      <c r="P41" s="235"/>
      <c r="Q41" s="236"/>
      <c r="R41" s="235"/>
      <c r="S41" s="235"/>
      <c r="T41" s="237">
        <f aca="true" t="shared" si="19" ref="T41:AC41">SUM(T18:T40)</f>
        <v>4718.819008799999</v>
      </c>
      <c r="U41" s="238">
        <f t="shared" si="19"/>
        <v>0</v>
      </c>
      <c r="V41" s="239">
        <f t="shared" si="19"/>
        <v>0</v>
      </c>
      <c r="W41" s="239">
        <f t="shared" si="19"/>
        <v>0</v>
      </c>
      <c r="X41" s="239">
        <f t="shared" si="19"/>
        <v>0</v>
      </c>
      <c r="Y41" s="240">
        <f t="shared" si="19"/>
        <v>0</v>
      </c>
      <c r="Z41" s="240">
        <f t="shared" si="19"/>
        <v>0</v>
      </c>
      <c r="AA41" s="240">
        <f t="shared" si="19"/>
        <v>0</v>
      </c>
      <c r="AB41" s="241">
        <f t="shared" si="19"/>
        <v>0</v>
      </c>
      <c r="AC41" s="242">
        <f t="shared" si="19"/>
        <v>0</v>
      </c>
      <c r="AD41" s="243"/>
      <c r="AE41" s="244">
        <f>ROUND(SUM(AE18:AE40),2)</f>
        <v>4718.82</v>
      </c>
      <c r="AF41" s="193"/>
    </row>
    <row r="42" spans="2:32" s="8" customFormat="1" ht="16.5" customHeight="1" thickBot="1" thickTop="1">
      <c r="B42" s="245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7"/>
    </row>
    <row r="43" spans="2:32" ht="16.5" customHeight="1" thickTop="1">
      <c r="B43" s="248"/>
      <c r="C43" s="248"/>
      <c r="D43" s="248"/>
      <c r="AF43" s="248"/>
    </row>
  </sheetData>
  <sheetProtection password="CC12"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Roman,Normal"&amp;8&amp;F-&amp;A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0">
    <pageSetUpPr fitToPage="1"/>
  </sheetPr>
  <dimension ref="A1:AF42"/>
  <sheetViews>
    <sheetView zoomScale="70" zoomScaleNormal="70" zoomScalePageLayoutView="0" workbookViewId="0" topLeftCell="A1">
      <selection activeCell="N51" sqref="N51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7109375" style="9" customWidth="1"/>
    <col min="6" max="6" width="45.7109375" style="9" customWidth="1"/>
    <col min="7" max="8" width="9.7109375" style="9" customWidth="1"/>
    <col min="9" max="9" width="3.8515625" style="9" customWidth="1"/>
    <col min="10" max="10" width="3.421875" style="9" hidden="1" customWidth="1"/>
    <col min="11" max="11" width="7.140625" style="9" hidden="1" customWidth="1"/>
    <col min="12" max="13" width="15.7109375" style="9" customWidth="1"/>
    <col min="14" max="16" width="9.7109375" style="9" customWidth="1"/>
    <col min="17" max="17" width="8.7109375" style="9" customWidth="1"/>
    <col min="18" max="18" width="5.421875" style="9" customWidth="1"/>
    <col min="19" max="19" width="6.00390625" style="9" customWidth="1"/>
    <col min="20" max="21" width="12.28125" style="9" hidden="1" customWidth="1"/>
    <col min="22" max="27" width="5.7109375" style="9" hidden="1" customWidth="1"/>
    <col min="28" max="28" width="12.28125" style="9" hidden="1" customWidth="1"/>
    <col min="29" max="29" width="13.421875" style="9" hidden="1" customWidth="1"/>
    <col min="30" max="30" width="9.7109375" style="9" customWidth="1"/>
    <col min="31" max="31" width="15.7109375" style="9" customWidth="1"/>
    <col min="32" max="32" width="4.140625" style="9" customWidth="1"/>
    <col min="33" max="33" width="30.421875" style="9" customWidth="1"/>
    <col min="34" max="34" width="3.140625" style="9" customWidth="1"/>
    <col min="35" max="35" width="3.57421875" style="9" customWidth="1"/>
    <col min="36" max="36" width="24.28125" style="9" customWidth="1"/>
    <col min="37" max="37" width="4.7109375" style="9" customWidth="1"/>
    <col min="38" max="38" width="7.57421875" style="9" customWidth="1"/>
    <col min="39" max="40" width="4.140625" style="9" customWidth="1"/>
    <col min="41" max="41" width="7.140625" style="9" customWidth="1"/>
    <col min="42" max="42" width="5.28125" style="9" customWidth="1"/>
    <col min="43" max="43" width="5.421875" style="9" customWidth="1"/>
    <col min="44" max="44" width="4.7109375" style="9" customWidth="1"/>
    <col min="45" max="45" width="5.28125" style="9" customWidth="1"/>
    <col min="46" max="47" width="13.28125" style="9" customWidth="1"/>
    <col min="48" max="48" width="6.57421875" style="9" customWidth="1"/>
    <col min="49" max="49" width="6.421875" style="9" customWidth="1"/>
    <col min="50" max="53" width="11.421875" style="9" customWidth="1"/>
    <col min="54" max="54" width="12.7109375" style="9" customWidth="1"/>
    <col min="55" max="57" width="11.421875" style="9" customWidth="1"/>
    <col min="58" max="58" width="21.00390625" style="9" customWidth="1"/>
    <col min="59" max="16384" width="11.421875" style="9" customWidth="1"/>
  </cols>
  <sheetData>
    <row r="1" spans="1:32" s="3" customFormat="1" ht="26.25">
      <c r="A1" s="641"/>
      <c r="E1" s="9"/>
      <c r="G1" s="9"/>
      <c r="I1" s="9"/>
      <c r="K1" s="9"/>
      <c r="M1" s="9"/>
      <c r="O1" s="9"/>
      <c r="Q1" s="9"/>
      <c r="S1" s="9"/>
      <c r="U1" s="9"/>
      <c r="W1" s="9"/>
      <c r="Y1" s="9"/>
      <c r="AA1" s="9"/>
      <c r="AF1" s="5"/>
    </row>
    <row r="2" spans="1:32" s="3" customFormat="1" ht="26.25">
      <c r="A2" s="88"/>
      <c r="B2" s="2" t="str">
        <f>'TOT-0912'!B2</f>
        <v>ANEXO IV al Memorándum  D.T.E.E.  N° 295 / 2014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8" customFormat="1" ht="23.25" customHeight="1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32" s="8" customFormat="1" ht="13.5" thickTop="1">
      <c r="B7" s="91"/>
      <c r="C7" s="92"/>
      <c r="D7" s="92"/>
      <c r="E7" s="92"/>
      <c r="F7" s="92"/>
      <c r="G7" s="93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4"/>
    </row>
    <row r="8" spans="2:32" s="18" customFormat="1" ht="20.25">
      <c r="B8" s="95"/>
      <c r="C8" s="23"/>
      <c r="D8" s="23"/>
      <c r="E8" s="23"/>
      <c r="F8" s="96" t="s">
        <v>23</v>
      </c>
      <c r="G8" s="23"/>
      <c r="H8" s="23"/>
      <c r="I8" s="23"/>
      <c r="J8" s="23"/>
      <c r="P8" s="23"/>
      <c r="Q8" s="23"/>
      <c r="R8" s="97"/>
      <c r="S8" s="97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98"/>
    </row>
    <row r="9" spans="2:32" s="8" customFormat="1" ht="16.5" customHeight="1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99"/>
    </row>
    <row r="10" spans="2:32" s="249" customFormat="1" ht="33" customHeight="1">
      <c r="B10" s="250"/>
      <c r="C10" s="251"/>
      <c r="D10" s="251"/>
      <c r="E10" s="251"/>
      <c r="F10" s="252" t="s">
        <v>24</v>
      </c>
      <c r="G10" s="251"/>
      <c r="H10" s="251"/>
      <c r="I10" s="251"/>
      <c r="K10" s="251"/>
      <c r="L10" s="251"/>
      <c r="M10" s="251"/>
      <c r="N10" s="251"/>
      <c r="O10" s="251"/>
      <c r="P10" s="251"/>
      <c r="Q10" s="251"/>
      <c r="R10" s="252"/>
      <c r="S10" s="252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3"/>
    </row>
    <row r="11" spans="2:32" s="254" customFormat="1" ht="33" customHeight="1">
      <c r="B11" s="255"/>
      <c r="C11" s="256"/>
      <c r="D11" s="256"/>
      <c r="E11" s="256"/>
      <c r="F11" s="272" t="s">
        <v>352</v>
      </c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8"/>
    </row>
    <row r="12" spans="2:32" s="34" customFormat="1" ht="19.5">
      <c r="B12" s="35" t="str">
        <f>'TOT-0912'!B14</f>
        <v>Desde el 01 al 30 de septiembre de 2012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101"/>
      <c r="Q12" s="101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102"/>
    </row>
    <row r="13" spans="2:32" s="8" customFormat="1" ht="16.5" customHeight="1" thickBot="1">
      <c r="B13" s="55"/>
      <c r="C13" s="11"/>
      <c r="D13" s="11"/>
      <c r="E13" s="11"/>
      <c r="F13" s="11"/>
      <c r="G13" s="85"/>
      <c r="H13" s="85"/>
      <c r="I13" s="11"/>
      <c r="J13" s="11"/>
      <c r="K13" s="11"/>
      <c r="L13" s="103"/>
      <c r="M13" s="11"/>
      <c r="N13" s="11"/>
      <c r="O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99"/>
    </row>
    <row r="14" spans="2:32" s="8" customFormat="1" ht="16.5" customHeight="1" thickBot="1" thickTop="1">
      <c r="B14" s="55"/>
      <c r="C14" s="11"/>
      <c r="D14" s="11"/>
      <c r="E14" s="11"/>
      <c r="F14" s="104" t="s">
        <v>26</v>
      </c>
      <c r="G14" s="105">
        <f>0.6*253.422</f>
        <v>152.0532</v>
      </c>
      <c r="H14" s="106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99"/>
    </row>
    <row r="15" spans="2:32" s="8" customFormat="1" ht="16.5" customHeight="1" thickBot="1" thickTop="1">
      <c r="B15" s="55"/>
      <c r="C15" s="11"/>
      <c r="D15" s="11"/>
      <c r="E15" s="11"/>
      <c r="F15" s="104" t="s">
        <v>27</v>
      </c>
      <c r="G15" s="105" t="s">
        <v>336</v>
      </c>
      <c r="H15" s="106"/>
      <c r="I15" s="11"/>
      <c r="J15" s="11"/>
      <c r="K15" s="11"/>
      <c r="L15" s="107"/>
      <c r="M15" s="108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09"/>
      <c r="Y15" s="109"/>
      <c r="Z15" s="109"/>
      <c r="AA15" s="109"/>
      <c r="AB15" s="109"/>
      <c r="AC15" s="109"/>
      <c r="AD15" s="109"/>
      <c r="AF15" s="99"/>
    </row>
    <row r="16" spans="2:32" s="8" customFormat="1" ht="16.5" customHeight="1" thickBot="1" thickTop="1">
      <c r="B16" s="55"/>
      <c r="C16" s="110">
        <v>3</v>
      </c>
      <c r="D16" s="110">
        <v>4</v>
      </c>
      <c r="E16" s="110">
        <v>5</v>
      </c>
      <c r="F16" s="110">
        <v>6</v>
      </c>
      <c r="G16" s="110">
        <v>7</v>
      </c>
      <c r="H16" s="110">
        <v>8</v>
      </c>
      <c r="I16" s="110">
        <v>9</v>
      </c>
      <c r="J16" s="110">
        <v>10</v>
      </c>
      <c r="K16" s="110">
        <v>11</v>
      </c>
      <c r="L16" s="110">
        <v>12</v>
      </c>
      <c r="M16" s="110">
        <v>13</v>
      </c>
      <c r="N16" s="110">
        <v>14</v>
      </c>
      <c r="O16" s="110">
        <v>15</v>
      </c>
      <c r="P16" s="110">
        <v>16</v>
      </c>
      <c r="Q16" s="110">
        <v>17</v>
      </c>
      <c r="R16" s="110">
        <v>18</v>
      </c>
      <c r="S16" s="110">
        <v>19</v>
      </c>
      <c r="T16" s="110">
        <v>20</v>
      </c>
      <c r="U16" s="110">
        <v>21</v>
      </c>
      <c r="V16" s="110">
        <v>22</v>
      </c>
      <c r="W16" s="110">
        <v>23</v>
      </c>
      <c r="X16" s="110">
        <v>24</v>
      </c>
      <c r="Y16" s="110">
        <v>25</v>
      </c>
      <c r="Z16" s="110">
        <v>26</v>
      </c>
      <c r="AA16" s="110">
        <v>27</v>
      </c>
      <c r="AB16" s="110">
        <v>28</v>
      </c>
      <c r="AC16" s="110">
        <v>29</v>
      </c>
      <c r="AD16" s="110">
        <v>30</v>
      </c>
      <c r="AE16" s="110">
        <v>31</v>
      </c>
      <c r="AF16" s="99"/>
    </row>
    <row r="17" spans="2:32" s="8" customFormat="1" ht="33.75" customHeight="1" thickBot="1" thickTop="1">
      <c r="B17" s="55"/>
      <c r="C17" s="111" t="s">
        <v>28</v>
      </c>
      <c r="D17" s="111" t="s">
        <v>29</v>
      </c>
      <c r="E17" s="111" t="s">
        <v>30</v>
      </c>
      <c r="F17" s="112" t="s">
        <v>5</v>
      </c>
      <c r="G17" s="113" t="s">
        <v>31</v>
      </c>
      <c r="H17" s="114" t="s">
        <v>32</v>
      </c>
      <c r="I17" s="115" t="s">
        <v>33</v>
      </c>
      <c r="J17" s="116" t="s">
        <v>34</v>
      </c>
      <c r="K17" s="117" t="s">
        <v>35</v>
      </c>
      <c r="L17" s="112" t="s">
        <v>36</v>
      </c>
      <c r="M17" s="118" t="s">
        <v>37</v>
      </c>
      <c r="N17" s="119" t="s">
        <v>38</v>
      </c>
      <c r="O17" s="114" t="s">
        <v>39</v>
      </c>
      <c r="P17" s="119" t="s">
        <v>254</v>
      </c>
      <c r="Q17" s="114" t="s">
        <v>40</v>
      </c>
      <c r="R17" s="118" t="s">
        <v>41</v>
      </c>
      <c r="S17" s="112" t="s">
        <v>42</v>
      </c>
      <c r="T17" s="120" t="s">
        <v>43</v>
      </c>
      <c r="U17" s="121" t="s">
        <v>44</v>
      </c>
      <c r="V17" s="122" t="s">
        <v>45</v>
      </c>
      <c r="W17" s="123"/>
      <c r="X17" s="124"/>
      <c r="Y17" s="125" t="s">
        <v>46</v>
      </c>
      <c r="Z17" s="126"/>
      <c r="AA17" s="127"/>
      <c r="AB17" s="128" t="s">
        <v>47</v>
      </c>
      <c r="AC17" s="129" t="s">
        <v>48</v>
      </c>
      <c r="AD17" s="130" t="s">
        <v>49</v>
      </c>
      <c r="AE17" s="130" t="s">
        <v>50</v>
      </c>
      <c r="AF17" s="131"/>
    </row>
    <row r="18" spans="2:32" s="8" customFormat="1" ht="16.5" customHeight="1" thickTop="1">
      <c r="B18" s="55"/>
      <c r="C18" s="132"/>
      <c r="D18" s="132"/>
      <c r="E18" s="132"/>
      <c r="F18" s="133"/>
      <c r="G18" s="133"/>
      <c r="H18" s="134"/>
      <c r="I18" s="135"/>
      <c r="J18" s="136"/>
      <c r="K18" s="137"/>
      <c r="L18" s="138"/>
      <c r="M18" s="138"/>
      <c r="N18" s="135"/>
      <c r="O18" s="135"/>
      <c r="P18" s="135"/>
      <c r="Q18" s="135"/>
      <c r="R18" s="135"/>
      <c r="S18" s="135"/>
      <c r="T18" s="139"/>
      <c r="U18" s="140"/>
      <c r="V18" s="141"/>
      <c r="W18" s="142"/>
      <c r="X18" s="143"/>
      <c r="Y18" s="144"/>
      <c r="Z18" s="145"/>
      <c r="AA18" s="146"/>
      <c r="AB18" s="147"/>
      <c r="AC18" s="148"/>
      <c r="AD18" s="135"/>
      <c r="AE18" s="149"/>
      <c r="AF18" s="99"/>
    </row>
    <row r="19" spans="2:32" s="8" customFormat="1" ht="16.5" customHeight="1">
      <c r="B19" s="55"/>
      <c r="C19" s="259"/>
      <c r="D19" s="259"/>
      <c r="E19" s="259"/>
      <c r="F19" s="194"/>
      <c r="G19" s="195"/>
      <c r="H19" s="196"/>
      <c r="I19" s="195"/>
      <c r="J19" s="172">
        <f aca="true" t="shared" si="0" ref="J19:J38">IF(I19="A",200,IF(I19="B",60,20))</f>
        <v>20</v>
      </c>
      <c r="K19" s="173" t="e">
        <f aca="true" t="shared" si="1" ref="K19:K38">IF(G19=500,IF(H19&lt;100,100*$G$14/100,H19*$G$14/100),IF(H19&lt;100,100*$G$15/100,H19*$G$15/100))</f>
        <v>#VALUE!</v>
      </c>
      <c r="L19" s="174"/>
      <c r="M19" s="175"/>
      <c r="N19" s="176">
        <f aca="true" t="shared" si="2" ref="N19:N38">IF(F19="","",(M19-L19)*24)</f>
      </c>
      <c r="O19" s="177">
        <f aca="true" t="shared" si="3" ref="O19:O38">IF(F19="","",ROUND((M19-L19)*24*60,0))</f>
      </c>
      <c r="P19" s="178"/>
      <c r="Q19" s="179">
        <f aca="true" t="shared" si="4" ref="Q19:Q38">IF(F19="","","--")</f>
      </c>
      <c r="R19" s="180">
        <f aca="true" t="shared" si="5" ref="R19:R38">IF(F19="","","NO")</f>
      </c>
      <c r="S19" s="180">
        <f aca="true" t="shared" si="6" ref="S19:S38">IF(F19="","",IF(OR(P19="P",P19="RP"),"--","NO"))</f>
      </c>
      <c r="T19" s="260" t="str">
        <f aca="true" t="shared" si="7" ref="T19:T38">IF(P19="P",K19*J19*ROUND(O19/60,2)*0.01,"--")</f>
        <v>--</v>
      </c>
      <c r="U19" s="261" t="str">
        <f aca="true" t="shared" si="8" ref="U19:U38">IF(P19="RP",K19*J19*ROUND(O19/60,2)*0.01*Q19/100,"--")</f>
        <v>--</v>
      </c>
      <c r="V19" s="262" t="str">
        <f aca="true" t="shared" si="9" ref="V19:V38">IF(AND(P19="F",S19="NO"),K19*J19*IF(R19="SI",1.2,1),"--")</f>
        <v>--</v>
      </c>
      <c r="W19" s="263" t="str">
        <f aca="true" t="shared" si="10" ref="W19:W38">IF(AND(P19="F",O19&gt;=10),K19*J19*IF(R19="SI",1.2,1)*IF(O19&lt;=300,ROUND(O19/60,2),5),"--")</f>
        <v>--</v>
      </c>
      <c r="X19" s="264" t="str">
        <f aca="true" t="shared" si="11" ref="X19:X38">IF(AND(P19="F",O19&gt;300),(ROUND(O19/60,2)-5)*K19*J19*0.1*IF(R19="SI",1.2,1),"--")</f>
        <v>--</v>
      </c>
      <c r="Y19" s="265" t="str">
        <f aca="true" t="shared" si="12" ref="Y19:Y38">IF(AND(P19="R",S19="NO"),K19*J19*Q19/100*IF(R19="SI",1.2,1),"--")</f>
        <v>--</v>
      </c>
      <c r="Z19" s="266" t="str">
        <f aca="true" t="shared" si="13" ref="Z19:Z38">IF(AND(P19="R",O19&gt;=10),K19*J19*Q19/100*IF(R19="SI",1.2,1)*IF(O19&lt;=300,ROUND(O19/60,2),5),"--")</f>
        <v>--</v>
      </c>
      <c r="AA19" s="267" t="str">
        <f aca="true" t="shared" si="14" ref="AA19:AA38">IF(AND(P19="R",O19&gt;300),(ROUND(O19/60,2)-5)*K19*J19*0.1*Q19/100*IF(R19="SI",1.2,1),"--")</f>
        <v>--</v>
      </c>
      <c r="AB19" s="268" t="str">
        <f aca="true" t="shared" si="15" ref="AB19:AB38">IF(P19="RF",ROUND(O19/60,2)*K19*J19*0.1*IF(R19="SI",1.2,1),"--")</f>
        <v>--</v>
      </c>
      <c r="AC19" s="269" t="str">
        <f aca="true" t="shared" si="16" ref="AC19:AC38">IF(P19="RR",ROUND(O19/60,2)*K19*J19*0.1*Q19/100*IF(R19="SI",1.2,1),"--")</f>
        <v>--</v>
      </c>
      <c r="AD19" s="270">
        <f aca="true" t="shared" si="17" ref="AD19:AD38">IF(F19="","","SI")</f>
      </c>
      <c r="AE19" s="192">
        <f aca="true" t="shared" si="18" ref="AE19:AE38">IF(F19="","",SUM(T19:AC19)*IF(AD19="SI",1,2))</f>
      </c>
      <c r="AF19" s="99"/>
    </row>
    <row r="20" spans="2:32" s="8" customFormat="1" ht="16.5" customHeight="1">
      <c r="B20" s="55"/>
      <c r="C20" s="150">
        <v>17</v>
      </c>
      <c r="D20" s="150">
        <v>251628</v>
      </c>
      <c r="E20" s="150">
        <v>4864</v>
      </c>
      <c r="F20" s="194" t="s">
        <v>353</v>
      </c>
      <c r="G20" s="195">
        <v>500</v>
      </c>
      <c r="H20" s="196">
        <v>202.17</v>
      </c>
      <c r="I20" s="195" t="s">
        <v>258</v>
      </c>
      <c r="J20" s="172">
        <f t="shared" si="0"/>
        <v>20</v>
      </c>
      <c r="K20" s="173">
        <f t="shared" si="1"/>
        <v>307.40595443999996</v>
      </c>
      <c r="L20" s="174">
        <v>41167.34375</v>
      </c>
      <c r="M20" s="175">
        <v>41167.729166666664</v>
      </c>
      <c r="N20" s="176">
        <f t="shared" si="2"/>
        <v>9.249999999941792</v>
      </c>
      <c r="O20" s="177">
        <f t="shared" si="3"/>
        <v>555</v>
      </c>
      <c r="P20" s="178" t="s">
        <v>259</v>
      </c>
      <c r="Q20" s="179" t="str">
        <f t="shared" si="4"/>
        <v>--</v>
      </c>
      <c r="R20" s="180" t="str">
        <f t="shared" si="5"/>
        <v>NO</v>
      </c>
      <c r="S20" s="180" t="str">
        <f t="shared" si="6"/>
        <v>--</v>
      </c>
      <c r="T20" s="260">
        <f t="shared" si="7"/>
        <v>568.7010157139999</v>
      </c>
      <c r="U20" s="261" t="str">
        <f t="shared" si="8"/>
        <v>--</v>
      </c>
      <c r="V20" s="262" t="str">
        <f t="shared" si="9"/>
        <v>--</v>
      </c>
      <c r="W20" s="263" t="str">
        <f t="shared" si="10"/>
        <v>--</v>
      </c>
      <c r="X20" s="264" t="str">
        <f t="shared" si="11"/>
        <v>--</v>
      </c>
      <c r="Y20" s="265" t="str">
        <f t="shared" si="12"/>
        <v>--</v>
      </c>
      <c r="Z20" s="266" t="str">
        <f t="shared" si="13"/>
        <v>--</v>
      </c>
      <c r="AA20" s="267" t="str">
        <f t="shared" si="14"/>
        <v>--</v>
      </c>
      <c r="AB20" s="268" t="str">
        <f t="shared" si="15"/>
        <v>--</v>
      </c>
      <c r="AC20" s="269" t="str">
        <f t="shared" si="16"/>
        <v>--</v>
      </c>
      <c r="AD20" s="270" t="str">
        <f t="shared" si="17"/>
        <v>SI</v>
      </c>
      <c r="AE20" s="192">
        <f t="shared" si="18"/>
        <v>568.7010157139999</v>
      </c>
      <c r="AF20" s="193"/>
    </row>
    <row r="21" spans="2:32" s="8" customFormat="1" ht="16.5" customHeight="1">
      <c r="B21" s="55"/>
      <c r="C21" s="169"/>
      <c r="D21" s="169"/>
      <c r="E21" s="169"/>
      <c r="F21" s="194"/>
      <c r="G21" s="195"/>
      <c r="H21" s="196"/>
      <c r="I21" s="195"/>
      <c r="J21" s="172"/>
      <c r="K21" s="173"/>
      <c r="L21" s="197"/>
      <c r="M21" s="198"/>
      <c r="N21" s="176"/>
      <c r="O21" s="177"/>
      <c r="P21" s="178"/>
      <c r="Q21" s="179"/>
      <c r="R21" s="180"/>
      <c r="S21" s="180"/>
      <c r="T21" s="260"/>
      <c r="U21" s="261"/>
      <c r="V21" s="262"/>
      <c r="W21" s="263"/>
      <c r="X21" s="264"/>
      <c r="Y21" s="265"/>
      <c r="Z21" s="266"/>
      <c r="AA21" s="267"/>
      <c r="AB21" s="268"/>
      <c r="AC21" s="269"/>
      <c r="AD21" s="270"/>
      <c r="AE21" s="192"/>
      <c r="AF21" s="193"/>
    </row>
    <row r="22" spans="2:32" s="8" customFormat="1" ht="16.5" customHeight="1">
      <c r="B22" s="55"/>
      <c r="C22" s="150"/>
      <c r="D22" s="150"/>
      <c r="E22" s="150"/>
      <c r="F22" s="194"/>
      <c r="G22" s="195"/>
      <c r="H22" s="196"/>
      <c r="I22" s="195"/>
      <c r="J22" s="172"/>
      <c r="K22" s="173"/>
      <c r="L22" s="197"/>
      <c r="M22" s="198"/>
      <c r="N22" s="176"/>
      <c r="O22" s="177"/>
      <c r="P22" s="178"/>
      <c r="Q22" s="179"/>
      <c r="R22" s="180"/>
      <c r="S22" s="180"/>
      <c r="T22" s="260"/>
      <c r="U22" s="261"/>
      <c r="V22" s="262"/>
      <c r="W22" s="263"/>
      <c r="X22" s="264"/>
      <c r="Y22" s="265"/>
      <c r="Z22" s="266"/>
      <c r="AA22" s="267"/>
      <c r="AB22" s="268"/>
      <c r="AC22" s="269"/>
      <c r="AD22" s="270"/>
      <c r="AE22" s="192"/>
      <c r="AF22" s="193"/>
    </row>
    <row r="23" spans="2:32" s="8" customFormat="1" ht="16.5" customHeight="1">
      <c r="B23" s="55"/>
      <c r="C23" s="169"/>
      <c r="D23" s="169"/>
      <c r="E23" s="169"/>
      <c r="F23" s="169"/>
      <c r="G23" s="170"/>
      <c r="H23" s="171"/>
      <c r="I23" s="170"/>
      <c r="J23" s="172">
        <f t="shared" si="0"/>
        <v>20</v>
      </c>
      <c r="K23" s="173" t="e">
        <f t="shared" si="1"/>
        <v>#VALUE!</v>
      </c>
      <c r="L23" s="174"/>
      <c r="M23" s="175"/>
      <c r="N23" s="176">
        <f t="shared" si="2"/>
      </c>
      <c r="O23" s="177">
        <f t="shared" si="3"/>
      </c>
      <c r="P23" s="178"/>
      <c r="Q23" s="179">
        <f t="shared" si="4"/>
      </c>
      <c r="R23" s="180">
        <f t="shared" si="5"/>
      </c>
      <c r="S23" s="180">
        <f t="shared" si="6"/>
      </c>
      <c r="T23" s="260" t="str">
        <f t="shared" si="7"/>
        <v>--</v>
      </c>
      <c r="U23" s="261" t="str">
        <f t="shared" si="8"/>
        <v>--</v>
      </c>
      <c r="V23" s="262" t="str">
        <f t="shared" si="9"/>
        <v>--</v>
      </c>
      <c r="W23" s="263" t="str">
        <f t="shared" si="10"/>
        <v>--</v>
      </c>
      <c r="X23" s="264" t="str">
        <f t="shared" si="11"/>
        <v>--</v>
      </c>
      <c r="Y23" s="265" t="str">
        <f t="shared" si="12"/>
        <v>--</v>
      </c>
      <c r="Z23" s="266" t="str">
        <f t="shared" si="13"/>
        <v>--</v>
      </c>
      <c r="AA23" s="267" t="str">
        <f t="shared" si="14"/>
        <v>--</v>
      </c>
      <c r="AB23" s="268" t="str">
        <f t="shared" si="15"/>
        <v>--</v>
      </c>
      <c r="AC23" s="269" t="str">
        <f t="shared" si="16"/>
        <v>--</v>
      </c>
      <c r="AD23" s="191">
        <f t="shared" si="17"/>
      </c>
      <c r="AE23" s="192">
        <f t="shared" si="18"/>
      </c>
      <c r="AF23" s="193"/>
    </row>
    <row r="24" spans="2:32" s="8" customFormat="1" ht="16.5" customHeight="1">
      <c r="B24" s="55"/>
      <c r="C24" s="150"/>
      <c r="D24" s="150"/>
      <c r="E24" s="150"/>
      <c r="F24" s="169"/>
      <c r="G24" s="170"/>
      <c r="H24" s="171"/>
      <c r="I24" s="170"/>
      <c r="J24" s="172">
        <f t="shared" si="0"/>
        <v>20</v>
      </c>
      <c r="K24" s="173" t="e">
        <f t="shared" si="1"/>
        <v>#VALUE!</v>
      </c>
      <c r="L24" s="174"/>
      <c r="M24" s="175"/>
      <c r="N24" s="176">
        <f t="shared" si="2"/>
      </c>
      <c r="O24" s="177">
        <f t="shared" si="3"/>
      </c>
      <c r="P24" s="178"/>
      <c r="Q24" s="179">
        <f t="shared" si="4"/>
      </c>
      <c r="R24" s="180">
        <f t="shared" si="5"/>
      </c>
      <c r="S24" s="180">
        <f t="shared" si="6"/>
      </c>
      <c r="T24" s="260" t="str">
        <f t="shared" si="7"/>
        <v>--</v>
      </c>
      <c r="U24" s="261" t="str">
        <f t="shared" si="8"/>
        <v>--</v>
      </c>
      <c r="V24" s="262" t="str">
        <f t="shared" si="9"/>
        <v>--</v>
      </c>
      <c r="W24" s="263" t="str">
        <f t="shared" si="10"/>
        <v>--</v>
      </c>
      <c r="X24" s="264" t="str">
        <f t="shared" si="11"/>
        <v>--</v>
      </c>
      <c r="Y24" s="265" t="str">
        <f t="shared" si="12"/>
        <v>--</v>
      </c>
      <c r="Z24" s="266" t="str">
        <f t="shared" si="13"/>
        <v>--</v>
      </c>
      <c r="AA24" s="267" t="str">
        <f t="shared" si="14"/>
        <v>--</v>
      </c>
      <c r="AB24" s="268" t="str">
        <f t="shared" si="15"/>
        <v>--</v>
      </c>
      <c r="AC24" s="269" t="str">
        <f t="shared" si="16"/>
        <v>--</v>
      </c>
      <c r="AD24" s="191">
        <f t="shared" si="17"/>
      </c>
      <c r="AE24" s="192">
        <f t="shared" si="18"/>
      </c>
      <c r="AF24" s="193"/>
    </row>
    <row r="25" spans="2:32" s="8" customFormat="1" ht="16.5" customHeight="1">
      <c r="B25" s="55"/>
      <c r="C25" s="169"/>
      <c r="D25" s="169"/>
      <c r="E25" s="169"/>
      <c r="F25" s="199"/>
      <c r="G25" s="200"/>
      <c r="H25" s="201"/>
      <c r="I25" s="200"/>
      <c r="J25" s="172">
        <f t="shared" si="0"/>
        <v>20</v>
      </c>
      <c r="K25" s="173" t="e">
        <f t="shared" si="1"/>
        <v>#VALUE!</v>
      </c>
      <c r="L25" s="202"/>
      <c r="M25" s="203"/>
      <c r="N25" s="176">
        <f t="shared" si="2"/>
      </c>
      <c r="O25" s="177">
        <f t="shared" si="3"/>
      </c>
      <c r="P25" s="178"/>
      <c r="Q25" s="179">
        <f t="shared" si="4"/>
      </c>
      <c r="R25" s="180">
        <f t="shared" si="5"/>
      </c>
      <c r="S25" s="180">
        <f t="shared" si="6"/>
      </c>
      <c r="T25" s="260" t="str">
        <f t="shared" si="7"/>
        <v>--</v>
      </c>
      <c r="U25" s="261" t="str">
        <f t="shared" si="8"/>
        <v>--</v>
      </c>
      <c r="V25" s="262" t="str">
        <f t="shared" si="9"/>
        <v>--</v>
      </c>
      <c r="W25" s="263" t="str">
        <f t="shared" si="10"/>
        <v>--</v>
      </c>
      <c r="X25" s="264" t="str">
        <f t="shared" si="11"/>
        <v>--</v>
      </c>
      <c r="Y25" s="265" t="str">
        <f t="shared" si="12"/>
        <v>--</v>
      </c>
      <c r="Z25" s="266" t="str">
        <f t="shared" si="13"/>
        <v>--</v>
      </c>
      <c r="AA25" s="267" t="str">
        <f t="shared" si="14"/>
        <v>--</v>
      </c>
      <c r="AB25" s="268" t="str">
        <f t="shared" si="15"/>
        <v>--</v>
      </c>
      <c r="AC25" s="269" t="str">
        <f t="shared" si="16"/>
        <v>--</v>
      </c>
      <c r="AD25" s="191">
        <f t="shared" si="17"/>
      </c>
      <c r="AE25" s="192">
        <f t="shared" si="18"/>
      </c>
      <c r="AF25" s="193"/>
    </row>
    <row r="26" spans="2:32" s="8" customFormat="1" ht="16.5" customHeight="1">
      <c r="B26" s="55"/>
      <c r="C26" s="150"/>
      <c r="D26" s="150"/>
      <c r="E26" s="150"/>
      <c r="F26" s="199"/>
      <c r="G26" s="200"/>
      <c r="H26" s="201"/>
      <c r="I26" s="200"/>
      <c r="J26" s="172">
        <f t="shared" si="0"/>
        <v>20</v>
      </c>
      <c r="K26" s="173" t="e">
        <f t="shared" si="1"/>
        <v>#VALUE!</v>
      </c>
      <c r="L26" s="202"/>
      <c r="M26" s="203"/>
      <c r="N26" s="176">
        <f t="shared" si="2"/>
      </c>
      <c r="O26" s="177">
        <f t="shared" si="3"/>
      </c>
      <c r="P26" s="178"/>
      <c r="Q26" s="179">
        <f t="shared" si="4"/>
      </c>
      <c r="R26" s="180">
        <f t="shared" si="5"/>
      </c>
      <c r="S26" s="180">
        <f t="shared" si="6"/>
      </c>
      <c r="T26" s="260" t="str">
        <f t="shared" si="7"/>
        <v>--</v>
      </c>
      <c r="U26" s="261" t="str">
        <f t="shared" si="8"/>
        <v>--</v>
      </c>
      <c r="V26" s="262" t="str">
        <f t="shared" si="9"/>
        <v>--</v>
      </c>
      <c r="W26" s="263" t="str">
        <f t="shared" si="10"/>
        <v>--</v>
      </c>
      <c r="X26" s="264" t="str">
        <f t="shared" si="11"/>
        <v>--</v>
      </c>
      <c r="Y26" s="265" t="str">
        <f t="shared" si="12"/>
        <v>--</v>
      </c>
      <c r="Z26" s="266" t="str">
        <f t="shared" si="13"/>
        <v>--</v>
      </c>
      <c r="AA26" s="267" t="str">
        <f t="shared" si="14"/>
        <v>--</v>
      </c>
      <c r="AB26" s="268" t="str">
        <f t="shared" si="15"/>
        <v>--</v>
      </c>
      <c r="AC26" s="269" t="str">
        <f t="shared" si="16"/>
        <v>--</v>
      </c>
      <c r="AD26" s="191">
        <f t="shared" si="17"/>
      </c>
      <c r="AE26" s="192">
        <f t="shared" si="18"/>
      </c>
      <c r="AF26" s="193"/>
    </row>
    <row r="27" spans="2:32" s="8" customFormat="1" ht="16.5" customHeight="1">
      <c r="B27" s="55"/>
      <c r="C27" s="169"/>
      <c r="D27" s="169"/>
      <c r="E27" s="169"/>
      <c r="F27" s="199"/>
      <c r="G27" s="200"/>
      <c r="H27" s="201"/>
      <c r="I27" s="200"/>
      <c r="J27" s="172">
        <f t="shared" si="0"/>
        <v>20</v>
      </c>
      <c r="K27" s="173" t="e">
        <f t="shared" si="1"/>
        <v>#VALUE!</v>
      </c>
      <c r="L27" s="202"/>
      <c r="M27" s="203"/>
      <c r="N27" s="176">
        <f t="shared" si="2"/>
      </c>
      <c r="O27" s="177">
        <f t="shared" si="3"/>
      </c>
      <c r="P27" s="178"/>
      <c r="Q27" s="179">
        <f t="shared" si="4"/>
      </c>
      <c r="R27" s="180">
        <f t="shared" si="5"/>
      </c>
      <c r="S27" s="180">
        <f t="shared" si="6"/>
      </c>
      <c r="T27" s="260" t="str">
        <f t="shared" si="7"/>
        <v>--</v>
      </c>
      <c r="U27" s="261" t="str">
        <f t="shared" si="8"/>
        <v>--</v>
      </c>
      <c r="V27" s="262" t="str">
        <f t="shared" si="9"/>
        <v>--</v>
      </c>
      <c r="W27" s="263" t="str">
        <f t="shared" si="10"/>
        <v>--</v>
      </c>
      <c r="X27" s="264" t="str">
        <f t="shared" si="11"/>
        <v>--</v>
      </c>
      <c r="Y27" s="265" t="str">
        <f t="shared" si="12"/>
        <v>--</v>
      </c>
      <c r="Z27" s="266" t="str">
        <f t="shared" si="13"/>
        <v>--</v>
      </c>
      <c r="AA27" s="267" t="str">
        <f t="shared" si="14"/>
        <v>--</v>
      </c>
      <c r="AB27" s="268" t="str">
        <f t="shared" si="15"/>
        <v>--</v>
      </c>
      <c r="AC27" s="269" t="str">
        <f t="shared" si="16"/>
        <v>--</v>
      </c>
      <c r="AD27" s="191">
        <f t="shared" si="17"/>
      </c>
      <c r="AE27" s="192">
        <f t="shared" si="18"/>
      </c>
      <c r="AF27" s="193"/>
    </row>
    <row r="28" spans="2:32" s="8" customFormat="1" ht="16.5" customHeight="1">
      <c r="B28" s="55"/>
      <c r="C28" s="150"/>
      <c r="D28" s="150"/>
      <c r="E28" s="150"/>
      <c r="F28" s="199"/>
      <c r="G28" s="200"/>
      <c r="H28" s="201"/>
      <c r="I28" s="200"/>
      <c r="J28" s="172">
        <f t="shared" si="0"/>
        <v>20</v>
      </c>
      <c r="K28" s="173" t="e">
        <f t="shared" si="1"/>
        <v>#VALUE!</v>
      </c>
      <c r="L28" s="202"/>
      <c r="M28" s="203"/>
      <c r="N28" s="176">
        <f t="shared" si="2"/>
      </c>
      <c r="O28" s="177">
        <f t="shared" si="3"/>
      </c>
      <c r="P28" s="178"/>
      <c r="Q28" s="179">
        <f t="shared" si="4"/>
      </c>
      <c r="R28" s="180">
        <f t="shared" si="5"/>
      </c>
      <c r="S28" s="180">
        <f t="shared" si="6"/>
      </c>
      <c r="T28" s="260" t="str">
        <f t="shared" si="7"/>
        <v>--</v>
      </c>
      <c r="U28" s="261" t="str">
        <f t="shared" si="8"/>
        <v>--</v>
      </c>
      <c r="V28" s="262" t="str">
        <f t="shared" si="9"/>
        <v>--</v>
      </c>
      <c r="W28" s="263" t="str">
        <f t="shared" si="10"/>
        <v>--</v>
      </c>
      <c r="X28" s="264" t="str">
        <f t="shared" si="11"/>
        <v>--</v>
      </c>
      <c r="Y28" s="265" t="str">
        <f t="shared" si="12"/>
        <v>--</v>
      </c>
      <c r="Z28" s="266" t="str">
        <f t="shared" si="13"/>
        <v>--</v>
      </c>
      <c r="AA28" s="267" t="str">
        <f t="shared" si="14"/>
        <v>--</v>
      </c>
      <c r="AB28" s="268" t="str">
        <f t="shared" si="15"/>
        <v>--</v>
      </c>
      <c r="AC28" s="269" t="str">
        <f t="shared" si="16"/>
        <v>--</v>
      </c>
      <c r="AD28" s="191">
        <f t="shared" si="17"/>
      </c>
      <c r="AE28" s="192">
        <f t="shared" si="18"/>
      </c>
      <c r="AF28" s="193"/>
    </row>
    <row r="29" spans="2:32" s="8" customFormat="1" ht="16.5" customHeight="1">
      <c r="B29" s="55"/>
      <c r="C29" s="169"/>
      <c r="D29" s="169"/>
      <c r="E29" s="169"/>
      <c r="F29" s="199"/>
      <c r="G29" s="200"/>
      <c r="H29" s="201"/>
      <c r="I29" s="200"/>
      <c r="J29" s="172">
        <f t="shared" si="0"/>
        <v>20</v>
      </c>
      <c r="K29" s="173" t="e">
        <f t="shared" si="1"/>
        <v>#VALUE!</v>
      </c>
      <c r="L29" s="202"/>
      <c r="M29" s="203"/>
      <c r="N29" s="176">
        <f t="shared" si="2"/>
      </c>
      <c r="O29" s="177">
        <f t="shared" si="3"/>
      </c>
      <c r="P29" s="178"/>
      <c r="Q29" s="179">
        <f t="shared" si="4"/>
      </c>
      <c r="R29" s="180">
        <f t="shared" si="5"/>
      </c>
      <c r="S29" s="180">
        <f t="shared" si="6"/>
      </c>
      <c r="T29" s="260" t="str">
        <f t="shared" si="7"/>
        <v>--</v>
      </c>
      <c r="U29" s="261" t="str">
        <f t="shared" si="8"/>
        <v>--</v>
      </c>
      <c r="V29" s="262" t="str">
        <f t="shared" si="9"/>
        <v>--</v>
      </c>
      <c r="W29" s="263" t="str">
        <f t="shared" si="10"/>
        <v>--</v>
      </c>
      <c r="X29" s="264" t="str">
        <f t="shared" si="11"/>
        <v>--</v>
      </c>
      <c r="Y29" s="265" t="str">
        <f t="shared" si="12"/>
        <v>--</v>
      </c>
      <c r="Z29" s="266" t="str">
        <f t="shared" si="13"/>
        <v>--</v>
      </c>
      <c r="AA29" s="267" t="str">
        <f t="shared" si="14"/>
        <v>--</v>
      </c>
      <c r="AB29" s="268" t="str">
        <f t="shared" si="15"/>
        <v>--</v>
      </c>
      <c r="AC29" s="269" t="str">
        <f t="shared" si="16"/>
        <v>--</v>
      </c>
      <c r="AD29" s="191">
        <f t="shared" si="17"/>
      </c>
      <c r="AE29" s="192">
        <f t="shared" si="18"/>
      </c>
      <c r="AF29" s="193"/>
    </row>
    <row r="30" spans="2:32" s="8" customFormat="1" ht="16.5" customHeight="1">
      <c r="B30" s="55"/>
      <c r="C30" s="150"/>
      <c r="D30" s="150"/>
      <c r="E30" s="150"/>
      <c r="F30" s="199"/>
      <c r="G30" s="200"/>
      <c r="H30" s="201"/>
      <c r="I30" s="200"/>
      <c r="J30" s="172">
        <f t="shared" si="0"/>
        <v>20</v>
      </c>
      <c r="K30" s="173" t="e">
        <f t="shared" si="1"/>
        <v>#VALUE!</v>
      </c>
      <c r="L30" s="202"/>
      <c r="M30" s="204"/>
      <c r="N30" s="176">
        <f t="shared" si="2"/>
      </c>
      <c r="O30" s="177">
        <f t="shared" si="3"/>
      </c>
      <c r="P30" s="178"/>
      <c r="Q30" s="179">
        <f t="shared" si="4"/>
      </c>
      <c r="R30" s="180">
        <f t="shared" si="5"/>
      </c>
      <c r="S30" s="180">
        <f t="shared" si="6"/>
      </c>
      <c r="T30" s="260" t="str">
        <f t="shared" si="7"/>
        <v>--</v>
      </c>
      <c r="U30" s="261" t="str">
        <f t="shared" si="8"/>
        <v>--</v>
      </c>
      <c r="V30" s="262" t="str">
        <f t="shared" si="9"/>
        <v>--</v>
      </c>
      <c r="W30" s="263" t="str">
        <f t="shared" si="10"/>
        <v>--</v>
      </c>
      <c r="X30" s="264" t="str">
        <f t="shared" si="11"/>
        <v>--</v>
      </c>
      <c r="Y30" s="265" t="str">
        <f t="shared" si="12"/>
        <v>--</v>
      </c>
      <c r="Z30" s="266" t="str">
        <f t="shared" si="13"/>
        <v>--</v>
      </c>
      <c r="AA30" s="267" t="str">
        <f t="shared" si="14"/>
        <v>--</v>
      </c>
      <c r="AB30" s="268" t="str">
        <f t="shared" si="15"/>
        <v>--</v>
      </c>
      <c r="AC30" s="269" t="str">
        <f t="shared" si="16"/>
        <v>--</v>
      </c>
      <c r="AD30" s="191">
        <f t="shared" si="17"/>
      </c>
      <c r="AE30" s="192">
        <f t="shared" si="18"/>
      </c>
      <c r="AF30" s="193"/>
    </row>
    <row r="31" spans="2:32" s="8" customFormat="1" ht="16.5" customHeight="1">
      <c r="B31" s="55"/>
      <c r="C31" s="169"/>
      <c r="D31" s="169"/>
      <c r="E31" s="169"/>
      <c r="F31" s="199"/>
      <c r="G31" s="200"/>
      <c r="H31" s="201"/>
      <c r="I31" s="200"/>
      <c r="J31" s="172">
        <f t="shared" si="0"/>
        <v>20</v>
      </c>
      <c r="K31" s="173" t="e">
        <f t="shared" si="1"/>
        <v>#VALUE!</v>
      </c>
      <c r="L31" s="202"/>
      <c r="M31" s="204"/>
      <c r="N31" s="176">
        <f t="shared" si="2"/>
      </c>
      <c r="O31" s="177">
        <f t="shared" si="3"/>
      </c>
      <c r="P31" s="178"/>
      <c r="Q31" s="179">
        <f t="shared" si="4"/>
      </c>
      <c r="R31" s="180">
        <f t="shared" si="5"/>
      </c>
      <c r="S31" s="180">
        <f t="shared" si="6"/>
      </c>
      <c r="T31" s="260" t="str">
        <f t="shared" si="7"/>
        <v>--</v>
      </c>
      <c r="U31" s="261" t="str">
        <f t="shared" si="8"/>
        <v>--</v>
      </c>
      <c r="V31" s="262" t="str">
        <f t="shared" si="9"/>
        <v>--</v>
      </c>
      <c r="W31" s="263" t="str">
        <f t="shared" si="10"/>
        <v>--</v>
      </c>
      <c r="X31" s="264" t="str">
        <f t="shared" si="11"/>
        <v>--</v>
      </c>
      <c r="Y31" s="265" t="str">
        <f t="shared" si="12"/>
        <v>--</v>
      </c>
      <c r="Z31" s="266" t="str">
        <f t="shared" si="13"/>
        <v>--</v>
      </c>
      <c r="AA31" s="267" t="str">
        <f t="shared" si="14"/>
        <v>--</v>
      </c>
      <c r="AB31" s="268" t="str">
        <f t="shared" si="15"/>
        <v>--</v>
      </c>
      <c r="AC31" s="269" t="str">
        <f t="shared" si="16"/>
        <v>--</v>
      </c>
      <c r="AD31" s="191">
        <f t="shared" si="17"/>
      </c>
      <c r="AE31" s="192">
        <f t="shared" si="18"/>
      </c>
      <c r="AF31" s="193"/>
    </row>
    <row r="32" spans="2:32" s="8" customFormat="1" ht="16.5" customHeight="1">
      <c r="B32" s="55"/>
      <c r="C32" s="150"/>
      <c r="D32" s="150"/>
      <c r="E32" s="150"/>
      <c r="F32" s="199"/>
      <c r="G32" s="200"/>
      <c r="H32" s="201"/>
      <c r="I32" s="200"/>
      <c r="J32" s="172">
        <f t="shared" si="0"/>
        <v>20</v>
      </c>
      <c r="K32" s="173" t="e">
        <f t="shared" si="1"/>
        <v>#VALUE!</v>
      </c>
      <c r="L32" s="202"/>
      <c r="M32" s="204"/>
      <c r="N32" s="176">
        <f t="shared" si="2"/>
      </c>
      <c r="O32" s="177">
        <f t="shared" si="3"/>
      </c>
      <c r="P32" s="178"/>
      <c r="Q32" s="179">
        <f t="shared" si="4"/>
      </c>
      <c r="R32" s="180">
        <f t="shared" si="5"/>
      </c>
      <c r="S32" s="180">
        <f t="shared" si="6"/>
      </c>
      <c r="T32" s="260" t="str">
        <f t="shared" si="7"/>
        <v>--</v>
      </c>
      <c r="U32" s="261" t="str">
        <f t="shared" si="8"/>
        <v>--</v>
      </c>
      <c r="V32" s="262" t="str">
        <f t="shared" si="9"/>
        <v>--</v>
      </c>
      <c r="W32" s="263" t="str">
        <f t="shared" si="10"/>
        <v>--</v>
      </c>
      <c r="X32" s="264" t="str">
        <f t="shared" si="11"/>
        <v>--</v>
      </c>
      <c r="Y32" s="265" t="str">
        <f t="shared" si="12"/>
        <v>--</v>
      </c>
      <c r="Z32" s="266" t="str">
        <f t="shared" si="13"/>
        <v>--</v>
      </c>
      <c r="AA32" s="267" t="str">
        <f t="shared" si="14"/>
        <v>--</v>
      </c>
      <c r="AB32" s="268" t="str">
        <f t="shared" si="15"/>
        <v>--</v>
      </c>
      <c r="AC32" s="269" t="str">
        <f t="shared" si="16"/>
        <v>--</v>
      </c>
      <c r="AD32" s="191">
        <f t="shared" si="17"/>
      </c>
      <c r="AE32" s="192">
        <f t="shared" si="18"/>
      </c>
      <c r="AF32" s="193"/>
    </row>
    <row r="33" spans="2:32" s="8" customFormat="1" ht="16.5" customHeight="1">
      <c r="B33" s="55"/>
      <c r="C33" s="169"/>
      <c r="D33" s="169"/>
      <c r="E33" s="169"/>
      <c r="F33" s="199"/>
      <c r="G33" s="200"/>
      <c r="H33" s="201"/>
      <c r="I33" s="200"/>
      <c r="J33" s="172">
        <f t="shared" si="0"/>
        <v>20</v>
      </c>
      <c r="K33" s="173" t="e">
        <f t="shared" si="1"/>
        <v>#VALUE!</v>
      </c>
      <c r="L33" s="202"/>
      <c r="M33" s="204"/>
      <c r="N33" s="176">
        <f t="shared" si="2"/>
      </c>
      <c r="O33" s="177">
        <f t="shared" si="3"/>
      </c>
      <c r="P33" s="178"/>
      <c r="Q33" s="179">
        <f t="shared" si="4"/>
      </c>
      <c r="R33" s="180">
        <f t="shared" si="5"/>
      </c>
      <c r="S33" s="180">
        <f t="shared" si="6"/>
      </c>
      <c r="T33" s="260" t="str">
        <f t="shared" si="7"/>
        <v>--</v>
      </c>
      <c r="U33" s="261" t="str">
        <f t="shared" si="8"/>
        <v>--</v>
      </c>
      <c r="V33" s="262" t="str">
        <f t="shared" si="9"/>
        <v>--</v>
      </c>
      <c r="W33" s="263" t="str">
        <f t="shared" si="10"/>
        <v>--</v>
      </c>
      <c r="X33" s="264" t="str">
        <f t="shared" si="11"/>
        <v>--</v>
      </c>
      <c r="Y33" s="265" t="str">
        <f t="shared" si="12"/>
        <v>--</v>
      </c>
      <c r="Z33" s="266" t="str">
        <f t="shared" si="13"/>
        <v>--</v>
      </c>
      <c r="AA33" s="267" t="str">
        <f t="shared" si="14"/>
        <v>--</v>
      </c>
      <c r="AB33" s="268" t="str">
        <f t="shared" si="15"/>
        <v>--</v>
      </c>
      <c r="AC33" s="269" t="str">
        <f t="shared" si="16"/>
        <v>--</v>
      </c>
      <c r="AD33" s="191">
        <f t="shared" si="17"/>
      </c>
      <c r="AE33" s="192">
        <f t="shared" si="18"/>
      </c>
      <c r="AF33" s="193"/>
    </row>
    <row r="34" spans="2:32" s="8" customFormat="1" ht="16.5" customHeight="1">
      <c r="B34" s="55"/>
      <c r="C34" s="150"/>
      <c r="D34" s="150"/>
      <c r="E34" s="150"/>
      <c r="F34" s="199"/>
      <c r="G34" s="200"/>
      <c r="H34" s="201"/>
      <c r="I34" s="200"/>
      <c r="J34" s="172">
        <f t="shared" si="0"/>
        <v>20</v>
      </c>
      <c r="K34" s="173" t="e">
        <f t="shared" si="1"/>
        <v>#VALUE!</v>
      </c>
      <c r="L34" s="202"/>
      <c r="M34" s="204"/>
      <c r="N34" s="176">
        <f t="shared" si="2"/>
      </c>
      <c r="O34" s="177">
        <f t="shared" si="3"/>
      </c>
      <c r="P34" s="178"/>
      <c r="Q34" s="179">
        <f t="shared" si="4"/>
      </c>
      <c r="R34" s="180">
        <f t="shared" si="5"/>
      </c>
      <c r="S34" s="180">
        <f t="shared" si="6"/>
      </c>
      <c r="T34" s="260" t="str">
        <f t="shared" si="7"/>
        <v>--</v>
      </c>
      <c r="U34" s="261" t="str">
        <f t="shared" si="8"/>
        <v>--</v>
      </c>
      <c r="V34" s="262" t="str">
        <f t="shared" si="9"/>
        <v>--</v>
      </c>
      <c r="W34" s="263" t="str">
        <f t="shared" si="10"/>
        <v>--</v>
      </c>
      <c r="X34" s="264" t="str">
        <f t="shared" si="11"/>
        <v>--</v>
      </c>
      <c r="Y34" s="265" t="str">
        <f t="shared" si="12"/>
        <v>--</v>
      </c>
      <c r="Z34" s="266" t="str">
        <f t="shared" si="13"/>
        <v>--</v>
      </c>
      <c r="AA34" s="267" t="str">
        <f t="shared" si="14"/>
        <v>--</v>
      </c>
      <c r="AB34" s="268" t="str">
        <f t="shared" si="15"/>
        <v>--</v>
      </c>
      <c r="AC34" s="269" t="str">
        <f t="shared" si="16"/>
        <v>--</v>
      </c>
      <c r="AD34" s="191">
        <f t="shared" si="17"/>
      </c>
      <c r="AE34" s="192">
        <f t="shared" si="18"/>
      </c>
      <c r="AF34" s="193"/>
    </row>
    <row r="35" spans="2:32" s="8" customFormat="1" ht="16.5" customHeight="1">
      <c r="B35" s="55"/>
      <c r="C35" s="169"/>
      <c r="D35" s="169"/>
      <c r="E35" s="169"/>
      <c r="F35" s="199"/>
      <c r="G35" s="200"/>
      <c r="H35" s="201"/>
      <c r="I35" s="200"/>
      <c r="J35" s="172">
        <f t="shared" si="0"/>
        <v>20</v>
      </c>
      <c r="K35" s="173" t="e">
        <f t="shared" si="1"/>
        <v>#VALUE!</v>
      </c>
      <c r="L35" s="202"/>
      <c r="M35" s="204"/>
      <c r="N35" s="176">
        <f t="shared" si="2"/>
      </c>
      <c r="O35" s="177">
        <f t="shared" si="3"/>
      </c>
      <c r="P35" s="178"/>
      <c r="Q35" s="179">
        <f t="shared" si="4"/>
      </c>
      <c r="R35" s="180">
        <f t="shared" si="5"/>
      </c>
      <c r="S35" s="180">
        <f t="shared" si="6"/>
      </c>
      <c r="T35" s="260" t="str">
        <f t="shared" si="7"/>
        <v>--</v>
      </c>
      <c r="U35" s="261" t="str">
        <f t="shared" si="8"/>
        <v>--</v>
      </c>
      <c r="V35" s="262" t="str">
        <f t="shared" si="9"/>
        <v>--</v>
      </c>
      <c r="W35" s="263" t="str">
        <f t="shared" si="10"/>
        <v>--</v>
      </c>
      <c r="X35" s="264" t="str">
        <f t="shared" si="11"/>
        <v>--</v>
      </c>
      <c r="Y35" s="265" t="str">
        <f t="shared" si="12"/>
        <v>--</v>
      </c>
      <c r="Z35" s="266" t="str">
        <f t="shared" si="13"/>
        <v>--</v>
      </c>
      <c r="AA35" s="267" t="str">
        <f t="shared" si="14"/>
        <v>--</v>
      </c>
      <c r="AB35" s="268" t="str">
        <f t="shared" si="15"/>
        <v>--</v>
      </c>
      <c r="AC35" s="269" t="str">
        <f t="shared" si="16"/>
        <v>--</v>
      </c>
      <c r="AD35" s="191">
        <f t="shared" si="17"/>
      </c>
      <c r="AE35" s="192">
        <f t="shared" si="18"/>
      </c>
      <c r="AF35" s="193"/>
    </row>
    <row r="36" spans="2:32" s="8" customFormat="1" ht="16.5" customHeight="1">
      <c r="B36" s="55"/>
      <c r="C36" s="150"/>
      <c r="D36" s="150"/>
      <c r="E36" s="150"/>
      <c r="F36" s="199"/>
      <c r="G36" s="200"/>
      <c r="H36" s="201"/>
      <c r="I36" s="200"/>
      <c r="J36" s="172">
        <f t="shared" si="0"/>
        <v>20</v>
      </c>
      <c r="K36" s="173" t="e">
        <f t="shared" si="1"/>
        <v>#VALUE!</v>
      </c>
      <c r="L36" s="202"/>
      <c r="M36" s="204"/>
      <c r="N36" s="176">
        <f t="shared" si="2"/>
      </c>
      <c r="O36" s="177">
        <f t="shared" si="3"/>
      </c>
      <c r="P36" s="178"/>
      <c r="Q36" s="179">
        <f t="shared" si="4"/>
      </c>
      <c r="R36" s="180">
        <f t="shared" si="5"/>
      </c>
      <c r="S36" s="180">
        <f t="shared" si="6"/>
      </c>
      <c r="T36" s="260" t="str">
        <f t="shared" si="7"/>
        <v>--</v>
      </c>
      <c r="U36" s="261" t="str">
        <f t="shared" si="8"/>
        <v>--</v>
      </c>
      <c r="V36" s="262" t="str">
        <f t="shared" si="9"/>
        <v>--</v>
      </c>
      <c r="W36" s="263" t="str">
        <f t="shared" si="10"/>
        <v>--</v>
      </c>
      <c r="X36" s="264" t="str">
        <f t="shared" si="11"/>
        <v>--</v>
      </c>
      <c r="Y36" s="265" t="str">
        <f t="shared" si="12"/>
        <v>--</v>
      </c>
      <c r="Z36" s="266" t="str">
        <f t="shared" si="13"/>
        <v>--</v>
      </c>
      <c r="AA36" s="267" t="str">
        <f t="shared" si="14"/>
        <v>--</v>
      </c>
      <c r="AB36" s="268" t="str">
        <f t="shared" si="15"/>
        <v>--</v>
      </c>
      <c r="AC36" s="269" t="str">
        <f t="shared" si="16"/>
        <v>--</v>
      </c>
      <c r="AD36" s="191">
        <f t="shared" si="17"/>
      </c>
      <c r="AE36" s="192">
        <f t="shared" si="18"/>
      </c>
      <c r="AF36" s="193"/>
    </row>
    <row r="37" spans="2:32" s="8" customFormat="1" ht="16.5" customHeight="1">
      <c r="B37" s="55"/>
      <c r="C37" s="169"/>
      <c r="D37" s="169"/>
      <c r="E37" s="169"/>
      <c r="F37" s="199"/>
      <c r="G37" s="200"/>
      <c r="H37" s="201"/>
      <c r="I37" s="200"/>
      <c r="J37" s="172">
        <f t="shared" si="0"/>
        <v>20</v>
      </c>
      <c r="K37" s="173" t="e">
        <f t="shared" si="1"/>
        <v>#VALUE!</v>
      </c>
      <c r="L37" s="202"/>
      <c r="M37" s="204"/>
      <c r="N37" s="176">
        <f t="shared" si="2"/>
      </c>
      <c r="O37" s="177">
        <f t="shared" si="3"/>
      </c>
      <c r="P37" s="178"/>
      <c r="Q37" s="179">
        <f t="shared" si="4"/>
      </c>
      <c r="R37" s="180">
        <f t="shared" si="5"/>
      </c>
      <c r="S37" s="180">
        <f t="shared" si="6"/>
      </c>
      <c r="T37" s="260" t="str">
        <f t="shared" si="7"/>
        <v>--</v>
      </c>
      <c r="U37" s="261" t="str">
        <f t="shared" si="8"/>
        <v>--</v>
      </c>
      <c r="V37" s="262" t="str">
        <f t="shared" si="9"/>
        <v>--</v>
      </c>
      <c r="W37" s="263" t="str">
        <f t="shared" si="10"/>
        <v>--</v>
      </c>
      <c r="X37" s="264" t="str">
        <f t="shared" si="11"/>
        <v>--</v>
      </c>
      <c r="Y37" s="265" t="str">
        <f t="shared" si="12"/>
        <v>--</v>
      </c>
      <c r="Z37" s="266" t="str">
        <f t="shared" si="13"/>
        <v>--</v>
      </c>
      <c r="AA37" s="267" t="str">
        <f t="shared" si="14"/>
        <v>--</v>
      </c>
      <c r="AB37" s="268" t="str">
        <f t="shared" si="15"/>
        <v>--</v>
      </c>
      <c r="AC37" s="269" t="str">
        <f t="shared" si="16"/>
        <v>--</v>
      </c>
      <c r="AD37" s="191">
        <f t="shared" si="17"/>
      </c>
      <c r="AE37" s="192">
        <f t="shared" si="18"/>
      </c>
      <c r="AF37" s="193"/>
    </row>
    <row r="38" spans="2:32" s="8" customFormat="1" ht="16.5" customHeight="1">
      <c r="B38" s="55"/>
      <c r="C38" s="150"/>
      <c r="D38" s="150"/>
      <c r="E38" s="150"/>
      <c r="F38" s="199"/>
      <c r="G38" s="200"/>
      <c r="H38" s="201"/>
      <c r="I38" s="200"/>
      <c r="J38" s="172">
        <f t="shared" si="0"/>
        <v>20</v>
      </c>
      <c r="K38" s="173" t="e">
        <f t="shared" si="1"/>
        <v>#VALUE!</v>
      </c>
      <c r="L38" s="202"/>
      <c r="M38" s="204"/>
      <c r="N38" s="176">
        <f t="shared" si="2"/>
      </c>
      <c r="O38" s="177">
        <f t="shared" si="3"/>
      </c>
      <c r="P38" s="178"/>
      <c r="Q38" s="179">
        <f t="shared" si="4"/>
      </c>
      <c r="R38" s="180">
        <f t="shared" si="5"/>
      </c>
      <c r="S38" s="180">
        <f t="shared" si="6"/>
      </c>
      <c r="T38" s="260" t="str">
        <f t="shared" si="7"/>
        <v>--</v>
      </c>
      <c r="U38" s="261" t="str">
        <f t="shared" si="8"/>
        <v>--</v>
      </c>
      <c r="V38" s="262" t="str">
        <f t="shared" si="9"/>
        <v>--</v>
      </c>
      <c r="W38" s="263" t="str">
        <f t="shared" si="10"/>
        <v>--</v>
      </c>
      <c r="X38" s="264" t="str">
        <f t="shared" si="11"/>
        <v>--</v>
      </c>
      <c r="Y38" s="265" t="str">
        <f t="shared" si="12"/>
        <v>--</v>
      </c>
      <c r="Z38" s="266" t="str">
        <f t="shared" si="13"/>
        <v>--</v>
      </c>
      <c r="AA38" s="267" t="str">
        <f t="shared" si="14"/>
        <v>--</v>
      </c>
      <c r="AB38" s="268" t="str">
        <f t="shared" si="15"/>
        <v>--</v>
      </c>
      <c r="AC38" s="269" t="str">
        <f t="shared" si="16"/>
        <v>--</v>
      </c>
      <c r="AD38" s="191">
        <f t="shared" si="17"/>
      </c>
      <c r="AE38" s="192">
        <f t="shared" si="18"/>
      </c>
      <c r="AF38" s="193"/>
    </row>
    <row r="39" spans="2:32" s="8" customFormat="1" ht="16.5" customHeight="1" thickBot="1">
      <c r="B39" s="55"/>
      <c r="C39" s="169"/>
      <c r="D39" s="205"/>
      <c r="E39" s="169"/>
      <c r="F39" s="207"/>
      <c r="G39" s="208"/>
      <c r="H39" s="209"/>
      <c r="I39" s="210"/>
      <c r="J39" s="211"/>
      <c r="K39" s="212"/>
      <c r="L39" s="213"/>
      <c r="M39" s="213"/>
      <c r="N39" s="214"/>
      <c r="O39" s="214"/>
      <c r="P39" s="215"/>
      <c r="Q39" s="216"/>
      <c r="R39" s="215"/>
      <c r="S39" s="215"/>
      <c r="T39" s="217"/>
      <c r="U39" s="218"/>
      <c r="V39" s="219"/>
      <c r="W39" s="220"/>
      <c r="X39" s="221"/>
      <c r="Y39" s="222"/>
      <c r="Z39" s="223"/>
      <c r="AA39" s="224"/>
      <c r="AB39" s="225"/>
      <c r="AC39" s="226"/>
      <c r="AD39" s="227"/>
      <c r="AE39" s="228"/>
      <c r="AF39" s="193"/>
    </row>
    <row r="40" spans="2:32" s="8" customFormat="1" ht="16.5" customHeight="1" thickBot="1" thickTop="1">
      <c r="B40" s="55"/>
      <c r="C40" s="625" t="s">
        <v>327</v>
      </c>
      <c r="D40" s="626" t="s">
        <v>341</v>
      </c>
      <c r="E40" s="229"/>
      <c r="F40" s="231"/>
      <c r="G40" s="232"/>
      <c r="H40" s="233"/>
      <c r="I40" s="234"/>
      <c r="J40" s="233"/>
      <c r="K40" s="235"/>
      <c r="L40" s="235"/>
      <c r="M40" s="235"/>
      <c r="N40" s="235"/>
      <c r="O40" s="235"/>
      <c r="P40" s="235"/>
      <c r="Q40" s="236"/>
      <c r="R40" s="235"/>
      <c r="S40" s="235"/>
      <c r="T40" s="237">
        <f aca="true" t="shared" si="19" ref="T40:AC40">SUM(T18:T39)</f>
        <v>568.7010157139999</v>
      </c>
      <c r="U40" s="238">
        <f t="shared" si="19"/>
        <v>0</v>
      </c>
      <c r="V40" s="239">
        <f t="shared" si="19"/>
        <v>0</v>
      </c>
      <c r="W40" s="239">
        <f t="shared" si="19"/>
        <v>0</v>
      </c>
      <c r="X40" s="239">
        <f t="shared" si="19"/>
        <v>0</v>
      </c>
      <c r="Y40" s="240">
        <f t="shared" si="19"/>
        <v>0</v>
      </c>
      <c r="Z40" s="240">
        <f t="shared" si="19"/>
        <v>0</v>
      </c>
      <c r="AA40" s="240">
        <f t="shared" si="19"/>
        <v>0</v>
      </c>
      <c r="AB40" s="241">
        <f t="shared" si="19"/>
        <v>0</v>
      </c>
      <c r="AC40" s="242">
        <f t="shared" si="19"/>
        <v>0</v>
      </c>
      <c r="AD40" s="243"/>
      <c r="AE40" s="244">
        <f>ROUND(SUM(AE18:AE39),2)</f>
        <v>568.7</v>
      </c>
      <c r="AF40" s="193"/>
    </row>
    <row r="41" spans="2:32" s="8" customFormat="1" ht="16.5" customHeight="1" thickBot="1" thickTop="1">
      <c r="B41" s="245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7"/>
    </row>
    <row r="42" spans="2:32" ht="16.5" customHeight="1" thickTop="1">
      <c r="B42" s="248"/>
      <c r="C42" s="248"/>
      <c r="D42" s="248"/>
      <c r="AF42" s="248"/>
    </row>
  </sheetData>
  <sheetProtection password="CC12"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Roman,Normal"&amp;8&amp;F-&amp;A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AF44"/>
  <sheetViews>
    <sheetView zoomScale="70" zoomScaleNormal="70" zoomScalePageLayoutView="0" workbookViewId="0" topLeftCell="A1">
      <selection activeCell="N51" sqref="N51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7109375" style="9" customWidth="1"/>
    <col min="6" max="6" width="45.7109375" style="9" customWidth="1"/>
    <col min="7" max="8" width="9.7109375" style="9" customWidth="1"/>
    <col min="9" max="9" width="3.8515625" style="9" customWidth="1"/>
    <col min="10" max="10" width="3.421875" style="9" hidden="1" customWidth="1"/>
    <col min="11" max="11" width="10.00390625" style="9" hidden="1" customWidth="1"/>
    <col min="12" max="13" width="15.7109375" style="9" customWidth="1"/>
    <col min="14" max="16" width="9.7109375" style="9" customWidth="1"/>
    <col min="17" max="17" width="8.7109375" style="9" customWidth="1"/>
    <col min="18" max="18" width="5.421875" style="9" customWidth="1"/>
    <col min="19" max="19" width="6.00390625" style="9" customWidth="1"/>
    <col min="20" max="21" width="12.28125" style="9" hidden="1" customWidth="1"/>
    <col min="22" max="27" width="5.7109375" style="9" hidden="1" customWidth="1"/>
    <col min="28" max="28" width="12.28125" style="9" hidden="1" customWidth="1"/>
    <col min="29" max="29" width="13.421875" style="9" hidden="1" customWidth="1"/>
    <col min="30" max="30" width="9.7109375" style="9" customWidth="1"/>
    <col min="31" max="31" width="15.7109375" style="9" customWidth="1"/>
    <col min="32" max="32" width="4.140625" style="9" customWidth="1"/>
    <col min="33" max="33" width="30.421875" style="9" customWidth="1"/>
    <col min="34" max="34" width="3.140625" style="9" customWidth="1"/>
    <col min="35" max="35" width="3.57421875" style="9" customWidth="1"/>
    <col min="36" max="36" width="24.28125" style="9" customWidth="1"/>
    <col min="37" max="37" width="4.7109375" style="9" customWidth="1"/>
    <col min="38" max="38" width="7.57421875" style="9" customWidth="1"/>
    <col min="39" max="40" width="4.140625" style="9" customWidth="1"/>
    <col min="41" max="41" width="7.140625" style="9" customWidth="1"/>
    <col min="42" max="42" width="5.28125" style="9" customWidth="1"/>
    <col min="43" max="43" width="5.421875" style="9" customWidth="1"/>
    <col min="44" max="44" width="4.7109375" style="9" customWidth="1"/>
    <col min="45" max="45" width="5.28125" style="9" customWidth="1"/>
    <col min="46" max="47" width="13.28125" style="9" customWidth="1"/>
    <col min="48" max="48" width="6.57421875" style="9" customWidth="1"/>
    <col min="49" max="49" width="6.421875" style="9" customWidth="1"/>
    <col min="50" max="53" width="11.421875" style="9" customWidth="1"/>
    <col min="54" max="54" width="12.7109375" style="9" customWidth="1"/>
    <col min="55" max="57" width="11.421875" style="9" customWidth="1"/>
    <col min="58" max="58" width="21.00390625" style="9" customWidth="1"/>
    <col min="59" max="16384" width="11.421875" style="9" customWidth="1"/>
  </cols>
  <sheetData>
    <row r="1" spans="1:32" s="3" customFormat="1" ht="26.25">
      <c r="A1" s="641"/>
      <c r="E1" s="9"/>
      <c r="G1" s="9"/>
      <c r="I1" s="9"/>
      <c r="K1" s="9"/>
      <c r="M1" s="9"/>
      <c r="O1" s="9"/>
      <c r="Q1" s="9"/>
      <c r="S1" s="9"/>
      <c r="U1" s="9"/>
      <c r="W1" s="9"/>
      <c r="Y1" s="9"/>
      <c r="AA1" s="9"/>
      <c r="AF1" s="5"/>
    </row>
    <row r="2" spans="1:32" s="3" customFormat="1" ht="26.25">
      <c r="A2" s="88"/>
      <c r="B2" s="2" t="str">
        <f>'TOT-0912'!B2</f>
        <v>ANEXO IV al Memorándum  D.T.E.E.  N° 295 / 2014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8" customFormat="1" ht="23.25" customHeight="1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32" s="8" customFormat="1" ht="13.5" thickTop="1">
      <c r="B7" s="91"/>
      <c r="C7" s="92"/>
      <c r="D7" s="92"/>
      <c r="E7" s="92"/>
      <c r="F7" s="92"/>
      <c r="G7" s="93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4"/>
    </row>
    <row r="8" spans="2:32" s="18" customFormat="1" ht="20.25">
      <c r="B8" s="95"/>
      <c r="C8" s="23"/>
      <c r="D8" s="23"/>
      <c r="E8" s="23"/>
      <c r="F8" s="96" t="s">
        <v>23</v>
      </c>
      <c r="G8" s="23"/>
      <c r="H8" s="23"/>
      <c r="I8" s="23"/>
      <c r="J8" s="23"/>
      <c r="P8" s="23"/>
      <c r="Q8" s="23"/>
      <c r="R8" s="97"/>
      <c r="S8" s="97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98"/>
    </row>
    <row r="9" spans="2:32" s="8" customFormat="1" ht="16.5" customHeight="1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99"/>
    </row>
    <row r="10" spans="2:32" s="249" customFormat="1" ht="33" customHeight="1">
      <c r="B10" s="250"/>
      <c r="C10" s="251"/>
      <c r="D10" s="251"/>
      <c r="E10" s="251"/>
      <c r="F10" s="252" t="s">
        <v>24</v>
      </c>
      <c r="G10" s="251"/>
      <c r="H10" s="251"/>
      <c r="I10" s="251"/>
      <c r="K10" s="251"/>
      <c r="L10" s="251"/>
      <c r="M10" s="251"/>
      <c r="N10" s="251"/>
      <c r="O10" s="251"/>
      <c r="P10" s="251"/>
      <c r="Q10" s="251"/>
      <c r="R10" s="252"/>
      <c r="S10" s="252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3"/>
    </row>
    <row r="11" spans="2:32" s="254" customFormat="1" ht="33" customHeight="1">
      <c r="B11" s="255"/>
      <c r="C11" s="256"/>
      <c r="D11" s="256"/>
      <c r="E11" s="256"/>
      <c r="F11" s="272" t="s">
        <v>375</v>
      </c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8"/>
    </row>
    <row r="12" spans="2:32" s="34" customFormat="1" ht="19.5">
      <c r="B12" s="35" t="str">
        <f>'TOT-0912'!B14</f>
        <v>Desde el 01 al 30 de septiembre de 2012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101"/>
      <c r="Q12" s="101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102"/>
    </row>
    <row r="13" spans="2:32" s="8" customFormat="1" ht="16.5" customHeight="1" thickBot="1">
      <c r="B13" s="55"/>
      <c r="C13" s="11"/>
      <c r="D13" s="11"/>
      <c r="E13" s="11"/>
      <c r="F13" s="11"/>
      <c r="G13" s="85"/>
      <c r="H13" s="85"/>
      <c r="I13" s="11"/>
      <c r="J13" s="11"/>
      <c r="K13" s="11"/>
      <c r="L13" s="103"/>
      <c r="M13" s="11"/>
      <c r="N13" s="11"/>
      <c r="O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99"/>
    </row>
    <row r="14" spans="2:32" s="8" customFormat="1" ht="16.5" customHeight="1" thickBot="1" thickTop="1">
      <c r="B14" s="55"/>
      <c r="C14" s="11"/>
      <c r="D14" s="11"/>
      <c r="E14" s="11"/>
      <c r="F14" s="104" t="s">
        <v>26</v>
      </c>
      <c r="G14" s="105">
        <f>0.6*253.422</f>
        <v>152.0532</v>
      </c>
      <c r="H14" s="106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99"/>
    </row>
    <row r="15" spans="2:32" s="8" customFormat="1" ht="16.5" customHeight="1" thickBot="1" thickTop="1">
      <c r="B15" s="55"/>
      <c r="C15" s="11"/>
      <c r="D15" s="11"/>
      <c r="E15" s="11"/>
      <c r="F15" s="104" t="s">
        <v>27</v>
      </c>
      <c r="G15" s="105" t="s">
        <v>336</v>
      </c>
      <c r="H15" s="106"/>
      <c r="I15" s="11"/>
      <c r="J15" s="11"/>
      <c r="K15" s="11"/>
      <c r="L15" s="107"/>
      <c r="M15" s="108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09"/>
      <c r="Y15" s="109"/>
      <c r="Z15" s="109"/>
      <c r="AA15" s="109"/>
      <c r="AB15" s="109"/>
      <c r="AC15" s="109"/>
      <c r="AD15" s="109"/>
      <c r="AF15" s="99"/>
    </row>
    <row r="16" spans="2:32" s="8" customFormat="1" ht="16.5" customHeight="1" thickBot="1" thickTop="1">
      <c r="B16" s="55"/>
      <c r="C16" s="110">
        <v>3</v>
      </c>
      <c r="D16" s="110">
        <v>4</v>
      </c>
      <c r="E16" s="110">
        <v>5</v>
      </c>
      <c r="F16" s="110">
        <v>6</v>
      </c>
      <c r="G16" s="110">
        <v>7</v>
      </c>
      <c r="H16" s="110">
        <v>8</v>
      </c>
      <c r="I16" s="110">
        <v>9</v>
      </c>
      <c r="J16" s="110">
        <v>10</v>
      </c>
      <c r="K16" s="110">
        <v>11</v>
      </c>
      <c r="L16" s="110">
        <v>12</v>
      </c>
      <c r="M16" s="110">
        <v>13</v>
      </c>
      <c r="N16" s="110">
        <v>14</v>
      </c>
      <c r="O16" s="110">
        <v>15</v>
      </c>
      <c r="P16" s="110">
        <v>16</v>
      </c>
      <c r="Q16" s="110">
        <v>17</v>
      </c>
      <c r="R16" s="110">
        <v>18</v>
      </c>
      <c r="S16" s="110">
        <v>19</v>
      </c>
      <c r="T16" s="110">
        <v>20</v>
      </c>
      <c r="U16" s="110">
        <v>21</v>
      </c>
      <c r="V16" s="110">
        <v>22</v>
      </c>
      <c r="W16" s="110">
        <v>23</v>
      </c>
      <c r="X16" s="110">
        <v>24</v>
      </c>
      <c r="Y16" s="110">
        <v>25</v>
      </c>
      <c r="Z16" s="110">
        <v>26</v>
      </c>
      <c r="AA16" s="110">
        <v>27</v>
      </c>
      <c r="AB16" s="110">
        <v>28</v>
      </c>
      <c r="AC16" s="110">
        <v>29</v>
      </c>
      <c r="AD16" s="110">
        <v>30</v>
      </c>
      <c r="AE16" s="110">
        <v>31</v>
      </c>
      <c r="AF16" s="99"/>
    </row>
    <row r="17" spans="2:32" s="8" customFormat="1" ht="33.75" customHeight="1" thickBot="1" thickTop="1">
      <c r="B17" s="55"/>
      <c r="C17" s="111" t="s">
        <v>28</v>
      </c>
      <c r="D17" s="111" t="s">
        <v>29</v>
      </c>
      <c r="E17" s="111" t="s">
        <v>30</v>
      </c>
      <c r="F17" s="112" t="s">
        <v>5</v>
      </c>
      <c r="G17" s="113" t="s">
        <v>31</v>
      </c>
      <c r="H17" s="114" t="s">
        <v>32</v>
      </c>
      <c r="I17" s="115" t="s">
        <v>33</v>
      </c>
      <c r="J17" s="116" t="s">
        <v>34</v>
      </c>
      <c r="K17" s="117" t="s">
        <v>35</v>
      </c>
      <c r="L17" s="112" t="s">
        <v>36</v>
      </c>
      <c r="M17" s="118" t="s">
        <v>37</v>
      </c>
      <c r="N17" s="119" t="s">
        <v>38</v>
      </c>
      <c r="O17" s="114" t="s">
        <v>39</v>
      </c>
      <c r="P17" s="119" t="s">
        <v>254</v>
      </c>
      <c r="Q17" s="114" t="s">
        <v>40</v>
      </c>
      <c r="R17" s="118" t="s">
        <v>41</v>
      </c>
      <c r="S17" s="112" t="s">
        <v>42</v>
      </c>
      <c r="T17" s="120" t="s">
        <v>43</v>
      </c>
      <c r="U17" s="121" t="s">
        <v>44</v>
      </c>
      <c r="V17" s="122" t="s">
        <v>45</v>
      </c>
      <c r="W17" s="123"/>
      <c r="X17" s="124"/>
      <c r="Y17" s="125" t="s">
        <v>46</v>
      </c>
      <c r="Z17" s="126"/>
      <c r="AA17" s="127"/>
      <c r="AB17" s="128" t="s">
        <v>47</v>
      </c>
      <c r="AC17" s="129" t="s">
        <v>48</v>
      </c>
      <c r="AD17" s="130" t="s">
        <v>49</v>
      </c>
      <c r="AE17" s="130" t="s">
        <v>50</v>
      </c>
      <c r="AF17" s="131"/>
    </row>
    <row r="18" spans="2:32" s="8" customFormat="1" ht="16.5" customHeight="1" thickTop="1">
      <c r="B18" s="55"/>
      <c r="C18" s="132"/>
      <c r="D18" s="132"/>
      <c r="E18" s="132"/>
      <c r="F18" s="133"/>
      <c r="G18" s="133"/>
      <c r="H18" s="134"/>
      <c r="I18" s="135"/>
      <c r="J18" s="136"/>
      <c r="K18" s="137"/>
      <c r="L18" s="138"/>
      <c r="M18" s="138"/>
      <c r="N18" s="135"/>
      <c r="O18" s="135"/>
      <c r="P18" s="135"/>
      <c r="Q18" s="135"/>
      <c r="R18" s="135"/>
      <c r="S18" s="135"/>
      <c r="T18" s="139"/>
      <c r="U18" s="140"/>
      <c r="V18" s="141"/>
      <c r="W18" s="142"/>
      <c r="X18" s="143"/>
      <c r="Y18" s="144"/>
      <c r="Z18" s="145"/>
      <c r="AA18" s="146"/>
      <c r="AB18" s="147"/>
      <c r="AC18" s="148"/>
      <c r="AD18" s="135"/>
      <c r="AE18" s="149"/>
      <c r="AF18" s="99"/>
    </row>
    <row r="19" spans="2:32" s="8" customFormat="1" ht="16.5" customHeight="1">
      <c r="B19" s="55"/>
      <c r="C19" s="151"/>
      <c r="D19" s="151"/>
      <c r="E19" s="151"/>
      <c r="F19" s="259"/>
      <c r="G19" s="259"/>
      <c r="H19" s="785"/>
      <c r="I19" s="786"/>
      <c r="J19" s="787"/>
      <c r="K19" s="788"/>
      <c r="L19" s="789"/>
      <c r="M19" s="790"/>
      <c r="N19" s="786"/>
      <c r="O19" s="786"/>
      <c r="P19" s="791"/>
      <c r="Q19" s="786"/>
      <c r="R19" s="786"/>
      <c r="S19" s="786"/>
      <c r="T19" s="792"/>
      <c r="U19" s="793"/>
      <c r="V19" s="794"/>
      <c r="W19" s="795"/>
      <c r="X19" s="791"/>
      <c r="Y19" s="796"/>
      <c r="Z19" s="797"/>
      <c r="AA19" s="798"/>
      <c r="AB19" s="799"/>
      <c r="AC19" s="800"/>
      <c r="AD19" s="786"/>
      <c r="AE19" s="801"/>
      <c r="AF19" s="99"/>
    </row>
    <row r="20" spans="2:32" s="8" customFormat="1" ht="16.5" customHeight="1">
      <c r="B20" s="55"/>
      <c r="C20" s="259">
        <v>18</v>
      </c>
      <c r="D20" s="259">
        <v>251852</v>
      </c>
      <c r="E20" s="259">
        <v>4790</v>
      </c>
      <c r="F20" s="194" t="s">
        <v>360</v>
      </c>
      <c r="G20" s="195">
        <v>500</v>
      </c>
      <c r="H20" s="196">
        <v>552.31</v>
      </c>
      <c r="I20" s="195" t="s">
        <v>258</v>
      </c>
      <c r="J20" s="172">
        <f>IF(I20="A",200,IF(I20="B",60,20))</f>
        <v>20</v>
      </c>
      <c r="K20" s="173">
        <f>IF(G20=500,IF(H20&lt;100,100*$G$14/100,H20*$G$14/100),IF(H20&lt;100,100*$G$15/100,H20*$G$15/100))</f>
        <v>839.8050289199999</v>
      </c>
      <c r="L20" s="174">
        <v>41174.30138888889</v>
      </c>
      <c r="M20" s="175">
        <v>41174.75347222222</v>
      </c>
      <c r="N20" s="176">
        <f>IF(F20="","",(M20-L20)*24)</f>
        <v>10.84999999991851</v>
      </c>
      <c r="O20" s="177">
        <f>IF(F20="","",ROUND((M20-L20)*24*60,0))</f>
        <v>651</v>
      </c>
      <c r="P20" s="178" t="s">
        <v>259</v>
      </c>
      <c r="Q20" s="179" t="str">
        <f>IF(F20="","","--")</f>
        <v>--</v>
      </c>
      <c r="R20" s="180" t="str">
        <f>IF(F20="","","NO")</f>
        <v>NO</v>
      </c>
      <c r="S20" s="180" t="str">
        <f>IF(F20="","",IF(OR(P20="P",P20="RP"),"--","NO"))</f>
        <v>--</v>
      </c>
      <c r="T20" s="260">
        <f>IF(P20="P",K20*J20*ROUND(O20/60,2)*0.01,"--")</f>
        <v>1822.3769127563996</v>
      </c>
      <c r="U20" s="261" t="str">
        <f>IF(P20="RP",K20*J20*ROUND(O20/60,2)*0.01*Q20/100,"--")</f>
        <v>--</v>
      </c>
      <c r="V20" s="262" t="str">
        <f>IF(AND(P20="F",S20="NO"),K20*J20*IF(R20="SI",1.2,1),"--")</f>
        <v>--</v>
      </c>
      <c r="W20" s="263" t="str">
        <f>IF(AND(P20="F",O20&gt;=10),K20*J20*IF(R20="SI",1.2,1)*IF(O20&lt;=300,ROUND(O20/60,2),5),"--")</f>
        <v>--</v>
      </c>
      <c r="X20" s="264" t="str">
        <f>IF(AND(P20="F",O20&gt;300),(ROUND(O20/60,2)-5)*K20*J20*0.1*IF(R20="SI",1.2,1),"--")</f>
        <v>--</v>
      </c>
      <c r="Y20" s="265" t="str">
        <f>IF(AND(P20="R",S20="NO"),K20*J20*Q20/100*IF(R20="SI",1.2,1),"--")</f>
        <v>--</v>
      </c>
      <c r="Z20" s="266" t="str">
        <f>IF(AND(P20="R",O20&gt;=10),K20*J20*Q20/100*IF(R20="SI",1.2,1)*IF(O20&lt;=300,ROUND(O20/60,2),5),"--")</f>
        <v>--</v>
      </c>
      <c r="AA20" s="267" t="str">
        <f>IF(AND(P20="R",O20&gt;300),(ROUND(O20/60,2)-5)*K20*J20*0.1*Q20/100*IF(R20="SI",1.2,1),"--")</f>
        <v>--</v>
      </c>
      <c r="AB20" s="268" t="str">
        <f>IF(P20="RF",ROUND(O20/60,2)*K20*J20*0.1*IF(R20="SI",1.2,1),"--")</f>
        <v>--</v>
      </c>
      <c r="AC20" s="269" t="str">
        <f>IF(P20="RR",ROUND(O20/60,2)*K20*J20*0.1*Q20/100*IF(R20="SI",1.2,1),"--")</f>
        <v>--</v>
      </c>
      <c r="AD20" s="270" t="str">
        <f>IF(F20="","","SI")</f>
        <v>SI</v>
      </c>
      <c r="AE20" s="192">
        <f>IF(F20="","",SUM(T20:AC20)*IF(AD20="SI",1,2))</f>
        <v>1822.3769127563996</v>
      </c>
      <c r="AF20" s="193"/>
    </row>
    <row r="21" spans="2:32" s="8" customFormat="1" ht="16.5" customHeight="1">
      <c r="B21" s="55"/>
      <c r="C21" s="150">
        <v>19</v>
      </c>
      <c r="D21" s="150">
        <v>251857</v>
      </c>
      <c r="E21" s="259">
        <v>4790</v>
      </c>
      <c r="F21" s="194" t="s">
        <v>360</v>
      </c>
      <c r="G21" s="195">
        <v>500</v>
      </c>
      <c r="H21" s="196">
        <v>552.31</v>
      </c>
      <c r="I21" s="195" t="s">
        <v>258</v>
      </c>
      <c r="J21" s="172">
        <f>IF(I21="A",200,IF(I21="B",60,20))</f>
        <v>20</v>
      </c>
      <c r="K21" s="173">
        <f>IF(G21=500,IF(H21&lt;100,100*$G$14/100,H21*$G$14/100),IF(H21&lt;100,100*$G$15/100,H21*$G$15/100))</f>
        <v>839.8050289199999</v>
      </c>
      <c r="L21" s="174">
        <v>41175.2875</v>
      </c>
      <c r="M21" s="175">
        <v>41175.76597222222</v>
      </c>
      <c r="N21" s="176">
        <f>IF(F21="","",(M21-L21)*24)</f>
        <v>11.483333333395422</v>
      </c>
      <c r="O21" s="177">
        <f>IF(F21="","",ROUND((M21-L21)*24*60,0))</f>
        <v>689</v>
      </c>
      <c r="P21" s="178" t="s">
        <v>259</v>
      </c>
      <c r="Q21" s="179" t="str">
        <f>IF(F21="","","--")</f>
        <v>--</v>
      </c>
      <c r="R21" s="180" t="str">
        <f>IF(F21="","","NO")</f>
        <v>NO</v>
      </c>
      <c r="S21" s="180" t="str">
        <f>IF(F21="","",IF(OR(P21="P",P21="RP"),"--","NO"))</f>
        <v>--</v>
      </c>
      <c r="T21" s="260">
        <f>IF(P21="P",K21*J21*ROUND(O21/60,2)*0.01,"--")</f>
        <v>1928.1923464003196</v>
      </c>
      <c r="U21" s="261" t="str">
        <f>IF(P21="RP",K21*J21*ROUND(O21/60,2)*0.01*Q21/100,"--")</f>
        <v>--</v>
      </c>
      <c r="V21" s="262" t="str">
        <f>IF(AND(P21="F",S21="NO"),K21*J21*IF(R21="SI",1.2,1),"--")</f>
        <v>--</v>
      </c>
      <c r="W21" s="263" t="str">
        <f>IF(AND(P21="F",O21&gt;=10),K21*J21*IF(R21="SI",1.2,1)*IF(O21&lt;=300,ROUND(O21/60,2),5),"--")</f>
        <v>--</v>
      </c>
      <c r="X21" s="264" t="str">
        <f>IF(AND(P21="F",O21&gt;300),(ROUND(O21/60,2)-5)*K21*J21*0.1*IF(R21="SI",1.2,1),"--")</f>
        <v>--</v>
      </c>
      <c r="Y21" s="265" t="str">
        <f>IF(AND(P21="R",S21="NO"),K21*J21*Q21/100*IF(R21="SI",1.2,1),"--")</f>
        <v>--</v>
      </c>
      <c r="Z21" s="266" t="str">
        <f>IF(AND(P21="R",O21&gt;=10),K21*J21*Q21/100*IF(R21="SI",1.2,1)*IF(O21&lt;=300,ROUND(O21/60,2),5),"--")</f>
        <v>--</v>
      </c>
      <c r="AA21" s="267" t="str">
        <f>IF(AND(P21="R",O21&gt;300),(ROUND(O21/60,2)-5)*K21*J21*0.1*Q21/100*IF(R21="SI",1.2,1),"--")</f>
        <v>--</v>
      </c>
      <c r="AB21" s="268" t="str">
        <f>IF(P21="RF",ROUND(O21/60,2)*K21*J21*0.1*IF(R21="SI",1.2,1),"--")</f>
        <v>--</v>
      </c>
      <c r="AC21" s="269" t="str">
        <f>IF(P21="RR",ROUND(O21/60,2)*K21*J21*0.1*Q21/100*IF(R21="SI",1.2,1),"--")</f>
        <v>--</v>
      </c>
      <c r="AD21" s="270" t="str">
        <f>IF(F21="","","SI")</f>
        <v>SI</v>
      </c>
      <c r="AE21" s="192">
        <f>IF(F21="","",SUM(T21:AC21)*IF(AD21="SI",1,2))</f>
        <v>1928.1923464003196</v>
      </c>
      <c r="AF21" s="193"/>
    </row>
    <row r="22" spans="2:32" s="8" customFormat="1" ht="16.5" customHeight="1">
      <c r="B22" s="55"/>
      <c r="C22" s="169">
        <v>20</v>
      </c>
      <c r="D22" s="169">
        <v>252040</v>
      </c>
      <c r="E22" s="259">
        <v>4790</v>
      </c>
      <c r="F22" s="194" t="s">
        <v>360</v>
      </c>
      <c r="G22" s="195">
        <v>500</v>
      </c>
      <c r="H22" s="196">
        <v>552.31</v>
      </c>
      <c r="I22" s="195" t="s">
        <v>258</v>
      </c>
      <c r="J22" s="172">
        <f>IF(I22="A",200,IF(I22="B",60,20))</f>
        <v>20</v>
      </c>
      <c r="K22" s="173">
        <f>IF(G22=500,IF(H22&lt;100,100*$G$14/100,H22*$G$14/100),IF(H22&lt;100,100*$G$15/100,H22*$G$15/100))</f>
        <v>839.8050289199999</v>
      </c>
      <c r="L22" s="197">
        <v>41176.30069444444</v>
      </c>
      <c r="M22" s="198">
        <v>41176.736805555556</v>
      </c>
      <c r="N22" s="176">
        <f>IF(F22="","",(M22-L22)*24)</f>
        <v>10.466666666732635</v>
      </c>
      <c r="O22" s="177">
        <f>IF(F22="","",ROUND((M22-L22)*24*60,0))</f>
        <v>628</v>
      </c>
      <c r="P22" s="178" t="s">
        <v>259</v>
      </c>
      <c r="Q22" s="179" t="str">
        <f>IF(F22="","","--")</f>
        <v>--</v>
      </c>
      <c r="R22" s="180" t="str">
        <f>IF(F22="","","NO")</f>
        <v>NO</v>
      </c>
      <c r="S22" s="180" t="str">
        <f>IF(F22="","",IF(OR(P22="P",P22="RP"),"--","NO"))</f>
        <v>--</v>
      </c>
      <c r="T22" s="260">
        <f>IF(P22="P",K22*J22*ROUND(O22/60,2)*0.01,"--")</f>
        <v>1758.55173055848</v>
      </c>
      <c r="U22" s="261" t="str">
        <f>IF(P22="RP",K22*J22*ROUND(O22/60,2)*0.01*Q22/100,"--")</f>
        <v>--</v>
      </c>
      <c r="V22" s="262" t="str">
        <f>IF(AND(P22="F",S22="NO"),K22*J22*IF(R22="SI",1.2,1),"--")</f>
        <v>--</v>
      </c>
      <c r="W22" s="263" t="str">
        <f>IF(AND(P22="F",O22&gt;=10),K22*J22*IF(R22="SI",1.2,1)*IF(O22&lt;=300,ROUND(O22/60,2),5),"--")</f>
        <v>--</v>
      </c>
      <c r="X22" s="264" t="str">
        <f>IF(AND(P22="F",O22&gt;300),(ROUND(O22/60,2)-5)*K22*J22*0.1*IF(R22="SI",1.2,1),"--")</f>
        <v>--</v>
      </c>
      <c r="Y22" s="265" t="str">
        <f>IF(AND(P22="R",S22="NO"),K22*J22*Q22/100*IF(R22="SI",1.2,1),"--")</f>
        <v>--</v>
      </c>
      <c r="Z22" s="266" t="str">
        <f>IF(AND(P22="R",O22&gt;=10),K22*J22*Q22/100*IF(R22="SI",1.2,1)*IF(O22&lt;=300,ROUND(O22/60,2),5),"--")</f>
        <v>--</v>
      </c>
      <c r="AA22" s="267" t="str">
        <f>IF(AND(P22="R",O22&gt;300),(ROUND(O22/60,2)-5)*K22*J22*0.1*Q22/100*IF(R22="SI",1.2,1),"--")</f>
        <v>--</v>
      </c>
      <c r="AB22" s="268" t="str">
        <f>IF(P22="RF",ROUND(O22/60,2)*K22*J22*0.1*IF(R22="SI",1.2,1),"--")</f>
        <v>--</v>
      </c>
      <c r="AC22" s="269" t="str">
        <f>IF(P22="RR",ROUND(O22/60,2)*K22*J22*0.1*Q22/100*IF(R22="SI",1.2,1),"--")</f>
        <v>--</v>
      </c>
      <c r="AD22" s="270" t="str">
        <f>IF(F22="","","SI")</f>
        <v>SI</v>
      </c>
      <c r="AE22" s="192">
        <f>IF(F22="","",SUM(T22:AC22)*IF(AD22="SI",1,2))</f>
        <v>1758.55173055848</v>
      </c>
      <c r="AF22" s="193"/>
    </row>
    <row r="23" spans="2:32" s="8" customFormat="1" ht="16.5" customHeight="1">
      <c r="B23" s="55"/>
      <c r="C23" s="169"/>
      <c r="D23" s="169"/>
      <c r="E23" s="169"/>
      <c r="F23" s="194"/>
      <c r="G23" s="195"/>
      <c r="H23" s="196"/>
      <c r="I23" s="195"/>
      <c r="J23" s="172"/>
      <c r="K23" s="173"/>
      <c r="L23" s="197"/>
      <c r="M23" s="198"/>
      <c r="N23" s="176"/>
      <c r="O23" s="177"/>
      <c r="P23" s="178"/>
      <c r="Q23" s="179"/>
      <c r="R23" s="180"/>
      <c r="S23" s="180"/>
      <c r="T23" s="260"/>
      <c r="U23" s="261"/>
      <c r="V23" s="262"/>
      <c r="W23" s="263"/>
      <c r="X23" s="264"/>
      <c r="Y23" s="265"/>
      <c r="Z23" s="266"/>
      <c r="AA23" s="267"/>
      <c r="AB23" s="268"/>
      <c r="AC23" s="269"/>
      <c r="AD23" s="270"/>
      <c r="AE23" s="192"/>
      <c r="AF23" s="193"/>
    </row>
    <row r="24" spans="2:32" s="8" customFormat="1" ht="16.5" customHeight="1">
      <c r="B24" s="55"/>
      <c r="C24" s="150"/>
      <c r="D24" s="150"/>
      <c r="E24" s="150"/>
      <c r="F24" s="194"/>
      <c r="G24" s="195"/>
      <c r="H24" s="196"/>
      <c r="I24" s="195"/>
      <c r="J24" s="172">
        <f aca="true" t="shared" si="0" ref="J24:J40">IF(I24="A",200,IF(I24="B",60,20))</f>
        <v>20</v>
      </c>
      <c r="K24" s="173" t="e">
        <f aca="true" t="shared" si="1" ref="K24:K40">IF(G24=500,IF(H24&lt;100,100*$G$14/100,H24*$G$14/100),IF(H24&lt;100,100*$G$15/100,H24*$G$15/100))</f>
        <v>#VALUE!</v>
      </c>
      <c r="L24" s="197"/>
      <c r="M24" s="198"/>
      <c r="N24" s="176">
        <f aca="true" t="shared" si="2" ref="N24:N40">IF(F24="","",(M24-L24)*24)</f>
      </c>
      <c r="O24" s="177">
        <f aca="true" t="shared" si="3" ref="O24:O40">IF(F24="","",ROUND((M24-L24)*24*60,0))</f>
      </c>
      <c r="P24" s="178"/>
      <c r="Q24" s="179">
        <f aca="true" t="shared" si="4" ref="Q24:Q40">IF(F24="","","--")</f>
      </c>
      <c r="R24" s="180">
        <f aca="true" t="shared" si="5" ref="R24:R40">IF(F24="","","NO")</f>
      </c>
      <c r="S24" s="180">
        <f aca="true" t="shared" si="6" ref="S24:S40">IF(F24="","",IF(OR(P24="P",P24="RP"),"--","NO"))</f>
      </c>
      <c r="T24" s="260" t="str">
        <f aca="true" t="shared" si="7" ref="T24:T40">IF(P24="P",K24*J24*ROUND(O24/60,2)*0.01,"--")</f>
        <v>--</v>
      </c>
      <c r="U24" s="261" t="str">
        <f aca="true" t="shared" si="8" ref="U24:U40">IF(P24="RP",K24*J24*ROUND(O24/60,2)*0.01*Q24/100,"--")</f>
        <v>--</v>
      </c>
      <c r="V24" s="262" t="str">
        <f aca="true" t="shared" si="9" ref="V24:V40">IF(AND(P24="F",S24="NO"),K24*J24*IF(R24="SI",1.2,1),"--")</f>
        <v>--</v>
      </c>
      <c r="W24" s="263" t="str">
        <f aca="true" t="shared" si="10" ref="W24:W40">IF(AND(P24="F",O24&gt;=10),K24*J24*IF(R24="SI",1.2,1)*IF(O24&lt;=300,ROUND(O24/60,2),5),"--")</f>
        <v>--</v>
      </c>
      <c r="X24" s="264" t="str">
        <f aca="true" t="shared" si="11" ref="X24:X40">IF(AND(P24="F",O24&gt;300),(ROUND(O24/60,2)-5)*K24*J24*0.1*IF(R24="SI",1.2,1),"--")</f>
        <v>--</v>
      </c>
      <c r="Y24" s="265" t="str">
        <f aca="true" t="shared" si="12" ref="Y24:Y40">IF(AND(P24="R",S24="NO"),K24*J24*Q24/100*IF(R24="SI",1.2,1),"--")</f>
        <v>--</v>
      </c>
      <c r="Z24" s="266" t="str">
        <f aca="true" t="shared" si="13" ref="Z24:Z40">IF(AND(P24="R",O24&gt;=10),K24*J24*Q24/100*IF(R24="SI",1.2,1)*IF(O24&lt;=300,ROUND(O24/60,2),5),"--")</f>
        <v>--</v>
      </c>
      <c r="AA24" s="267" t="str">
        <f aca="true" t="shared" si="14" ref="AA24:AA40">IF(AND(P24="R",O24&gt;300),(ROUND(O24/60,2)-5)*K24*J24*0.1*Q24/100*IF(R24="SI",1.2,1),"--")</f>
        <v>--</v>
      </c>
      <c r="AB24" s="268" t="str">
        <f aca="true" t="shared" si="15" ref="AB24:AB40">IF(P24="RF",ROUND(O24/60,2)*K24*J24*0.1*IF(R24="SI",1.2,1),"--")</f>
        <v>--</v>
      </c>
      <c r="AC24" s="269" t="str">
        <f aca="true" t="shared" si="16" ref="AC24:AC40">IF(P24="RR",ROUND(O24/60,2)*K24*J24*0.1*Q24/100*IF(R24="SI",1.2,1),"--")</f>
        <v>--</v>
      </c>
      <c r="AD24" s="270">
        <f aca="true" t="shared" si="17" ref="AD24:AD40">IF(F24="","","SI")</f>
      </c>
      <c r="AE24" s="192">
        <f aca="true" t="shared" si="18" ref="AE24:AE40">IF(F24="","",SUM(T24:AC24)*IF(AD24="SI",1,2))</f>
      </c>
      <c r="AF24" s="193"/>
    </row>
    <row r="25" spans="2:32" s="8" customFormat="1" ht="16.5" customHeight="1">
      <c r="B25" s="55"/>
      <c r="C25" s="169"/>
      <c r="D25" s="150"/>
      <c r="E25" s="150"/>
      <c r="F25" s="194"/>
      <c r="G25" s="195"/>
      <c r="H25" s="196"/>
      <c r="I25" s="195"/>
      <c r="J25" s="172">
        <f t="shared" si="0"/>
        <v>20</v>
      </c>
      <c r="K25" s="173" t="e">
        <f t="shared" si="1"/>
        <v>#VALUE!</v>
      </c>
      <c r="L25" s="197"/>
      <c r="M25" s="198"/>
      <c r="N25" s="176">
        <f t="shared" si="2"/>
      </c>
      <c r="O25" s="177">
        <f t="shared" si="3"/>
      </c>
      <c r="P25" s="178"/>
      <c r="Q25" s="179">
        <f t="shared" si="4"/>
      </c>
      <c r="R25" s="180">
        <f t="shared" si="5"/>
      </c>
      <c r="S25" s="180">
        <f t="shared" si="6"/>
      </c>
      <c r="T25" s="260" t="str">
        <f t="shared" si="7"/>
        <v>--</v>
      </c>
      <c r="U25" s="261" t="str">
        <f t="shared" si="8"/>
        <v>--</v>
      </c>
      <c r="V25" s="262" t="str">
        <f t="shared" si="9"/>
        <v>--</v>
      </c>
      <c r="W25" s="263" t="str">
        <f t="shared" si="10"/>
        <v>--</v>
      </c>
      <c r="X25" s="264" t="str">
        <f t="shared" si="11"/>
        <v>--</v>
      </c>
      <c r="Y25" s="265" t="str">
        <f t="shared" si="12"/>
        <v>--</v>
      </c>
      <c r="Z25" s="266" t="str">
        <f t="shared" si="13"/>
        <v>--</v>
      </c>
      <c r="AA25" s="267" t="str">
        <f t="shared" si="14"/>
        <v>--</v>
      </c>
      <c r="AB25" s="268" t="str">
        <f t="shared" si="15"/>
        <v>--</v>
      </c>
      <c r="AC25" s="269" t="str">
        <f t="shared" si="16"/>
        <v>--</v>
      </c>
      <c r="AD25" s="270">
        <f t="shared" si="17"/>
      </c>
      <c r="AE25" s="192">
        <f t="shared" si="18"/>
      </c>
      <c r="AF25" s="193"/>
    </row>
    <row r="26" spans="2:32" s="8" customFormat="1" ht="16.5" customHeight="1">
      <c r="B26" s="55"/>
      <c r="C26" s="150"/>
      <c r="D26" s="150"/>
      <c r="E26" s="150"/>
      <c r="F26" s="169"/>
      <c r="G26" s="170"/>
      <c r="H26" s="171"/>
      <c r="I26" s="170"/>
      <c r="J26" s="172">
        <f t="shared" si="0"/>
        <v>20</v>
      </c>
      <c r="K26" s="173" t="e">
        <f t="shared" si="1"/>
        <v>#VALUE!</v>
      </c>
      <c r="L26" s="174"/>
      <c r="M26" s="175"/>
      <c r="N26" s="176">
        <f t="shared" si="2"/>
      </c>
      <c r="O26" s="177">
        <f t="shared" si="3"/>
      </c>
      <c r="P26" s="178"/>
      <c r="Q26" s="179">
        <f t="shared" si="4"/>
      </c>
      <c r="R26" s="180">
        <f t="shared" si="5"/>
      </c>
      <c r="S26" s="180">
        <f t="shared" si="6"/>
      </c>
      <c r="T26" s="260" t="str">
        <f t="shared" si="7"/>
        <v>--</v>
      </c>
      <c r="U26" s="261" t="str">
        <f t="shared" si="8"/>
        <v>--</v>
      </c>
      <c r="V26" s="262" t="str">
        <f t="shared" si="9"/>
        <v>--</v>
      </c>
      <c r="W26" s="263" t="str">
        <f t="shared" si="10"/>
        <v>--</v>
      </c>
      <c r="X26" s="264" t="str">
        <f t="shared" si="11"/>
        <v>--</v>
      </c>
      <c r="Y26" s="265" t="str">
        <f t="shared" si="12"/>
        <v>--</v>
      </c>
      <c r="Z26" s="266" t="str">
        <f t="shared" si="13"/>
        <v>--</v>
      </c>
      <c r="AA26" s="267" t="str">
        <f t="shared" si="14"/>
        <v>--</v>
      </c>
      <c r="AB26" s="268" t="str">
        <f t="shared" si="15"/>
        <v>--</v>
      </c>
      <c r="AC26" s="269" t="str">
        <f t="shared" si="16"/>
        <v>--</v>
      </c>
      <c r="AD26" s="191">
        <f t="shared" si="17"/>
      </c>
      <c r="AE26" s="192">
        <f t="shared" si="18"/>
      </c>
      <c r="AF26" s="193"/>
    </row>
    <row r="27" spans="2:32" s="8" customFormat="1" ht="16.5" customHeight="1">
      <c r="B27" s="55"/>
      <c r="C27" s="169"/>
      <c r="D27" s="169"/>
      <c r="E27" s="169"/>
      <c r="F27" s="199"/>
      <c r="G27" s="200"/>
      <c r="H27" s="201"/>
      <c r="I27" s="200"/>
      <c r="J27" s="172">
        <f t="shared" si="0"/>
        <v>20</v>
      </c>
      <c r="K27" s="173" t="e">
        <f t="shared" si="1"/>
        <v>#VALUE!</v>
      </c>
      <c r="L27" s="202"/>
      <c r="M27" s="203"/>
      <c r="N27" s="176">
        <f t="shared" si="2"/>
      </c>
      <c r="O27" s="177">
        <f t="shared" si="3"/>
      </c>
      <c r="P27" s="178"/>
      <c r="Q27" s="179">
        <f t="shared" si="4"/>
      </c>
      <c r="R27" s="180">
        <f t="shared" si="5"/>
      </c>
      <c r="S27" s="180">
        <f t="shared" si="6"/>
      </c>
      <c r="T27" s="260" t="str">
        <f t="shared" si="7"/>
        <v>--</v>
      </c>
      <c r="U27" s="261" t="str">
        <f t="shared" si="8"/>
        <v>--</v>
      </c>
      <c r="V27" s="262" t="str">
        <f t="shared" si="9"/>
        <v>--</v>
      </c>
      <c r="W27" s="263" t="str">
        <f t="shared" si="10"/>
        <v>--</v>
      </c>
      <c r="X27" s="264" t="str">
        <f t="shared" si="11"/>
        <v>--</v>
      </c>
      <c r="Y27" s="265" t="str">
        <f t="shared" si="12"/>
        <v>--</v>
      </c>
      <c r="Z27" s="266" t="str">
        <f t="shared" si="13"/>
        <v>--</v>
      </c>
      <c r="AA27" s="267" t="str">
        <f t="shared" si="14"/>
        <v>--</v>
      </c>
      <c r="AB27" s="268" t="str">
        <f t="shared" si="15"/>
        <v>--</v>
      </c>
      <c r="AC27" s="269" t="str">
        <f t="shared" si="16"/>
        <v>--</v>
      </c>
      <c r="AD27" s="191">
        <f t="shared" si="17"/>
      </c>
      <c r="AE27" s="192">
        <f t="shared" si="18"/>
      </c>
      <c r="AF27" s="193"/>
    </row>
    <row r="28" spans="2:32" s="8" customFormat="1" ht="16.5" customHeight="1">
      <c r="B28" s="55"/>
      <c r="C28" s="150"/>
      <c r="D28" s="150"/>
      <c r="E28" s="150"/>
      <c r="F28" s="199"/>
      <c r="G28" s="200"/>
      <c r="H28" s="201"/>
      <c r="I28" s="200"/>
      <c r="J28" s="172">
        <f t="shared" si="0"/>
        <v>20</v>
      </c>
      <c r="K28" s="173" t="e">
        <f t="shared" si="1"/>
        <v>#VALUE!</v>
      </c>
      <c r="L28" s="202"/>
      <c r="M28" s="203"/>
      <c r="N28" s="176">
        <f t="shared" si="2"/>
      </c>
      <c r="O28" s="177">
        <f t="shared" si="3"/>
      </c>
      <c r="P28" s="178"/>
      <c r="Q28" s="179">
        <f t="shared" si="4"/>
      </c>
      <c r="R28" s="180">
        <f t="shared" si="5"/>
      </c>
      <c r="S28" s="180">
        <f t="shared" si="6"/>
      </c>
      <c r="T28" s="260" t="str">
        <f t="shared" si="7"/>
        <v>--</v>
      </c>
      <c r="U28" s="261" t="str">
        <f t="shared" si="8"/>
        <v>--</v>
      </c>
      <c r="V28" s="262" t="str">
        <f t="shared" si="9"/>
        <v>--</v>
      </c>
      <c r="W28" s="263" t="str">
        <f t="shared" si="10"/>
        <v>--</v>
      </c>
      <c r="X28" s="264" t="str">
        <f t="shared" si="11"/>
        <v>--</v>
      </c>
      <c r="Y28" s="265" t="str">
        <f t="shared" si="12"/>
        <v>--</v>
      </c>
      <c r="Z28" s="266" t="str">
        <f t="shared" si="13"/>
        <v>--</v>
      </c>
      <c r="AA28" s="267" t="str">
        <f t="shared" si="14"/>
        <v>--</v>
      </c>
      <c r="AB28" s="268" t="str">
        <f t="shared" si="15"/>
        <v>--</v>
      </c>
      <c r="AC28" s="269" t="str">
        <f t="shared" si="16"/>
        <v>--</v>
      </c>
      <c r="AD28" s="191">
        <f t="shared" si="17"/>
      </c>
      <c r="AE28" s="192">
        <f t="shared" si="18"/>
      </c>
      <c r="AF28" s="193"/>
    </row>
    <row r="29" spans="2:32" s="8" customFormat="1" ht="16.5" customHeight="1">
      <c r="B29" s="55"/>
      <c r="C29" s="169"/>
      <c r="D29" s="169"/>
      <c r="E29" s="169"/>
      <c r="F29" s="199"/>
      <c r="G29" s="200"/>
      <c r="H29" s="201"/>
      <c r="I29" s="200"/>
      <c r="J29" s="172">
        <f t="shared" si="0"/>
        <v>20</v>
      </c>
      <c r="K29" s="173" t="e">
        <f t="shared" si="1"/>
        <v>#VALUE!</v>
      </c>
      <c r="L29" s="202"/>
      <c r="M29" s="203"/>
      <c r="N29" s="176">
        <f t="shared" si="2"/>
      </c>
      <c r="O29" s="177">
        <f t="shared" si="3"/>
      </c>
      <c r="P29" s="178"/>
      <c r="Q29" s="179">
        <f t="shared" si="4"/>
      </c>
      <c r="R29" s="180">
        <f t="shared" si="5"/>
      </c>
      <c r="S29" s="180">
        <f t="shared" si="6"/>
      </c>
      <c r="T29" s="260" t="str">
        <f t="shared" si="7"/>
        <v>--</v>
      </c>
      <c r="U29" s="261" t="str">
        <f t="shared" si="8"/>
        <v>--</v>
      </c>
      <c r="V29" s="262" t="str">
        <f t="shared" si="9"/>
        <v>--</v>
      </c>
      <c r="W29" s="263" t="str">
        <f t="shared" si="10"/>
        <v>--</v>
      </c>
      <c r="X29" s="264" t="str">
        <f t="shared" si="11"/>
        <v>--</v>
      </c>
      <c r="Y29" s="265" t="str">
        <f t="shared" si="12"/>
        <v>--</v>
      </c>
      <c r="Z29" s="266" t="str">
        <f t="shared" si="13"/>
        <v>--</v>
      </c>
      <c r="AA29" s="267" t="str">
        <f t="shared" si="14"/>
        <v>--</v>
      </c>
      <c r="AB29" s="268" t="str">
        <f t="shared" si="15"/>
        <v>--</v>
      </c>
      <c r="AC29" s="269" t="str">
        <f t="shared" si="16"/>
        <v>--</v>
      </c>
      <c r="AD29" s="191">
        <f t="shared" si="17"/>
      </c>
      <c r="AE29" s="192">
        <f t="shared" si="18"/>
      </c>
      <c r="AF29" s="193"/>
    </row>
    <row r="30" spans="2:32" s="8" customFormat="1" ht="16.5" customHeight="1">
      <c r="B30" s="55"/>
      <c r="C30" s="150"/>
      <c r="D30" s="150"/>
      <c r="E30" s="150"/>
      <c r="F30" s="199"/>
      <c r="G30" s="200"/>
      <c r="H30" s="201"/>
      <c r="I30" s="200"/>
      <c r="J30" s="172">
        <f t="shared" si="0"/>
        <v>20</v>
      </c>
      <c r="K30" s="173" t="e">
        <f t="shared" si="1"/>
        <v>#VALUE!</v>
      </c>
      <c r="L30" s="202"/>
      <c r="M30" s="203"/>
      <c r="N30" s="176">
        <f t="shared" si="2"/>
      </c>
      <c r="O30" s="177">
        <f t="shared" si="3"/>
      </c>
      <c r="P30" s="178"/>
      <c r="Q30" s="179">
        <f t="shared" si="4"/>
      </c>
      <c r="R30" s="180">
        <f t="shared" si="5"/>
      </c>
      <c r="S30" s="180">
        <f t="shared" si="6"/>
      </c>
      <c r="T30" s="260" t="str">
        <f t="shared" si="7"/>
        <v>--</v>
      </c>
      <c r="U30" s="261" t="str">
        <f t="shared" si="8"/>
        <v>--</v>
      </c>
      <c r="V30" s="262" t="str">
        <f t="shared" si="9"/>
        <v>--</v>
      </c>
      <c r="W30" s="263" t="str">
        <f t="shared" si="10"/>
        <v>--</v>
      </c>
      <c r="X30" s="264" t="str">
        <f t="shared" si="11"/>
        <v>--</v>
      </c>
      <c r="Y30" s="265" t="str">
        <f t="shared" si="12"/>
        <v>--</v>
      </c>
      <c r="Z30" s="266" t="str">
        <f t="shared" si="13"/>
        <v>--</v>
      </c>
      <c r="AA30" s="267" t="str">
        <f t="shared" si="14"/>
        <v>--</v>
      </c>
      <c r="AB30" s="268" t="str">
        <f t="shared" si="15"/>
        <v>--</v>
      </c>
      <c r="AC30" s="269" t="str">
        <f t="shared" si="16"/>
        <v>--</v>
      </c>
      <c r="AD30" s="191">
        <f t="shared" si="17"/>
      </c>
      <c r="AE30" s="192">
        <f t="shared" si="18"/>
      </c>
      <c r="AF30" s="193"/>
    </row>
    <row r="31" spans="2:32" s="8" customFormat="1" ht="16.5" customHeight="1">
      <c r="B31" s="55"/>
      <c r="C31" s="169"/>
      <c r="D31" s="169"/>
      <c r="E31" s="169"/>
      <c r="F31" s="199"/>
      <c r="G31" s="200"/>
      <c r="H31" s="201"/>
      <c r="I31" s="200"/>
      <c r="J31" s="172">
        <f t="shared" si="0"/>
        <v>20</v>
      </c>
      <c r="K31" s="173" t="e">
        <f t="shared" si="1"/>
        <v>#VALUE!</v>
      </c>
      <c r="L31" s="202"/>
      <c r="M31" s="203"/>
      <c r="N31" s="176">
        <f t="shared" si="2"/>
      </c>
      <c r="O31" s="177">
        <f t="shared" si="3"/>
      </c>
      <c r="P31" s="178"/>
      <c r="Q31" s="179">
        <f t="shared" si="4"/>
      </c>
      <c r="R31" s="180">
        <f t="shared" si="5"/>
      </c>
      <c r="S31" s="180">
        <f t="shared" si="6"/>
      </c>
      <c r="T31" s="260" t="str">
        <f t="shared" si="7"/>
        <v>--</v>
      </c>
      <c r="U31" s="261" t="str">
        <f t="shared" si="8"/>
        <v>--</v>
      </c>
      <c r="V31" s="262" t="str">
        <f t="shared" si="9"/>
        <v>--</v>
      </c>
      <c r="W31" s="263" t="str">
        <f t="shared" si="10"/>
        <v>--</v>
      </c>
      <c r="X31" s="264" t="str">
        <f t="shared" si="11"/>
        <v>--</v>
      </c>
      <c r="Y31" s="265" t="str">
        <f t="shared" si="12"/>
        <v>--</v>
      </c>
      <c r="Z31" s="266" t="str">
        <f t="shared" si="13"/>
        <v>--</v>
      </c>
      <c r="AA31" s="267" t="str">
        <f t="shared" si="14"/>
        <v>--</v>
      </c>
      <c r="AB31" s="268" t="str">
        <f t="shared" si="15"/>
        <v>--</v>
      </c>
      <c r="AC31" s="269" t="str">
        <f t="shared" si="16"/>
        <v>--</v>
      </c>
      <c r="AD31" s="191">
        <f t="shared" si="17"/>
      </c>
      <c r="AE31" s="192">
        <f t="shared" si="18"/>
      </c>
      <c r="AF31" s="193"/>
    </row>
    <row r="32" spans="2:32" s="8" customFormat="1" ht="16.5" customHeight="1">
      <c r="B32" s="55"/>
      <c r="C32" s="150"/>
      <c r="D32" s="150"/>
      <c r="E32" s="150"/>
      <c r="F32" s="199"/>
      <c r="G32" s="200"/>
      <c r="H32" s="201"/>
      <c r="I32" s="200"/>
      <c r="J32" s="172">
        <f t="shared" si="0"/>
        <v>20</v>
      </c>
      <c r="K32" s="173" t="e">
        <f t="shared" si="1"/>
        <v>#VALUE!</v>
      </c>
      <c r="L32" s="202"/>
      <c r="M32" s="204"/>
      <c r="N32" s="176">
        <f t="shared" si="2"/>
      </c>
      <c r="O32" s="177">
        <f t="shared" si="3"/>
      </c>
      <c r="P32" s="178"/>
      <c r="Q32" s="179">
        <f t="shared" si="4"/>
      </c>
      <c r="R32" s="180">
        <f t="shared" si="5"/>
      </c>
      <c r="S32" s="180">
        <f t="shared" si="6"/>
      </c>
      <c r="T32" s="260" t="str">
        <f t="shared" si="7"/>
        <v>--</v>
      </c>
      <c r="U32" s="261" t="str">
        <f t="shared" si="8"/>
        <v>--</v>
      </c>
      <c r="V32" s="262" t="str">
        <f t="shared" si="9"/>
        <v>--</v>
      </c>
      <c r="W32" s="263" t="str">
        <f t="shared" si="10"/>
        <v>--</v>
      </c>
      <c r="X32" s="264" t="str">
        <f t="shared" si="11"/>
        <v>--</v>
      </c>
      <c r="Y32" s="265" t="str">
        <f t="shared" si="12"/>
        <v>--</v>
      </c>
      <c r="Z32" s="266" t="str">
        <f t="shared" si="13"/>
        <v>--</v>
      </c>
      <c r="AA32" s="267" t="str">
        <f t="shared" si="14"/>
        <v>--</v>
      </c>
      <c r="AB32" s="268" t="str">
        <f t="shared" si="15"/>
        <v>--</v>
      </c>
      <c r="AC32" s="269" t="str">
        <f t="shared" si="16"/>
        <v>--</v>
      </c>
      <c r="AD32" s="191">
        <f t="shared" si="17"/>
      </c>
      <c r="AE32" s="192">
        <f t="shared" si="18"/>
      </c>
      <c r="AF32" s="193"/>
    </row>
    <row r="33" spans="2:32" s="8" customFormat="1" ht="16.5" customHeight="1">
      <c r="B33" s="55"/>
      <c r="C33" s="169"/>
      <c r="D33" s="169"/>
      <c r="E33" s="169"/>
      <c r="F33" s="199"/>
      <c r="G33" s="200"/>
      <c r="H33" s="201"/>
      <c r="I33" s="200"/>
      <c r="J33" s="172">
        <f t="shared" si="0"/>
        <v>20</v>
      </c>
      <c r="K33" s="173" t="e">
        <f t="shared" si="1"/>
        <v>#VALUE!</v>
      </c>
      <c r="L33" s="202"/>
      <c r="M33" s="204"/>
      <c r="N33" s="176">
        <f t="shared" si="2"/>
      </c>
      <c r="O33" s="177">
        <f t="shared" si="3"/>
      </c>
      <c r="P33" s="178"/>
      <c r="Q33" s="179">
        <f t="shared" si="4"/>
      </c>
      <c r="R33" s="180">
        <f t="shared" si="5"/>
      </c>
      <c r="S33" s="180">
        <f t="shared" si="6"/>
      </c>
      <c r="T33" s="260" t="str">
        <f t="shared" si="7"/>
        <v>--</v>
      </c>
      <c r="U33" s="261" t="str">
        <f t="shared" si="8"/>
        <v>--</v>
      </c>
      <c r="V33" s="262" t="str">
        <f t="shared" si="9"/>
        <v>--</v>
      </c>
      <c r="W33" s="263" t="str">
        <f t="shared" si="10"/>
        <v>--</v>
      </c>
      <c r="X33" s="264" t="str">
        <f t="shared" si="11"/>
        <v>--</v>
      </c>
      <c r="Y33" s="265" t="str">
        <f t="shared" si="12"/>
        <v>--</v>
      </c>
      <c r="Z33" s="266" t="str">
        <f t="shared" si="13"/>
        <v>--</v>
      </c>
      <c r="AA33" s="267" t="str">
        <f t="shared" si="14"/>
        <v>--</v>
      </c>
      <c r="AB33" s="268" t="str">
        <f t="shared" si="15"/>
        <v>--</v>
      </c>
      <c r="AC33" s="269" t="str">
        <f t="shared" si="16"/>
        <v>--</v>
      </c>
      <c r="AD33" s="191">
        <f t="shared" si="17"/>
      </c>
      <c r="AE33" s="192">
        <f t="shared" si="18"/>
      </c>
      <c r="AF33" s="193"/>
    </row>
    <row r="34" spans="2:32" s="8" customFormat="1" ht="16.5" customHeight="1">
      <c r="B34" s="55"/>
      <c r="C34" s="150"/>
      <c r="D34" s="150"/>
      <c r="E34" s="150"/>
      <c r="F34" s="199"/>
      <c r="G34" s="200"/>
      <c r="H34" s="201"/>
      <c r="I34" s="200"/>
      <c r="J34" s="172">
        <f t="shared" si="0"/>
        <v>20</v>
      </c>
      <c r="K34" s="173" t="e">
        <f t="shared" si="1"/>
        <v>#VALUE!</v>
      </c>
      <c r="L34" s="202"/>
      <c r="M34" s="204"/>
      <c r="N34" s="176">
        <f t="shared" si="2"/>
      </c>
      <c r="O34" s="177">
        <f t="shared" si="3"/>
      </c>
      <c r="P34" s="178"/>
      <c r="Q34" s="179">
        <f t="shared" si="4"/>
      </c>
      <c r="R34" s="180">
        <f t="shared" si="5"/>
      </c>
      <c r="S34" s="180">
        <f t="shared" si="6"/>
      </c>
      <c r="T34" s="260" t="str">
        <f t="shared" si="7"/>
        <v>--</v>
      </c>
      <c r="U34" s="261" t="str">
        <f t="shared" si="8"/>
        <v>--</v>
      </c>
      <c r="V34" s="262" t="str">
        <f t="shared" si="9"/>
        <v>--</v>
      </c>
      <c r="W34" s="263" t="str">
        <f t="shared" si="10"/>
        <v>--</v>
      </c>
      <c r="X34" s="264" t="str">
        <f t="shared" si="11"/>
        <v>--</v>
      </c>
      <c r="Y34" s="265" t="str">
        <f t="shared" si="12"/>
        <v>--</v>
      </c>
      <c r="Z34" s="266" t="str">
        <f t="shared" si="13"/>
        <v>--</v>
      </c>
      <c r="AA34" s="267" t="str">
        <f t="shared" si="14"/>
        <v>--</v>
      </c>
      <c r="AB34" s="268" t="str">
        <f t="shared" si="15"/>
        <v>--</v>
      </c>
      <c r="AC34" s="269" t="str">
        <f t="shared" si="16"/>
        <v>--</v>
      </c>
      <c r="AD34" s="191">
        <f t="shared" si="17"/>
      </c>
      <c r="AE34" s="192">
        <f t="shared" si="18"/>
      </c>
      <c r="AF34" s="193"/>
    </row>
    <row r="35" spans="2:32" s="8" customFormat="1" ht="16.5" customHeight="1">
      <c r="B35" s="55"/>
      <c r="C35" s="169"/>
      <c r="D35" s="169"/>
      <c r="E35" s="169"/>
      <c r="F35" s="199"/>
      <c r="G35" s="200"/>
      <c r="H35" s="201"/>
      <c r="I35" s="200"/>
      <c r="J35" s="172">
        <f t="shared" si="0"/>
        <v>20</v>
      </c>
      <c r="K35" s="173" t="e">
        <f t="shared" si="1"/>
        <v>#VALUE!</v>
      </c>
      <c r="L35" s="202"/>
      <c r="M35" s="204"/>
      <c r="N35" s="176">
        <f t="shared" si="2"/>
      </c>
      <c r="O35" s="177">
        <f t="shared" si="3"/>
      </c>
      <c r="P35" s="178"/>
      <c r="Q35" s="179">
        <f t="shared" si="4"/>
      </c>
      <c r="R35" s="180">
        <f t="shared" si="5"/>
      </c>
      <c r="S35" s="180">
        <f t="shared" si="6"/>
      </c>
      <c r="T35" s="260" t="str">
        <f t="shared" si="7"/>
        <v>--</v>
      </c>
      <c r="U35" s="261" t="str">
        <f t="shared" si="8"/>
        <v>--</v>
      </c>
      <c r="V35" s="262" t="str">
        <f t="shared" si="9"/>
        <v>--</v>
      </c>
      <c r="W35" s="263" t="str">
        <f t="shared" si="10"/>
        <v>--</v>
      </c>
      <c r="X35" s="264" t="str">
        <f t="shared" si="11"/>
        <v>--</v>
      </c>
      <c r="Y35" s="265" t="str">
        <f t="shared" si="12"/>
        <v>--</v>
      </c>
      <c r="Z35" s="266" t="str">
        <f t="shared" si="13"/>
        <v>--</v>
      </c>
      <c r="AA35" s="267" t="str">
        <f t="shared" si="14"/>
        <v>--</v>
      </c>
      <c r="AB35" s="268" t="str">
        <f t="shared" si="15"/>
        <v>--</v>
      </c>
      <c r="AC35" s="269" t="str">
        <f t="shared" si="16"/>
        <v>--</v>
      </c>
      <c r="AD35" s="191">
        <f t="shared" si="17"/>
      </c>
      <c r="AE35" s="192">
        <f t="shared" si="18"/>
      </c>
      <c r="AF35" s="193"/>
    </row>
    <row r="36" spans="2:32" s="8" customFormat="1" ht="16.5" customHeight="1">
      <c r="B36" s="55"/>
      <c r="C36" s="150"/>
      <c r="D36" s="150"/>
      <c r="E36" s="150"/>
      <c r="F36" s="199"/>
      <c r="G36" s="200"/>
      <c r="H36" s="201"/>
      <c r="I36" s="200"/>
      <c r="J36" s="172">
        <f t="shared" si="0"/>
        <v>20</v>
      </c>
      <c r="K36" s="173" t="e">
        <f t="shared" si="1"/>
        <v>#VALUE!</v>
      </c>
      <c r="L36" s="202"/>
      <c r="M36" s="204"/>
      <c r="N36" s="176">
        <f t="shared" si="2"/>
      </c>
      <c r="O36" s="177">
        <f t="shared" si="3"/>
      </c>
      <c r="P36" s="178"/>
      <c r="Q36" s="179">
        <f t="shared" si="4"/>
      </c>
      <c r="R36" s="180">
        <f t="shared" si="5"/>
      </c>
      <c r="S36" s="180">
        <f t="shared" si="6"/>
      </c>
      <c r="T36" s="260" t="str">
        <f t="shared" si="7"/>
        <v>--</v>
      </c>
      <c r="U36" s="261" t="str">
        <f t="shared" si="8"/>
        <v>--</v>
      </c>
      <c r="V36" s="262" t="str">
        <f t="shared" si="9"/>
        <v>--</v>
      </c>
      <c r="W36" s="263" t="str">
        <f t="shared" si="10"/>
        <v>--</v>
      </c>
      <c r="X36" s="264" t="str">
        <f t="shared" si="11"/>
        <v>--</v>
      </c>
      <c r="Y36" s="265" t="str">
        <f t="shared" si="12"/>
        <v>--</v>
      </c>
      <c r="Z36" s="266" t="str">
        <f t="shared" si="13"/>
        <v>--</v>
      </c>
      <c r="AA36" s="267" t="str">
        <f t="shared" si="14"/>
        <v>--</v>
      </c>
      <c r="AB36" s="268" t="str">
        <f t="shared" si="15"/>
        <v>--</v>
      </c>
      <c r="AC36" s="269" t="str">
        <f t="shared" si="16"/>
        <v>--</v>
      </c>
      <c r="AD36" s="191">
        <f t="shared" si="17"/>
      </c>
      <c r="AE36" s="192">
        <f t="shared" si="18"/>
      </c>
      <c r="AF36" s="193"/>
    </row>
    <row r="37" spans="2:32" s="8" customFormat="1" ht="16.5" customHeight="1">
      <c r="B37" s="55"/>
      <c r="C37" s="169"/>
      <c r="D37" s="169"/>
      <c r="E37" s="169"/>
      <c r="F37" s="199"/>
      <c r="G37" s="200"/>
      <c r="H37" s="201"/>
      <c r="I37" s="200"/>
      <c r="J37" s="172">
        <f t="shared" si="0"/>
        <v>20</v>
      </c>
      <c r="K37" s="173" t="e">
        <f t="shared" si="1"/>
        <v>#VALUE!</v>
      </c>
      <c r="L37" s="202"/>
      <c r="M37" s="204"/>
      <c r="N37" s="176">
        <f t="shared" si="2"/>
      </c>
      <c r="O37" s="177">
        <f t="shared" si="3"/>
      </c>
      <c r="P37" s="178"/>
      <c r="Q37" s="179">
        <f t="shared" si="4"/>
      </c>
      <c r="R37" s="180">
        <f t="shared" si="5"/>
      </c>
      <c r="S37" s="180">
        <f t="shared" si="6"/>
      </c>
      <c r="T37" s="260" t="str">
        <f t="shared" si="7"/>
        <v>--</v>
      </c>
      <c r="U37" s="261" t="str">
        <f t="shared" si="8"/>
        <v>--</v>
      </c>
      <c r="V37" s="262" t="str">
        <f t="shared" si="9"/>
        <v>--</v>
      </c>
      <c r="W37" s="263" t="str">
        <f t="shared" si="10"/>
        <v>--</v>
      </c>
      <c r="X37" s="264" t="str">
        <f t="shared" si="11"/>
        <v>--</v>
      </c>
      <c r="Y37" s="265" t="str">
        <f t="shared" si="12"/>
        <v>--</v>
      </c>
      <c r="Z37" s="266" t="str">
        <f t="shared" si="13"/>
        <v>--</v>
      </c>
      <c r="AA37" s="267" t="str">
        <f t="shared" si="14"/>
        <v>--</v>
      </c>
      <c r="AB37" s="268" t="str">
        <f t="shared" si="15"/>
        <v>--</v>
      </c>
      <c r="AC37" s="269" t="str">
        <f t="shared" si="16"/>
        <v>--</v>
      </c>
      <c r="AD37" s="191">
        <f t="shared" si="17"/>
      </c>
      <c r="AE37" s="192">
        <f t="shared" si="18"/>
      </c>
      <c r="AF37" s="193"/>
    </row>
    <row r="38" spans="2:32" s="8" customFormat="1" ht="16.5" customHeight="1">
      <c r="B38" s="55"/>
      <c r="C38" s="150"/>
      <c r="D38" s="150"/>
      <c r="E38" s="150"/>
      <c r="F38" s="199"/>
      <c r="G38" s="200"/>
      <c r="H38" s="201"/>
      <c r="I38" s="200"/>
      <c r="J38" s="172">
        <f t="shared" si="0"/>
        <v>20</v>
      </c>
      <c r="K38" s="173" t="e">
        <f t="shared" si="1"/>
        <v>#VALUE!</v>
      </c>
      <c r="L38" s="202"/>
      <c r="M38" s="204"/>
      <c r="N38" s="176">
        <f t="shared" si="2"/>
      </c>
      <c r="O38" s="177">
        <f t="shared" si="3"/>
      </c>
      <c r="P38" s="178"/>
      <c r="Q38" s="179">
        <f t="shared" si="4"/>
      </c>
      <c r="R38" s="180">
        <f t="shared" si="5"/>
      </c>
      <c r="S38" s="180">
        <f t="shared" si="6"/>
      </c>
      <c r="T38" s="260" t="str">
        <f t="shared" si="7"/>
        <v>--</v>
      </c>
      <c r="U38" s="261" t="str">
        <f t="shared" si="8"/>
        <v>--</v>
      </c>
      <c r="V38" s="262" t="str">
        <f t="shared" si="9"/>
        <v>--</v>
      </c>
      <c r="W38" s="263" t="str">
        <f t="shared" si="10"/>
        <v>--</v>
      </c>
      <c r="X38" s="264" t="str">
        <f t="shared" si="11"/>
        <v>--</v>
      </c>
      <c r="Y38" s="265" t="str">
        <f t="shared" si="12"/>
        <v>--</v>
      </c>
      <c r="Z38" s="266" t="str">
        <f t="shared" si="13"/>
        <v>--</v>
      </c>
      <c r="AA38" s="267" t="str">
        <f t="shared" si="14"/>
        <v>--</v>
      </c>
      <c r="AB38" s="268" t="str">
        <f t="shared" si="15"/>
        <v>--</v>
      </c>
      <c r="AC38" s="269" t="str">
        <f t="shared" si="16"/>
        <v>--</v>
      </c>
      <c r="AD38" s="191">
        <f t="shared" si="17"/>
      </c>
      <c r="AE38" s="192">
        <f t="shared" si="18"/>
      </c>
      <c r="AF38" s="193"/>
    </row>
    <row r="39" spans="2:32" s="8" customFormat="1" ht="16.5" customHeight="1">
      <c r="B39" s="55"/>
      <c r="C39" s="169"/>
      <c r="D39" s="169"/>
      <c r="E39" s="169"/>
      <c r="F39" s="199"/>
      <c r="G39" s="200"/>
      <c r="H39" s="201"/>
      <c r="I39" s="200"/>
      <c r="J39" s="172">
        <f t="shared" si="0"/>
        <v>20</v>
      </c>
      <c r="K39" s="173" t="e">
        <f t="shared" si="1"/>
        <v>#VALUE!</v>
      </c>
      <c r="L39" s="202"/>
      <c r="M39" s="204"/>
      <c r="N39" s="176">
        <f t="shared" si="2"/>
      </c>
      <c r="O39" s="177">
        <f t="shared" si="3"/>
      </c>
      <c r="P39" s="178"/>
      <c r="Q39" s="179">
        <f t="shared" si="4"/>
      </c>
      <c r="R39" s="180">
        <f t="shared" si="5"/>
      </c>
      <c r="S39" s="180">
        <f t="shared" si="6"/>
      </c>
      <c r="T39" s="260" t="str">
        <f t="shared" si="7"/>
        <v>--</v>
      </c>
      <c r="U39" s="261" t="str">
        <f t="shared" si="8"/>
        <v>--</v>
      </c>
      <c r="V39" s="262" t="str">
        <f t="shared" si="9"/>
        <v>--</v>
      </c>
      <c r="W39" s="263" t="str">
        <f t="shared" si="10"/>
        <v>--</v>
      </c>
      <c r="X39" s="264" t="str">
        <f t="shared" si="11"/>
        <v>--</v>
      </c>
      <c r="Y39" s="265" t="str">
        <f t="shared" si="12"/>
        <v>--</v>
      </c>
      <c r="Z39" s="266" t="str">
        <f t="shared" si="13"/>
        <v>--</v>
      </c>
      <c r="AA39" s="267" t="str">
        <f t="shared" si="14"/>
        <v>--</v>
      </c>
      <c r="AB39" s="268" t="str">
        <f t="shared" si="15"/>
        <v>--</v>
      </c>
      <c r="AC39" s="269" t="str">
        <f t="shared" si="16"/>
        <v>--</v>
      </c>
      <c r="AD39" s="191">
        <f t="shared" si="17"/>
      </c>
      <c r="AE39" s="192">
        <f t="shared" si="18"/>
      </c>
      <c r="AF39" s="193"/>
    </row>
    <row r="40" spans="2:32" s="8" customFormat="1" ht="16.5" customHeight="1">
      <c r="B40" s="55"/>
      <c r="C40" s="150"/>
      <c r="D40" s="150"/>
      <c r="E40" s="150"/>
      <c r="F40" s="199"/>
      <c r="G40" s="200"/>
      <c r="H40" s="201"/>
      <c r="I40" s="200"/>
      <c r="J40" s="172">
        <f t="shared" si="0"/>
        <v>20</v>
      </c>
      <c r="K40" s="173" t="e">
        <f t="shared" si="1"/>
        <v>#VALUE!</v>
      </c>
      <c r="L40" s="202"/>
      <c r="M40" s="204"/>
      <c r="N40" s="176">
        <f t="shared" si="2"/>
      </c>
      <c r="O40" s="177">
        <f t="shared" si="3"/>
      </c>
      <c r="P40" s="178"/>
      <c r="Q40" s="179">
        <f t="shared" si="4"/>
      </c>
      <c r="R40" s="180">
        <f t="shared" si="5"/>
      </c>
      <c r="S40" s="180">
        <f t="shared" si="6"/>
      </c>
      <c r="T40" s="260" t="str">
        <f t="shared" si="7"/>
        <v>--</v>
      </c>
      <c r="U40" s="261" t="str">
        <f t="shared" si="8"/>
        <v>--</v>
      </c>
      <c r="V40" s="262" t="str">
        <f t="shared" si="9"/>
        <v>--</v>
      </c>
      <c r="W40" s="263" t="str">
        <f t="shared" si="10"/>
        <v>--</v>
      </c>
      <c r="X40" s="264" t="str">
        <f t="shared" si="11"/>
        <v>--</v>
      </c>
      <c r="Y40" s="265" t="str">
        <f t="shared" si="12"/>
        <v>--</v>
      </c>
      <c r="Z40" s="266" t="str">
        <f t="shared" si="13"/>
        <v>--</v>
      </c>
      <c r="AA40" s="267" t="str">
        <f t="shared" si="14"/>
        <v>--</v>
      </c>
      <c r="AB40" s="268" t="str">
        <f t="shared" si="15"/>
        <v>--</v>
      </c>
      <c r="AC40" s="269" t="str">
        <f t="shared" si="16"/>
        <v>--</v>
      </c>
      <c r="AD40" s="191">
        <f t="shared" si="17"/>
      </c>
      <c r="AE40" s="192">
        <f t="shared" si="18"/>
      </c>
      <c r="AF40" s="193"/>
    </row>
    <row r="41" spans="2:32" s="8" customFormat="1" ht="16.5" customHeight="1" thickBot="1">
      <c r="B41" s="55"/>
      <c r="C41" s="169"/>
      <c r="D41" s="205"/>
      <c r="E41" s="169"/>
      <c r="F41" s="207"/>
      <c r="G41" s="208"/>
      <c r="H41" s="209"/>
      <c r="I41" s="210"/>
      <c r="J41" s="211"/>
      <c r="K41" s="212"/>
      <c r="L41" s="213"/>
      <c r="M41" s="213"/>
      <c r="N41" s="214"/>
      <c r="O41" s="214"/>
      <c r="P41" s="215"/>
      <c r="Q41" s="216"/>
      <c r="R41" s="215"/>
      <c r="S41" s="215"/>
      <c r="T41" s="217"/>
      <c r="U41" s="218"/>
      <c r="V41" s="219"/>
      <c r="W41" s="220"/>
      <c r="X41" s="221"/>
      <c r="Y41" s="222"/>
      <c r="Z41" s="223"/>
      <c r="AA41" s="224"/>
      <c r="AB41" s="225"/>
      <c r="AC41" s="226"/>
      <c r="AD41" s="227"/>
      <c r="AE41" s="228"/>
      <c r="AF41" s="193"/>
    </row>
    <row r="42" spans="2:32" s="8" customFormat="1" ht="16.5" customHeight="1" thickBot="1" thickTop="1">
      <c r="B42" s="55"/>
      <c r="C42" s="229" t="s">
        <v>255</v>
      </c>
      <c r="D42" s="271" t="s">
        <v>345</v>
      </c>
      <c r="E42" s="229"/>
      <c r="F42" s="231"/>
      <c r="G42" s="232"/>
      <c r="H42" s="233"/>
      <c r="I42" s="234"/>
      <c r="J42" s="233"/>
      <c r="K42" s="235"/>
      <c r="L42" s="235"/>
      <c r="M42" s="235"/>
      <c r="N42" s="235"/>
      <c r="O42" s="235"/>
      <c r="P42" s="235"/>
      <c r="Q42" s="236"/>
      <c r="R42" s="235"/>
      <c r="S42" s="235"/>
      <c r="T42" s="237">
        <f aca="true" t="shared" si="19" ref="T42:AC42">SUM(T18:T41)</f>
        <v>5509.120989715199</v>
      </c>
      <c r="U42" s="238">
        <f t="shared" si="19"/>
        <v>0</v>
      </c>
      <c r="V42" s="239">
        <f t="shared" si="19"/>
        <v>0</v>
      </c>
      <c r="W42" s="239">
        <f t="shared" si="19"/>
        <v>0</v>
      </c>
      <c r="X42" s="239">
        <f t="shared" si="19"/>
        <v>0</v>
      </c>
      <c r="Y42" s="240">
        <f t="shared" si="19"/>
        <v>0</v>
      </c>
      <c r="Z42" s="240">
        <f t="shared" si="19"/>
        <v>0</v>
      </c>
      <c r="AA42" s="240">
        <f t="shared" si="19"/>
        <v>0</v>
      </c>
      <c r="AB42" s="241">
        <f t="shared" si="19"/>
        <v>0</v>
      </c>
      <c r="AC42" s="242">
        <f t="shared" si="19"/>
        <v>0</v>
      </c>
      <c r="AD42" s="243"/>
      <c r="AE42" s="244">
        <f>ROUND(SUM(AE18:AE41),2)</f>
        <v>5509.12</v>
      </c>
      <c r="AF42" s="193"/>
    </row>
    <row r="43" spans="2:32" s="8" customFormat="1" ht="16.5" customHeight="1" thickBot="1" thickTop="1">
      <c r="B43" s="245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7"/>
    </row>
    <row r="44" spans="2:32" ht="16.5" customHeight="1" thickTop="1">
      <c r="B44" s="248"/>
      <c r="C44" s="248"/>
      <c r="D44" s="248"/>
      <c r="AF44" s="248"/>
    </row>
  </sheetData>
  <sheetProtection password="CC12"/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5" r:id="rId3"/>
  <headerFooter alignWithMargins="0">
    <oddFooter>&amp;L&amp;"Times New Roman,Normal"&amp;8&amp;F-&amp;A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F43"/>
  <sheetViews>
    <sheetView zoomScale="75" zoomScaleNormal="75" zoomScalePageLayoutView="0" workbookViewId="0" topLeftCell="A1">
      <selection activeCell="N51" sqref="N51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7109375" style="9" customWidth="1"/>
    <col min="6" max="6" width="45.7109375" style="9" customWidth="1"/>
    <col min="7" max="8" width="9.7109375" style="9" customWidth="1"/>
    <col min="9" max="9" width="3.8515625" style="9" customWidth="1"/>
    <col min="10" max="10" width="3.421875" style="9" hidden="1" customWidth="1"/>
    <col min="11" max="11" width="10.00390625" style="9" hidden="1" customWidth="1"/>
    <col min="12" max="13" width="15.7109375" style="9" customWidth="1"/>
    <col min="14" max="16" width="9.7109375" style="9" customWidth="1"/>
    <col min="17" max="17" width="8.7109375" style="9" customWidth="1"/>
    <col min="18" max="18" width="5.421875" style="9" customWidth="1"/>
    <col min="19" max="19" width="5.7109375" style="9" bestFit="1" customWidth="1"/>
    <col min="20" max="21" width="12.140625" style="9" hidden="1" customWidth="1"/>
    <col min="22" max="22" width="10.8515625" style="9" hidden="1" customWidth="1"/>
    <col min="23" max="27" width="6.00390625" style="9" hidden="1" customWidth="1"/>
    <col min="28" max="28" width="11.7109375" style="9" hidden="1" customWidth="1"/>
    <col min="29" max="29" width="12.8515625" style="9" hidden="1" customWidth="1"/>
    <col min="30" max="30" width="9.7109375" style="9" customWidth="1"/>
    <col min="31" max="31" width="15.7109375" style="9" customWidth="1"/>
    <col min="32" max="32" width="4.140625" style="9" customWidth="1"/>
    <col min="33" max="33" width="30.421875" style="9" customWidth="1"/>
    <col min="34" max="34" width="3.140625" style="9" customWidth="1"/>
    <col min="35" max="35" width="3.57421875" style="9" customWidth="1"/>
    <col min="36" max="36" width="24.28125" style="9" customWidth="1"/>
    <col min="37" max="37" width="4.7109375" style="9" customWidth="1"/>
    <col min="38" max="38" width="7.57421875" style="9" customWidth="1"/>
    <col min="39" max="40" width="4.140625" style="9" customWidth="1"/>
    <col min="41" max="41" width="7.140625" style="9" customWidth="1"/>
    <col min="42" max="42" width="5.28125" style="9" customWidth="1"/>
    <col min="43" max="43" width="5.421875" style="9" customWidth="1"/>
    <col min="44" max="44" width="4.7109375" style="9" customWidth="1"/>
    <col min="45" max="45" width="5.28125" style="9" customWidth="1"/>
    <col min="46" max="47" width="13.28125" style="9" customWidth="1"/>
    <col min="48" max="48" width="6.57421875" style="9" customWidth="1"/>
    <col min="49" max="49" width="6.421875" style="9" customWidth="1"/>
    <col min="50" max="53" width="11.421875" style="9" customWidth="1"/>
    <col min="54" max="54" width="12.7109375" style="9" customWidth="1"/>
    <col min="55" max="57" width="11.421875" style="9" customWidth="1"/>
    <col min="58" max="58" width="21.00390625" style="9" customWidth="1"/>
    <col min="59" max="16384" width="11.421875" style="9" customWidth="1"/>
  </cols>
  <sheetData>
    <row r="1" spans="1:32" s="3" customFormat="1" ht="26.25">
      <c r="A1" s="641"/>
      <c r="E1" s="9"/>
      <c r="G1" s="9"/>
      <c r="I1" s="9"/>
      <c r="K1" s="9"/>
      <c r="M1" s="9"/>
      <c r="O1" s="9"/>
      <c r="Q1" s="9"/>
      <c r="S1" s="9"/>
      <c r="U1" s="9"/>
      <c r="W1" s="9"/>
      <c r="Y1" s="9"/>
      <c r="AA1" s="9"/>
      <c r="AF1" s="5"/>
    </row>
    <row r="2" spans="1:32" s="3" customFormat="1" ht="26.25">
      <c r="A2" s="88"/>
      <c r="B2" s="2" t="str">
        <f>'TOT-0912'!B2</f>
        <v>ANEXO IV al Memorándum  D.T.E.E.  N° 295 / 2014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8" customFormat="1" ht="23.25" customHeight="1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32" s="8" customFormat="1" ht="13.5" thickTop="1">
      <c r="B7" s="91"/>
      <c r="C7" s="92"/>
      <c r="D7" s="92"/>
      <c r="E7" s="92"/>
      <c r="F7" s="92"/>
      <c r="G7" s="93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4"/>
    </row>
    <row r="8" spans="2:32" s="18" customFormat="1" ht="20.25">
      <c r="B8" s="95"/>
      <c r="C8" s="23"/>
      <c r="D8" s="23"/>
      <c r="E8" s="23"/>
      <c r="F8" s="96" t="s">
        <v>23</v>
      </c>
      <c r="G8" s="23"/>
      <c r="H8" s="23"/>
      <c r="I8" s="23"/>
      <c r="J8" s="23"/>
      <c r="P8" s="23"/>
      <c r="Q8" s="23"/>
      <c r="R8" s="97"/>
      <c r="S8" s="97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98"/>
    </row>
    <row r="9" spans="2:32" s="8" customFormat="1" ht="16.5" customHeight="1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99"/>
    </row>
    <row r="10" spans="2:32" s="249" customFormat="1" ht="33" customHeight="1">
      <c r="B10" s="250"/>
      <c r="C10" s="251"/>
      <c r="D10" s="251"/>
      <c r="E10" s="251"/>
      <c r="F10" s="252" t="s">
        <v>24</v>
      </c>
      <c r="G10" s="251"/>
      <c r="H10" s="251"/>
      <c r="I10" s="251"/>
      <c r="K10" s="251"/>
      <c r="L10" s="251"/>
      <c r="M10" s="251"/>
      <c r="N10" s="251"/>
      <c r="O10" s="251"/>
      <c r="P10" s="251"/>
      <c r="Q10" s="251"/>
      <c r="R10" s="252"/>
      <c r="S10" s="252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3"/>
    </row>
    <row r="11" spans="2:32" s="254" customFormat="1" ht="33" customHeight="1">
      <c r="B11" s="255"/>
      <c r="C11" s="256"/>
      <c r="D11" s="256"/>
      <c r="E11" s="256"/>
      <c r="F11" s="272" t="s">
        <v>376</v>
      </c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8"/>
    </row>
    <row r="12" spans="2:32" s="34" customFormat="1" ht="19.5">
      <c r="B12" s="35" t="str">
        <f>'TOT-0912'!B14</f>
        <v>Desde el 01 al 30 de septiembre de 2012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101"/>
      <c r="Q12" s="101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102"/>
    </row>
    <row r="13" spans="2:32" s="8" customFormat="1" ht="16.5" customHeight="1" thickBot="1">
      <c r="B13" s="55"/>
      <c r="C13" s="11"/>
      <c r="D13" s="11"/>
      <c r="E13" s="11"/>
      <c r="F13" s="11"/>
      <c r="G13" s="85"/>
      <c r="H13" s="85"/>
      <c r="I13" s="11"/>
      <c r="J13" s="11"/>
      <c r="K13" s="11"/>
      <c r="L13" s="103"/>
      <c r="M13" s="11"/>
      <c r="N13" s="11"/>
      <c r="O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99"/>
    </row>
    <row r="14" spans="2:32" s="8" customFormat="1" ht="16.5" customHeight="1" thickBot="1" thickTop="1">
      <c r="B14" s="55"/>
      <c r="C14" s="11"/>
      <c r="D14" s="11"/>
      <c r="E14" s="11"/>
      <c r="F14" s="104" t="s">
        <v>26</v>
      </c>
      <c r="G14" s="642">
        <f>0.6*253.422</f>
        <v>152.0532</v>
      </c>
      <c r="H14" s="106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99"/>
    </row>
    <row r="15" spans="2:32" s="8" customFormat="1" ht="16.5" customHeight="1" thickBot="1" thickTop="1">
      <c r="B15" s="55"/>
      <c r="C15" s="11"/>
      <c r="D15" s="11"/>
      <c r="E15" s="11"/>
      <c r="F15" s="104" t="s">
        <v>27</v>
      </c>
      <c r="G15" s="105" t="s">
        <v>336</v>
      </c>
      <c r="H15" s="106"/>
      <c r="I15" s="11"/>
      <c r="J15" s="11"/>
      <c r="K15" s="11"/>
      <c r="L15" s="107"/>
      <c r="M15" s="108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09"/>
      <c r="Y15" s="109"/>
      <c r="Z15" s="109"/>
      <c r="AA15" s="109"/>
      <c r="AB15" s="109"/>
      <c r="AC15" s="109"/>
      <c r="AD15" s="109"/>
      <c r="AF15" s="99"/>
    </row>
    <row r="16" spans="2:32" s="8" customFormat="1" ht="16.5" customHeight="1" thickBot="1" thickTop="1">
      <c r="B16" s="55"/>
      <c r="C16" s="110">
        <v>3</v>
      </c>
      <c r="D16" s="110">
        <v>4</v>
      </c>
      <c r="E16" s="110">
        <v>5</v>
      </c>
      <c r="F16" s="110">
        <v>6</v>
      </c>
      <c r="G16" s="110">
        <v>7</v>
      </c>
      <c r="H16" s="110">
        <v>8</v>
      </c>
      <c r="I16" s="110">
        <v>9</v>
      </c>
      <c r="J16" s="110">
        <v>10</v>
      </c>
      <c r="K16" s="110">
        <v>11</v>
      </c>
      <c r="L16" s="110">
        <v>12</v>
      </c>
      <c r="M16" s="110">
        <v>13</v>
      </c>
      <c r="N16" s="110">
        <v>14</v>
      </c>
      <c r="O16" s="110">
        <v>15</v>
      </c>
      <c r="P16" s="110">
        <v>16</v>
      </c>
      <c r="Q16" s="110">
        <v>17</v>
      </c>
      <c r="R16" s="110">
        <v>18</v>
      </c>
      <c r="S16" s="110">
        <v>19</v>
      </c>
      <c r="T16" s="110">
        <v>20</v>
      </c>
      <c r="U16" s="110">
        <v>21</v>
      </c>
      <c r="V16" s="110">
        <v>22</v>
      </c>
      <c r="W16" s="110">
        <v>23</v>
      </c>
      <c r="X16" s="110">
        <v>24</v>
      </c>
      <c r="Y16" s="110">
        <v>25</v>
      </c>
      <c r="Z16" s="110">
        <v>26</v>
      </c>
      <c r="AA16" s="110">
        <v>27</v>
      </c>
      <c r="AB16" s="110">
        <v>28</v>
      </c>
      <c r="AC16" s="110">
        <v>29</v>
      </c>
      <c r="AD16" s="110">
        <v>30</v>
      </c>
      <c r="AE16" s="110">
        <v>31</v>
      </c>
      <c r="AF16" s="99"/>
    </row>
    <row r="17" spans="2:32" s="8" customFormat="1" ht="33.75" customHeight="1" thickBot="1" thickTop="1">
      <c r="B17" s="55"/>
      <c r="C17" s="111" t="s">
        <v>28</v>
      </c>
      <c r="D17" s="111" t="s">
        <v>29</v>
      </c>
      <c r="E17" s="111" t="s">
        <v>30</v>
      </c>
      <c r="F17" s="112" t="s">
        <v>5</v>
      </c>
      <c r="G17" s="113" t="s">
        <v>31</v>
      </c>
      <c r="H17" s="114" t="s">
        <v>32</v>
      </c>
      <c r="I17" s="115" t="s">
        <v>33</v>
      </c>
      <c r="J17" s="116" t="s">
        <v>34</v>
      </c>
      <c r="K17" s="117" t="s">
        <v>35</v>
      </c>
      <c r="L17" s="112" t="s">
        <v>36</v>
      </c>
      <c r="M17" s="118" t="s">
        <v>37</v>
      </c>
      <c r="N17" s="119" t="s">
        <v>38</v>
      </c>
      <c r="O17" s="114" t="s">
        <v>39</v>
      </c>
      <c r="P17" s="119" t="s">
        <v>254</v>
      </c>
      <c r="Q17" s="114" t="s">
        <v>40</v>
      </c>
      <c r="R17" s="118" t="s">
        <v>41</v>
      </c>
      <c r="S17" s="112" t="s">
        <v>42</v>
      </c>
      <c r="T17" s="120" t="s">
        <v>43</v>
      </c>
      <c r="U17" s="121" t="s">
        <v>44</v>
      </c>
      <c r="V17" s="122" t="s">
        <v>45</v>
      </c>
      <c r="W17" s="123"/>
      <c r="X17" s="124"/>
      <c r="Y17" s="125" t="s">
        <v>46</v>
      </c>
      <c r="Z17" s="126"/>
      <c r="AA17" s="127"/>
      <c r="AB17" s="128" t="s">
        <v>47</v>
      </c>
      <c r="AC17" s="129" t="s">
        <v>48</v>
      </c>
      <c r="AD17" s="130" t="s">
        <v>49</v>
      </c>
      <c r="AE17" s="130" t="s">
        <v>50</v>
      </c>
      <c r="AF17" s="131"/>
    </row>
    <row r="18" spans="2:32" s="8" customFormat="1" ht="16.5" customHeight="1" thickTop="1">
      <c r="B18" s="55"/>
      <c r="C18" s="132"/>
      <c r="D18" s="132"/>
      <c r="E18" s="132"/>
      <c r="F18" s="133"/>
      <c r="G18" s="133"/>
      <c r="H18" s="134"/>
      <c r="I18" s="135"/>
      <c r="J18" s="136"/>
      <c r="K18" s="137"/>
      <c r="L18" s="138"/>
      <c r="M18" s="138"/>
      <c r="N18" s="135"/>
      <c r="O18" s="135"/>
      <c r="P18" s="135"/>
      <c r="Q18" s="135"/>
      <c r="R18" s="135"/>
      <c r="S18" s="135"/>
      <c r="T18" s="139"/>
      <c r="U18" s="140"/>
      <c r="V18" s="141"/>
      <c r="W18" s="142"/>
      <c r="X18" s="143"/>
      <c r="Y18" s="144"/>
      <c r="Z18" s="145"/>
      <c r="AA18" s="146"/>
      <c r="AB18" s="147"/>
      <c r="AC18" s="148"/>
      <c r="AD18" s="135"/>
      <c r="AE18" s="149"/>
      <c r="AF18" s="99"/>
    </row>
    <row r="19" spans="2:32" s="8" customFormat="1" ht="16.5" customHeight="1">
      <c r="B19" s="55"/>
      <c r="C19" s="259"/>
      <c r="D19" s="259"/>
      <c r="E19" s="259"/>
      <c r="F19" s="194"/>
      <c r="G19" s="195"/>
      <c r="H19" s="196"/>
      <c r="I19" s="195"/>
      <c r="J19" s="172">
        <f>IF(I19="A",200,IF(I19="B",60,20))</f>
        <v>20</v>
      </c>
      <c r="K19" s="173" t="e">
        <f>IF(G19=500,IF(H19&lt;100,100*$G$14/100,H19*$G$14/100),IF(H19&lt;100,100*$G$15/100,H19*$G$15/100))</f>
        <v>#VALUE!</v>
      </c>
      <c r="L19" s="174"/>
      <c r="M19" s="175"/>
      <c r="N19" s="176">
        <f>IF(F19="","",(M19-L19)*24)</f>
      </c>
      <c r="O19" s="177">
        <f>IF(F19="","",ROUND((M19-L19)*24*60,0))</f>
      </c>
      <c r="P19" s="178"/>
      <c r="Q19" s="179">
        <f>IF(F19="","","--")</f>
      </c>
      <c r="R19" s="180">
        <f>IF(F19="","","NO")</f>
      </c>
      <c r="S19" s="180">
        <f>IF(F19="","",IF(OR(P19="P",P19="RP"),"--","NO"))</f>
      </c>
      <c r="T19" s="260" t="str">
        <f>IF(P19="P",K19*J19*ROUND(O19/60,2)*0.01,"--")</f>
        <v>--</v>
      </c>
      <c r="U19" s="261" t="str">
        <f>IF(P19="RP",K19*J19*ROUND(O19/60,2)*0.01*Q19/100,"--")</f>
        <v>--</v>
      </c>
      <c r="V19" s="262" t="str">
        <f>IF(AND(P19="F",S19="NO"),K19*J19*IF(R19="SI",1.2,1),"--")</f>
        <v>--</v>
      </c>
      <c r="W19" s="263" t="str">
        <f>IF(AND(P19="F",O19&gt;=10),K19*J19*IF(R19="SI",1.2,1)*IF(O19&lt;=300,ROUND(O19/60,2),5),"--")</f>
        <v>--</v>
      </c>
      <c r="X19" s="264" t="str">
        <f>IF(AND(P19="F",O19&gt;300),(ROUND(O19/60,2)-5)*K19*J19*0.1*IF(R19="SI",1.2,1),"--")</f>
        <v>--</v>
      </c>
      <c r="Y19" s="265" t="str">
        <f>IF(AND(P19="R",S19="NO"),K19*J19*Q19/100*IF(R19="SI",1.2,1),"--")</f>
        <v>--</v>
      </c>
      <c r="Z19" s="266" t="str">
        <f>IF(AND(P19="R",O19&gt;=10),K19*J19*Q19/100*IF(R19="SI",1.2,1)*IF(O19&lt;=300,ROUND(O19/60,2),5),"--")</f>
        <v>--</v>
      </c>
      <c r="AA19" s="267" t="str">
        <f>IF(AND(P19="R",O19&gt;300),(ROUND(O19/60,2)-5)*K19*J19*0.1*Q19/100*IF(R19="SI",1.2,1),"--")</f>
        <v>--</v>
      </c>
      <c r="AB19" s="268" t="str">
        <f>IF(P19="RF",ROUND(O19/60,2)*K19*J19*0.1*IF(R19="SI",1.2,1),"--")</f>
        <v>--</v>
      </c>
      <c r="AC19" s="269" t="str">
        <f>IF(P19="RR",ROUND(O19/60,2)*K19*J19*0.1*Q19/100*IF(R19="SI",1.2,1),"--")</f>
        <v>--</v>
      </c>
      <c r="AD19" s="270">
        <f>IF(F19="","","SI")</f>
      </c>
      <c r="AE19" s="192">
        <f>IF(F19="","",SUM(T19:AC19)*IF(AD19="SI",1,2))</f>
      </c>
      <c r="AF19" s="99"/>
    </row>
    <row r="20" spans="2:32" s="8" customFormat="1" ht="16.5" customHeight="1">
      <c r="B20" s="55"/>
      <c r="C20" s="150">
        <v>21</v>
      </c>
      <c r="D20" s="150">
        <v>251381</v>
      </c>
      <c r="E20" s="150">
        <v>5039</v>
      </c>
      <c r="F20" s="194" t="s">
        <v>337</v>
      </c>
      <c r="G20" s="195">
        <v>500</v>
      </c>
      <c r="H20" s="196">
        <v>285</v>
      </c>
      <c r="I20" s="195" t="s">
        <v>258</v>
      </c>
      <c r="J20" s="172">
        <f>IF(I20="A",200,IF(I20="B",60,20))</f>
        <v>20</v>
      </c>
      <c r="K20" s="173">
        <f>IF(G20=500,IF(H20&lt;100,100*$G$14/100,H20*$G$14/100),IF(H20&lt;100,100*$G$15/100,H20*$G$15/100))</f>
        <v>433.35162</v>
      </c>
      <c r="L20" s="174">
        <v>41158.020833333336</v>
      </c>
      <c r="M20" s="175">
        <v>41159.79861111111</v>
      </c>
      <c r="N20" s="176">
        <f>IF(F20="","",(M20-L20)*24)</f>
        <v>42.666666666569654</v>
      </c>
      <c r="O20" s="177">
        <f>IF(F20="","",ROUND((M20-L20)*24*60,0))</f>
        <v>2560</v>
      </c>
      <c r="P20" s="178" t="s">
        <v>262</v>
      </c>
      <c r="Q20" s="179" t="str">
        <f>IF(F20="","","--")</f>
        <v>--</v>
      </c>
      <c r="R20" s="180" t="str">
        <f>IF(F20="","","NO")</f>
        <v>NO</v>
      </c>
      <c r="S20" s="180" t="str">
        <f>IF(F20="","",IF(OR(P20="P",P20="RP"),"--","NO"))</f>
        <v>NO</v>
      </c>
      <c r="T20" s="260" t="str">
        <f>IF(P20="P",K20*J20*ROUND(O20/60,2)*0.01,"--")</f>
        <v>--</v>
      </c>
      <c r="U20" s="261" t="str">
        <f>IF(P20="RP",K20*J20*ROUND(O20/60,2)*0.01*Q20/100,"--")</f>
        <v>--</v>
      </c>
      <c r="V20" s="262">
        <f>IF(AND(P20="F",S20="NO"),K20*J20*IF(R20="SI",1.2,1),"--")</f>
        <v>8667.0324</v>
      </c>
      <c r="W20" s="263">
        <f>IF(AND(P20="F",O20&gt;=10),K20*J20*IF(R20="SI",1.2,1)*IF(O20&lt;=300,ROUND(O20/60,2),5),"--")</f>
        <v>43335.162</v>
      </c>
      <c r="X20" s="264">
        <f>IF(AND(P20="F",O20&gt;300),(ROUND(O20/60,2)-5)*K20*J20*0.1*IF(R20="SI",1.2,1),"--")</f>
        <v>32648.711050800004</v>
      </c>
      <c r="Y20" s="265" t="str">
        <f>IF(AND(P20="R",S20="NO"),K20*J20*Q20/100*IF(R20="SI",1.2,1),"--")</f>
        <v>--</v>
      </c>
      <c r="Z20" s="266" t="str">
        <f>IF(AND(P20="R",O20&gt;=10),K20*J20*Q20/100*IF(R20="SI",1.2,1)*IF(O20&lt;=300,ROUND(O20/60,2),5),"--")</f>
        <v>--</v>
      </c>
      <c r="AA20" s="267" t="str">
        <f>IF(AND(P20="R",O20&gt;300),(ROUND(O20/60,2)-5)*K20*J20*0.1*Q20/100*IF(R20="SI",1.2,1),"--")</f>
        <v>--</v>
      </c>
      <c r="AB20" s="268" t="str">
        <f>IF(P20="RF",ROUND(O20/60,2)*K20*J20*0.1*IF(R20="SI",1.2,1),"--")</f>
        <v>--</v>
      </c>
      <c r="AC20" s="269" t="str">
        <f>IF(P20="RR",ROUND(O20/60,2)*K20*J20*0.1*Q20/100*IF(R20="SI",1.2,1),"--")</f>
        <v>--</v>
      </c>
      <c r="AD20" s="270" t="str">
        <f>IF(F20="","","SI")</f>
        <v>SI</v>
      </c>
      <c r="AE20" s="192">
        <f>IF(F20="","",SUM(T20:AC20)*IF(AD20="SI",1,2))</f>
        <v>84650.9054508</v>
      </c>
      <c r="AF20" s="193"/>
    </row>
    <row r="21" spans="2:32" s="8" customFormat="1" ht="16.5" customHeight="1">
      <c r="B21" s="55"/>
      <c r="C21" s="259"/>
      <c r="D21" s="259"/>
      <c r="E21" s="259"/>
      <c r="F21" s="194"/>
      <c r="G21" s="195"/>
      <c r="H21" s="196"/>
      <c r="I21" s="195"/>
      <c r="J21" s="172"/>
      <c r="K21" s="173"/>
      <c r="L21" s="174"/>
      <c r="M21" s="643"/>
      <c r="N21" s="176"/>
      <c r="O21" s="177"/>
      <c r="P21" s="178"/>
      <c r="Q21" s="179"/>
      <c r="R21" s="180"/>
      <c r="S21" s="180"/>
      <c r="T21" s="260"/>
      <c r="U21" s="261"/>
      <c r="V21" s="262"/>
      <c r="W21" s="263"/>
      <c r="X21" s="264"/>
      <c r="Y21" s="265"/>
      <c r="Z21" s="266"/>
      <c r="AA21" s="267"/>
      <c r="AB21" s="268"/>
      <c r="AC21" s="269"/>
      <c r="AD21" s="270"/>
      <c r="AE21" s="192"/>
      <c r="AF21" s="193"/>
    </row>
    <row r="22" spans="2:32" s="8" customFormat="1" ht="16.5" customHeight="1">
      <c r="B22" s="55"/>
      <c r="C22" s="169"/>
      <c r="D22" s="169"/>
      <c r="E22" s="169"/>
      <c r="F22" s="194"/>
      <c r="G22" s="195"/>
      <c r="H22" s="196"/>
      <c r="I22" s="195"/>
      <c r="J22" s="172"/>
      <c r="K22" s="173"/>
      <c r="L22" s="197"/>
      <c r="M22" s="198"/>
      <c r="N22" s="176"/>
      <c r="O22" s="177"/>
      <c r="P22" s="178"/>
      <c r="Q22" s="179"/>
      <c r="R22" s="180"/>
      <c r="S22" s="180"/>
      <c r="T22" s="260"/>
      <c r="U22" s="261"/>
      <c r="V22" s="262"/>
      <c r="W22" s="263"/>
      <c r="X22" s="264"/>
      <c r="Y22" s="265"/>
      <c r="Z22" s="266"/>
      <c r="AA22" s="267"/>
      <c r="AB22" s="268"/>
      <c r="AC22" s="269"/>
      <c r="AD22" s="270"/>
      <c r="AE22" s="192"/>
      <c r="AF22" s="193"/>
    </row>
    <row r="23" spans="2:32" s="8" customFormat="1" ht="16.5" customHeight="1">
      <c r="B23" s="55"/>
      <c r="C23" s="150"/>
      <c r="D23" s="150"/>
      <c r="E23" s="150"/>
      <c r="F23" s="194"/>
      <c r="G23" s="195"/>
      <c r="H23" s="196"/>
      <c r="I23" s="195"/>
      <c r="J23" s="172">
        <f aca="true" t="shared" si="0" ref="J23:J39">IF(I23="A",200,IF(I23="B",60,20))</f>
        <v>20</v>
      </c>
      <c r="K23" s="173" t="e">
        <f aca="true" t="shared" si="1" ref="K23:K39">IF(G23=500,IF(H23&lt;100,100*$G$14/100,H23*$G$14/100),IF(H23&lt;100,100*$G$15/100,H23*$G$15/100))</f>
        <v>#VALUE!</v>
      </c>
      <c r="L23" s="197"/>
      <c r="M23" s="198"/>
      <c r="N23" s="176"/>
      <c r="O23" s="177"/>
      <c r="P23" s="178"/>
      <c r="Q23" s="179"/>
      <c r="R23" s="180"/>
      <c r="S23" s="180">
        <f aca="true" t="shared" si="2" ref="S23:S39">IF(F23="","",IF(OR(P23="P",P23="RP"),"--","NO"))</f>
      </c>
      <c r="T23" s="260" t="str">
        <f aca="true" t="shared" si="3" ref="T23:T39">IF(P23="P",K23*J23*ROUND(O23/60,2)*0.01,"--")</f>
        <v>--</v>
      </c>
      <c r="U23" s="261" t="str">
        <f aca="true" t="shared" si="4" ref="U23:U39">IF(P23="RP",K23*J23*ROUND(O23/60,2)*0.01*Q23/100,"--")</f>
        <v>--</v>
      </c>
      <c r="V23" s="262" t="str">
        <f aca="true" t="shared" si="5" ref="V23:V39">IF(AND(P23="F",S23="NO"),K23*J23*IF(R23="SI",1.2,1),"--")</f>
        <v>--</v>
      </c>
      <c r="W23" s="263" t="str">
        <f aca="true" t="shared" si="6" ref="W23:W39">IF(AND(P23="F",O23&gt;=10),K23*J23*IF(R23="SI",1.2,1)*IF(O23&lt;=300,ROUND(O23/60,2),5),"--")</f>
        <v>--</v>
      </c>
      <c r="X23" s="264" t="str">
        <f aca="true" t="shared" si="7" ref="X23:X39">IF(AND(P23="F",O23&gt;300),(ROUND(O23/60,2)-5)*K23*J23*0.1*IF(R23="SI",1.2,1),"--")</f>
        <v>--</v>
      </c>
      <c r="Y23" s="265" t="str">
        <f aca="true" t="shared" si="8" ref="Y23:Y39">IF(AND(P23="R",S23="NO"),K23*J23*Q23/100*IF(R23="SI",1.2,1),"--")</f>
        <v>--</v>
      </c>
      <c r="Z23" s="266" t="str">
        <f aca="true" t="shared" si="9" ref="Z23:Z39">IF(AND(P23="R",O23&gt;=10),K23*J23*Q23/100*IF(R23="SI",1.2,1)*IF(O23&lt;=300,ROUND(O23/60,2),5),"--")</f>
        <v>--</v>
      </c>
      <c r="AA23" s="267" t="str">
        <f aca="true" t="shared" si="10" ref="AA23:AA39">IF(AND(P23="R",O23&gt;300),(ROUND(O23/60,2)-5)*K23*J23*0.1*Q23/100*IF(R23="SI",1.2,1),"--")</f>
        <v>--</v>
      </c>
      <c r="AB23" s="268" t="str">
        <f aca="true" t="shared" si="11" ref="AB23:AB39">IF(P23="RF",ROUND(O23/60,2)*K23*J23*0.1*IF(R23="SI",1.2,1),"--")</f>
        <v>--</v>
      </c>
      <c r="AC23" s="269" t="str">
        <f aca="true" t="shared" si="12" ref="AC23:AC39">IF(P23="RR",ROUND(O23/60,2)*K23*J23*0.1*Q23/100*IF(R23="SI",1.2,1),"--")</f>
        <v>--</v>
      </c>
      <c r="AD23" s="191">
        <f aca="true" t="shared" si="13" ref="AD23:AD39">IF(F23="","","SI")</f>
      </c>
      <c r="AE23" s="192">
        <f aca="true" t="shared" si="14" ref="AE23:AE39">IF(F23="","",SUM(T23:AC23)*IF(AD23="SI",1,2))</f>
      </c>
      <c r="AF23" s="193"/>
    </row>
    <row r="24" spans="2:32" s="8" customFormat="1" ht="16.5" customHeight="1">
      <c r="B24" s="55"/>
      <c r="C24" s="169"/>
      <c r="D24" s="169"/>
      <c r="E24" s="169"/>
      <c r="F24" s="169"/>
      <c r="G24" s="170"/>
      <c r="H24" s="171"/>
      <c r="I24" s="170"/>
      <c r="J24" s="172">
        <f t="shared" si="0"/>
        <v>20</v>
      </c>
      <c r="K24" s="173" t="e">
        <f t="shared" si="1"/>
        <v>#VALUE!</v>
      </c>
      <c r="L24" s="174"/>
      <c r="M24" s="175"/>
      <c r="N24" s="176">
        <f aca="true" t="shared" si="15" ref="N24:N39">IF(F24="","",(M24-L24)*24)</f>
      </c>
      <c r="O24" s="177">
        <f aca="true" t="shared" si="16" ref="O24:O39">IF(F24="","",ROUND((M24-L24)*24*60,0))</f>
      </c>
      <c r="P24" s="178"/>
      <c r="Q24" s="179">
        <f aca="true" t="shared" si="17" ref="Q24:Q39">IF(F24="","","--")</f>
      </c>
      <c r="R24" s="180">
        <f aca="true" t="shared" si="18" ref="R24:R39">IF(F24="","","NO")</f>
      </c>
      <c r="S24" s="180">
        <f t="shared" si="2"/>
      </c>
      <c r="T24" s="260" t="str">
        <f t="shared" si="3"/>
        <v>--</v>
      </c>
      <c r="U24" s="261" t="str">
        <f t="shared" si="4"/>
        <v>--</v>
      </c>
      <c r="V24" s="262" t="str">
        <f t="shared" si="5"/>
        <v>--</v>
      </c>
      <c r="W24" s="263" t="str">
        <f t="shared" si="6"/>
        <v>--</v>
      </c>
      <c r="X24" s="264" t="str">
        <f t="shared" si="7"/>
        <v>--</v>
      </c>
      <c r="Y24" s="265" t="str">
        <f t="shared" si="8"/>
        <v>--</v>
      </c>
      <c r="Z24" s="266" t="str">
        <f t="shared" si="9"/>
        <v>--</v>
      </c>
      <c r="AA24" s="267" t="str">
        <f t="shared" si="10"/>
        <v>--</v>
      </c>
      <c r="AB24" s="268" t="str">
        <f t="shared" si="11"/>
        <v>--</v>
      </c>
      <c r="AC24" s="269" t="str">
        <f t="shared" si="12"/>
        <v>--</v>
      </c>
      <c r="AD24" s="191">
        <f t="shared" si="13"/>
      </c>
      <c r="AE24" s="192">
        <f t="shared" si="14"/>
      </c>
      <c r="AF24" s="193"/>
    </row>
    <row r="25" spans="2:32" s="8" customFormat="1" ht="16.5" customHeight="1">
      <c r="B25" s="55"/>
      <c r="C25" s="150"/>
      <c r="D25" s="150"/>
      <c r="E25" s="150"/>
      <c r="F25" s="169"/>
      <c r="G25" s="170"/>
      <c r="H25" s="171"/>
      <c r="I25" s="170"/>
      <c r="J25" s="172">
        <f t="shared" si="0"/>
        <v>20</v>
      </c>
      <c r="K25" s="173" t="e">
        <f t="shared" si="1"/>
        <v>#VALUE!</v>
      </c>
      <c r="L25" s="174"/>
      <c r="M25" s="175"/>
      <c r="N25" s="176">
        <f t="shared" si="15"/>
      </c>
      <c r="O25" s="177">
        <f t="shared" si="16"/>
      </c>
      <c r="P25" s="178"/>
      <c r="Q25" s="179">
        <f t="shared" si="17"/>
      </c>
      <c r="R25" s="180">
        <f t="shared" si="18"/>
      </c>
      <c r="S25" s="180">
        <f t="shared" si="2"/>
      </c>
      <c r="T25" s="260" t="str">
        <f t="shared" si="3"/>
        <v>--</v>
      </c>
      <c r="U25" s="261" t="str">
        <f t="shared" si="4"/>
        <v>--</v>
      </c>
      <c r="V25" s="262" t="str">
        <f t="shared" si="5"/>
        <v>--</v>
      </c>
      <c r="W25" s="263" t="str">
        <f t="shared" si="6"/>
        <v>--</v>
      </c>
      <c r="X25" s="264" t="str">
        <f t="shared" si="7"/>
        <v>--</v>
      </c>
      <c r="Y25" s="265" t="str">
        <f t="shared" si="8"/>
        <v>--</v>
      </c>
      <c r="Z25" s="266" t="str">
        <f t="shared" si="9"/>
        <v>--</v>
      </c>
      <c r="AA25" s="267" t="str">
        <f t="shared" si="10"/>
        <v>--</v>
      </c>
      <c r="AB25" s="268" t="str">
        <f t="shared" si="11"/>
        <v>--</v>
      </c>
      <c r="AC25" s="269" t="str">
        <f t="shared" si="12"/>
        <v>--</v>
      </c>
      <c r="AD25" s="191">
        <f t="shared" si="13"/>
      </c>
      <c r="AE25" s="192">
        <f t="shared" si="14"/>
      </c>
      <c r="AF25" s="193"/>
    </row>
    <row r="26" spans="2:32" s="8" customFormat="1" ht="16.5" customHeight="1">
      <c r="B26" s="55"/>
      <c r="C26" s="169"/>
      <c r="D26" s="169"/>
      <c r="E26" s="169"/>
      <c r="F26" s="199"/>
      <c r="G26" s="200"/>
      <c r="H26" s="201"/>
      <c r="I26" s="200"/>
      <c r="J26" s="172">
        <f t="shared" si="0"/>
        <v>20</v>
      </c>
      <c r="K26" s="173" t="e">
        <f t="shared" si="1"/>
        <v>#VALUE!</v>
      </c>
      <c r="L26" s="202"/>
      <c r="M26" s="203"/>
      <c r="N26" s="176">
        <f t="shared" si="15"/>
      </c>
      <c r="O26" s="177">
        <f t="shared" si="16"/>
      </c>
      <c r="P26" s="178"/>
      <c r="Q26" s="179">
        <f t="shared" si="17"/>
      </c>
      <c r="R26" s="180">
        <f t="shared" si="18"/>
      </c>
      <c r="S26" s="180">
        <f t="shared" si="2"/>
      </c>
      <c r="T26" s="260" t="str">
        <f t="shared" si="3"/>
        <v>--</v>
      </c>
      <c r="U26" s="261" t="str">
        <f t="shared" si="4"/>
        <v>--</v>
      </c>
      <c r="V26" s="262" t="str">
        <f t="shared" si="5"/>
        <v>--</v>
      </c>
      <c r="W26" s="263" t="str">
        <f t="shared" si="6"/>
        <v>--</v>
      </c>
      <c r="X26" s="264" t="str">
        <f t="shared" si="7"/>
        <v>--</v>
      </c>
      <c r="Y26" s="265" t="str">
        <f t="shared" si="8"/>
        <v>--</v>
      </c>
      <c r="Z26" s="266" t="str">
        <f t="shared" si="9"/>
        <v>--</v>
      </c>
      <c r="AA26" s="267" t="str">
        <f t="shared" si="10"/>
        <v>--</v>
      </c>
      <c r="AB26" s="268" t="str">
        <f t="shared" si="11"/>
        <v>--</v>
      </c>
      <c r="AC26" s="269" t="str">
        <f t="shared" si="12"/>
        <v>--</v>
      </c>
      <c r="AD26" s="191">
        <f t="shared" si="13"/>
      </c>
      <c r="AE26" s="192">
        <f t="shared" si="14"/>
      </c>
      <c r="AF26" s="193"/>
    </row>
    <row r="27" spans="2:32" s="8" customFormat="1" ht="16.5" customHeight="1">
      <c r="B27" s="55"/>
      <c r="C27" s="150"/>
      <c r="D27" s="150"/>
      <c r="E27" s="150"/>
      <c r="F27" s="199"/>
      <c r="G27" s="200"/>
      <c r="H27" s="201"/>
      <c r="I27" s="200"/>
      <c r="J27" s="172">
        <f t="shared" si="0"/>
        <v>20</v>
      </c>
      <c r="K27" s="173" t="e">
        <f t="shared" si="1"/>
        <v>#VALUE!</v>
      </c>
      <c r="L27" s="202"/>
      <c r="M27" s="203"/>
      <c r="N27" s="176">
        <f t="shared" si="15"/>
      </c>
      <c r="O27" s="177">
        <f t="shared" si="16"/>
      </c>
      <c r="P27" s="178"/>
      <c r="Q27" s="179">
        <f t="shared" si="17"/>
      </c>
      <c r="R27" s="180">
        <f t="shared" si="18"/>
      </c>
      <c r="S27" s="180">
        <f t="shared" si="2"/>
      </c>
      <c r="T27" s="260" t="str">
        <f t="shared" si="3"/>
        <v>--</v>
      </c>
      <c r="U27" s="261" t="str">
        <f t="shared" si="4"/>
        <v>--</v>
      </c>
      <c r="V27" s="262" t="str">
        <f t="shared" si="5"/>
        <v>--</v>
      </c>
      <c r="W27" s="263" t="str">
        <f t="shared" si="6"/>
        <v>--</v>
      </c>
      <c r="X27" s="264" t="str">
        <f t="shared" si="7"/>
        <v>--</v>
      </c>
      <c r="Y27" s="265" t="str">
        <f t="shared" si="8"/>
        <v>--</v>
      </c>
      <c r="Z27" s="266" t="str">
        <f t="shared" si="9"/>
        <v>--</v>
      </c>
      <c r="AA27" s="267" t="str">
        <f t="shared" si="10"/>
        <v>--</v>
      </c>
      <c r="AB27" s="268" t="str">
        <f t="shared" si="11"/>
        <v>--</v>
      </c>
      <c r="AC27" s="269" t="str">
        <f t="shared" si="12"/>
        <v>--</v>
      </c>
      <c r="AD27" s="191">
        <f t="shared" si="13"/>
      </c>
      <c r="AE27" s="192">
        <f t="shared" si="14"/>
      </c>
      <c r="AF27" s="193"/>
    </row>
    <row r="28" spans="2:32" s="8" customFormat="1" ht="16.5" customHeight="1">
      <c r="B28" s="55"/>
      <c r="C28" s="169"/>
      <c r="D28" s="169"/>
      <c r="E28" s="169"/>
      <c r="F28" s="199"/>
      <c r="G28" s="200"/>
      <c r="H28" s="201"/>
      <c r="I28" s="200"/>
      <c r="J28" s="172">
        <f t="shared" si="0"/>
        <v>20</v>
      </c>
      <c r="K28" s="173" t="e">
        <f t="shared" si="1"/>
        <v>#VALUE!</v>
      </c>
      <c r="L28" s="202"/>
      <c r="M28" s="203"/>
      <c r="N28" s="176">
        <f t="shared" si="15"/>
      </c>
      <c r="O28" s="177">
        <f t="shared" si="16"/>
      </c>
      <c r="P28" s="178"/>
      <c r="Q28" s="179">
        <f t="shared" si="17"/>
      </c>
      <c r="R28" s="180">
        <f t="shared" si="18"/>
      </c>
      <c r="S28" s="180">
        <f t="shared" si="2"/>
      </c>
      <c r="T28" s="260" t="str">
        <f t="shared" si="3"/>
        <v>--</v>
      </c>
      <c r="U28" s="261" t="str">
        <f t="shared" si="4"/>
        <v>--</v>
      </c>
      <c r="V28" s="262" t="str">
        <f t="shared" si="5"/>
        <v>--</v>
      </c>
      <c r="W28" s="263" t="str">
        <f t="shared" si="6"/>
        <v>--</v>
      </c>
      <c r="X28" s="264" t="str">
        <f t="shared" si="7"/>
        <v>--</v>
      </c>
      <c r="Y28" s="265" t="str">
        <f t="shared" si="8"/>
        <v>--</v>
      </c>
      <c r="Z28" s="266" t="str">
        <f t="shared" si="9"/>
        <v>--</v>
      </c>
      <c r="AA28" s="267" t="str">
        <f t="shared" si="10"/>
        <v>--</v>
      </c>
      <c r="AB28" s="268" t="str">
        <f t="shared" si="11"/>
        <v>--</v>
      </c>
      <c r="AC28" s="269" t="str">
        <f t="shared" si="12"/>
        <v>--</v>
      </c>
      <c r="AD28" s="191">
        <f t="shared" si="13"/>
      </c>
      <c r="AE28" s="192">
        <f t="shared" si="14"/>
      </c>
      <c r="AF28" s="193"/>
    </row>
    <row r="29" spans="2:32" s="8" customFormat="1" ht="16.5" customHeight="1">
      <c r="B29" s="55"/>
      <c r="C29" s="150"/>
      <c r="D29" s="150"/>
      <c r="E29" s="150"/>
      <c r="F29" s="199"/>
      <c r="G29" s="200"/>
      <c r="H29" s="201"/>
      <c r="I29" s="200"/>
      <c r="J29" s="172">
        <f t="shared" si="0"/>
        <v>20</v>
      </c>
      <c r="K29" s="173" t="e">
        <f t="shared" si="1"/>
        <v>#VALUE!</v>
      </c>
      <c r="L29" s="202"/>
      <c r="M29" s="203"/>
      <c r="N29" s="176">
        <f t="shared" si="15"/>
      </c>
      <c r="O29" s="177">
        <f t="shared" si="16"/>
      </c>
      <c r="P29" s="178"/>
      <c r="Q29" s="179">
        <f t="shared" si="17"/>
      </c>
      <c r="R29" s="180">
        <f t="shared" si="18"/>
      </c>
      <c r="S29" s="180">
        <f t="shared" si="2"/>
      </c>
      <c r="T29" s="260" t="str">
        <f t="shared" si="3"/>
        <v>--</v>
      </c>
      <c r="U29" s="261" t="str">
        <f t="shared" si="4"/>
        <v>--</v>
      </c>
      <c r="V29" s="262" t="str">
        <f t="shared" si="5"/>
        <v>--</v>
      </c>
      <c r="W29" s="263" t="str">
        <f t="shared" si="6"/>
        <v>--</v>
      </c>
      <c r="X29" s="264" t="str">
        <f t="shared" si="7"/>
        <v>--</v>
      </c>
      <c r="Y29" s="265" t="str">
        <f t="shared" si="8"/>
        <v>--</v>
      </c>
      <c r="Z29" s="266" t="str">
        <f t="shared" si="9"/>
        <v>--</v>
      </c>
      <c r="AA29" s="267" t="str">
        <f t="shared" si="10"/>
        <v>--</v>
      </c>
      <c r="AB29" s="268" t="str">
        <f t="shared" si="11"/>
        <v>--</v>
      </c>
      <c r="AC29" s="269" t="str">
        <f t="shared" si="12"/>
        <v>--</v>
      </c>
      <c r="AD29" s="191">
        <f t="shared" si="13"/>
      </c>
      <c r="AE29" s="192">
        <f t="shared" si="14"/>
      </c>
      <c r="AF29" s="193"/>
    </row>
    <row r="30" spans="2:32" s="8" customFormat="1" ht="16.5" customHeight="1">
      <c r="B30" s="55"/>
      <c r="C30" s="169"/>
      <c r="D30" s="169"/>
      <c r="E30" s="169"/>
      <c r="F30" s="199"/>
      <c r="G30" s="200"/>
      <c r="H30" s="201"/>
      <c r="I30" s="200"/>
      <c r="J30" s="172">
        <f t="shared" si="0"/>
        <v>20</v>
      </c>
      <c r="K30" s="173" t="e">
        <f t="shared" si="1"/>
        <v>#VALUE!</v>
      </c>
      <c r="L30" s="202"/>
      <c r="M30" s="203"/>
      <c r="N30" s="176">
        <f t="shared" si="15"/>
      </c>
      <c r="O30" s="177">
        <f t="shared" si="16"/>
      </c>
      <c r="P30" s="178"/>
      <c r="Q30" s="179">
        <f t="shared" si="17"/>
      </c>
      <c r="R30" s="180">
        <f t="shared" si="18"/>
      </c>
      <c r="S30" s="180">
        <f t="shared" si="2"/>
      </c>
      <c r="T30" s="260" t="str">
        <f t="shared" si="3"/>
        <v>--</v>
      </c>
      <c r="U30" s="261" t="str">
        <f t="shared" si="4"/>
        <v>--</v>
      </c>
      <c r="V30" s="262" t="str">
        <f t="shared" si="5"/>
        <v>--</v>
      </c>
      <c r="W30" s="263" t="str">
        <f t="shared" si="6"/>
        <v>--</v>
      </c>
      <c r="X30" s="264" t="str">
        <f t="shared" si="7"/>
        <v>--</v>
      </c>
      <c r="Y30" s="265" t="str">
        <f t="shared" si="8"/>
        <v>--</v>
      </c>
      <c r="Z30" s="266" t="str">
        <f t="shared" si="9"/>
        <v>--</v>
      </c>
      <c r="AA30" s="267" t="str">
        <f t="shared" si="10"/>
        <v>--</v>
      </c>
      <c r="AB30" s="268" t="str">
        <f t="shared" si="11"/>
        <v>--</v>
      </c>
      <c r="AC30" s="269" t="str">
        <f t="shared" si="12"/>
        <v>--</v>
      </c>
      <c r="AD30" s="191">
        <f t="shared" si="13"/>
      </c>
      <c r="AE30" s="192">
        <f t="shared" si="14"/>
      </c>
      <c r="AF30" s="193"/>
    </row>
    <row r="31" spans="2:32" s="8" customFormat="1" ht="16.5" customHeight="1">
      <c r="B31" s="55"/>
      <c r="C31" s="150"/>
      <c r="D31" s="150"/>
      <c r="E31" s="150"/>
      <c r="F31" s="199"/>
      <c r="G31" s="200"/>
      <c r="H31" s="201"/>
      <c r="I31" s="200"/>
      <c r="J31" s="172">
        <f t="shared" si="0"/>
        <v>20</v>
      </c>
      <c r="K31" s="173" t="e">
        <f t="shared" si="1"/>
        <v>#VALUE!</v>
      </c>
      <c r="L31" s="202"/>
      <c r="M31" s="204"/>
      <c r="N31" s="176">
        <f t="shared" si="15"/>
      </c>
      <c r="O31" s="177">
        <f t="shared" si="16"/>
      </c>
      <c r="P31" s="178"/>
      <c r="Q31" s="179">
        <f t="shared" si="17"/>
      </c>
      <c r="R31" s="180">
        <f t="shared" si="18"/>
      </c>
      <c r="S31" s="180">
        <f t="shared" si="2"/>
      </c>
      <c r="T31" s="260" t="str">
        <f t="shared" si="3"/>
        <v>--</v>
      </c>
      <c r="U31" s="261" t="str">
        <f t="shared" si="4"/>
        <v>--</v>
      </c>
      <c r="V31" s="262" t="str">
        <f t="shared" si="5"/>
        <v>--</v>
      </c>
      <c r="W31" s="263" t="str">
        <f t="shared" si="6"/>
        <v>--</v>
      </c>
      <c r="X31" s="264" t="str">
        <f t="shared" si="7"/>
        <v>--</v>
      </c>
      <c r="Y31" s="265" t="str">
        <f t="shared" si="8"/>
        <v>--</v>
      </c>
      <c r="Z31" s="266" t="str">
        <f t="shared" si="9"/>
        <v>--</v>
      </c>
      <c r="AA31" s="267" t="str">
        <f t="shared" si="10"/>
        <v>--</v>
      </c>
      <c r="AB31" s="268" t="str">
        <f t="shared" si="11"/>
        <v>--</v>
      </c>
      <c r="AC31" s="269" t="str">
        <f t="shared" si="12"/>
        <v>--</v>
      </c>
      <c r="AD31" s="191">
        <f t="shared" si="13"/>
      </c>
      <c r="AE31" s="192">
        <f t="shared" si="14"/>
      </c>
      <c r="AF31" s="193"/>
    </row>
    <row r="32" spans="2:32" s="8" customFormat="1" ht="16.5" customHeight="1">
      <c r="B32" s="55"/>
      <c r="C32" s="169"/>
      <c r="D32" s="169"/>
      <c r="E32" s="169"/>
      <c r="F32" s="199"/>
      <c r="G32" s="200"/>
      <c r="H32" s="201"/>
      <c r="I32" s="200"/>
      <c r="J32" s="172">
        <f t="shared" si="0"/>
        <v>20</v>
      </c>
      <c r="K32" s="173" t="e">
        <f t="shared" si="1"/>
        <v>#VALUE!</v>
      </c>
      <c r="L32" s="202"/>
      <c r="M32" s="204"/>
      <c r="N32" s="176">
        <f t="shared" si="15"/>
      </c>
      <c r="O32" s="177">
        <f t="shared" si="16"/>
      </c>
      <c r="P32" s="178"/>
      <c r="Q32" s="179">
        <f t="shared" si="17"/>
      </c>
      <c r="R32" s="180">
        <f t="shared" si="18"/>
      </c>
      <c r="S32" s="180">
        <f t="shared" si="2"/>
      </c>
      <c r="T32" s="260" t="str">
        <f t="shared" si="3"/>
        <v>--</v>
      </c>
      <c r="U32" s="261" t="str">
        <f t="shared" si="4"/>
        <v>--</v>
      </c>
      <c r="V32" s="262" t="str">
        <f t="shared" si="5"/>
        <v>--</v>
      </c>
      <c r="W32" s="263" t="str">
        <f t="shared" si="6"/>
        <v>--</v>
      </c>
      <c r="X32" s="264" t="str">
        <f t="shared" si="7"/>
        <v>--</v>
      </c>
      <c r="Y32" s="265" t="str">
        <f t="shared" si="8"/>
        <v>--</v>
      </c>
      <c r="Z32" s="266" t="str">
        <f t="shared" si="9"/>
        <v>--</v>
      </c>
      <c r="AA32" s="267" t="str">
        <f t="shared" si="10"/>
        <v>--</v>
      </c>
      <c r="AB32" s="268" t="str">
        <f t="shared" si="11"/>
        <v>--</v>
      </c>
      <c r="AC32" s="269" t="str">
        <f t="shared" si="12"/>
        <v>--</v>
      </c>
      <c r="AD32" s="191">
        <f t="shared" si="13"/>
      </c>
      <c r="AE32" s="192">
        <f t="shared" si="14"/>
      </c>
      <c r="AF32" s="193"/>
    </row>
    <row r="33" spans="2:32" s="8" customFormat="1" ht="16.5" customHeight="1">
      <c r="B33" s="55"/>
      <c r="C33" s="150"/>
      <c r="D33" s="150"/>
      <c r="E33" s="150"/>
      <c r="F33" s="199"/>
      <c r="G33" s="200"/>
      <c r="H33" s="201"/>
      <c r="I33" s="200"/>
      <c r="J33" s="172">
        <f t="shared" si="0"/>
        <v>20</v>
      </c>
      <c r="K33" s="173" t="e">
        <f t="shared" si="1"/>
        <v>#VALUE!</v>
      </c>
      <c r="L33" s="202"/>
      <c r="M33" s="204"/>
      <c r="N33" s="176">
        <f t="shared" si="15"/>
      </c>
      <c r="O33" s="177">
        <f t="shared" si="16"/>
      </c>
      <c r="P33" s="178"/>
      <c r="Q33" s="179">
        <f t="shared" si="17"/>
      </c>
      <c r="R33" s="180">
        <f t="shared" si="18"/>
      </c>
      <c r="S33" s="180">
        <f t="shared" si="2"/>
      </c>
      <c r="T33" s="260" t="str">
        <f t="shared" si="3"/>
        <v>--</v>
      </c>
      <c r="U33" s="261" t="str">
        <f t="shared" si="4"/>
        <v>--</v>
      </c>
      <c r="V33" s="262" t="str">
        <f t="shared" si="5"/>
        <v>--</v>
      </c>
      <c r="W33" s="263" t="str">
        <f t="shared" si="6"/>
        <v>--</v>
      </c>
      <c r="X33" s="264" t="str">
        <f t="shared" si="7"/>
        <v>--</v>
      </c>
      <c r="Y33" s="265" t="str">
        <f t="shared" si="8"/>
        <v>--</v>
      </c>
      <c r="Z33" s="266" t="str">
        <f t="shared" si="9"/>
        <v>--</v>
      </c>
      <c r="AA33" s="267" t="str">
        <f t="shared" si="10"/>
        <v>--</v>
      </c>
      <c r="AB33" s="268" t="str">
        <f t="shared" si="11"/>
        <v>--</v>
      </c>
      <c r="AC33" s="269" t="str">
        <f t="shared" si="12"/>
        <v>--</v>
      </c>
      <c r="AD33" s="191">
        <f t="shared" si="13"/>
      </c>
      <c r="AE33" s="192">
        <f t="shared" si="14"/>
      </c>
      <c r="AF33" s="193"/>
    </row>
    <row r="34" spans="2:32" s="8" customFormat="1" ht="16.5" customHeight="1">
      <c r="B34" s="55"/>
      <c r="C34" s="169"/>
      <c r="D34" s="169"/>
      <c r="E34" s="169"/>
      <c r="F34" s="199"/>
      <c r="G34" s="200"/>
      <c r="H34" s="201"/>
      <c r="I34" s="200"/>
      <c r="J34" s="172">
        <f t="shared" si="0"/>
        <v>20</v>
      </c>
      <c r="K34" s="173" t="e">
        <f t="shared" si="1"/>
        <v>#VALUE!</v>
      </c>
      <c r="L34" s="202"/>
      <c r="M34" s="204"/>
      <c r="N34" s="176">
        <f t="shared" si="15"/>
      </c>
      <c r="O34" s="177">
        <f t="shared" si="16"/>
      </c>
      <c r="P34" s="178"/>
      <c r="Q34" s="179">
        <f t="shared" si="17"/>
      </c>
      <c r="R34" s="180">
        <f t="shared" si="18"/>
      </c>
      <c r="S34" s="180">
        <f t="shared" si="2"/>
      </c>
      <c r="T34" s="260" t="str">
        <f t="shared" si="3"/>
        <v>--</v>
      </c>
      <c r="U34" s="261" t="str">
        <f t="shared" si="4"/>
        <v>--</v>
      </c>
      <c r="V34" s="262" t="str">
        <f t="shared" si="5"/>
        <v>--</v>
      </c>
      <c r="W34" s="263" t="str">
        <f t="shared" si="6"/>
        <v>--</v>
      </c>
      <c r="X34" s="264" t="str">
        <f t="shared" si="7"/>
        <v>--</v>
      </c>
      <c r="Y34" s="265" t="str">
        <f t="shared" si="8"/>
        <v>--</v>
      </c>
      <c r="Z34" s="266" t="str">
        <f t="shared" si="9"/>
        <v>--</v>
      </c>
      <c r="AA34" s="267" t="str">
        <f t="shared" si="10"/>
        <v>--</v>
      </c>
      <c r="AB34" s="268" t="str">
        <f t="shared" si="11"/>
        <v>--</v>
      </c>
      <c r="AC34" s="269" t="str">
        <f t="shared" si="12"/>
        <v>--</v>
      </c>
      <c r="AD34" s="191">
        <f t="shared" si="13"/>
      </c>
      <c r="AE34" s="192">
        <f t="shared" si="14"/>
      </c>
      <c r="AF34" s="193"/>
    </row>
    <row r="35" spans="2:32" s="8" customFormat="1" ht="16.5" customHeight="1">
      <c r="B35" s="55"/>
      <c r="C35" s="150"/>
      <c r="D35" s="150"/>
      <c r="E35" s="150"/>
      <c r="F35" s="199"/>
      <c r="G35" s="200"/>
      <c r="H35" s="201"/>
      <c r="I35" s="200"/>
      <c r="J35" s="172">
        <f t="shared" si="0"/>
        <v>20</v>
      </c>
      <c r="K35" s="173" t="e">
        <f t="shared" si="1"/>
        <v>#VALUE!</v>
      </c>
      <c r="L35" s="202"/>
      <c r="M35" s="204"/>
      <c r="N35" s="176">
        <f t="shared" si="15"/>
      </c>
      <c r="O35" s="177">
        <f t="shared" si="16"/>
      </c>
      <c r="P35" s="178"/>
      <c r="Q35" s="179">
        <f t="shared" si="17"/>
      </c>
      <c r="R35" s="180">
        <f t="shared" si="18"/>
      </c>
      <c r="S35" s="180">
        <f t="shared" si="2"/>
      </c>
      <c r="T35" s="260" t="str">
        <f t="shared" si="3"/>
        <v>--</v>
      </c>
      <c r="U35" s="261" t="str">
        <f t="shared" si="4"/>
        <v>--</v>
      </c>
      <c r="V35" s="262" t="str">
        <f t="shared" si="5"/>
        <v>--</v>
      </c>
      <c r="W35" s="263" t="str">
        <f t="shared" si="6"/>
        <v>--</v>
      </c>
      <c r="X35" s="264" t="str">
        <f t="shared" si="7"/>
        <v>--</v>
      </c>
      <c r="Y35" s="265" t="str">
        <f t="shared" si="8"/>
        <v>--</v>
      </c>
      <c r="Z35" s="266" t="str">
        <f t="shared" si="9"/>
        <v>--</v>
      </c>
      <c r="AA35" s="267" t="str">
        <f t="shared" si="10"/>
        <v>--</v>
      </c>
      <c r="AB35" s="268" t="str">
        <f t="shared" si="11"/>
        <v>--</v>
      </c>
      <c r="AC35" s="269" t="str">
        <f t="shared" si="12"/>
        <v>--</v>
      </c>
      <c r="AD35" s="191">
        <f t="shared" si="13"/>
      </c>
      <c r="AE35" s="192">
        <f t="shared" si="14"/>
      </c>
      <c r="AF35" s="193"/>
    </row>
    <row r="36" spans="2:32" s="8" customFormat="1" ht="16.5" customHeight="1">
      <c r="B36" s="55"/>
      <c r="C36" s="169"/>
      <c r="D36" s="169"/>
      <c r="E36" s="169"/>
      <c r="F36" s="199"/>
      <c r="G36" s="200"/>
      <c r="H36" s="201"/>
      <c r="I36" s="200"/>
      <c r="J36" s="172">
        <f t="shared" si="0"/>
        <v>20</v>
      </c>
      <c r="K36" s="173" t="e">
        <f t="shared" si="1"/>
        <v>#VALUE!</v>
      </c>
      <c r="L36" s="202"/>
      <c r="M36" s="204"/>
      <c r="N36" s="176">
        <f t="shared" si="15"/>
      </c>
      <c r="O36" s="177">
        <f t="shared" si="16"/>
      </c>
      <c r="P36" s="178"/>
      <c r="Q36" s="179">
        <f t="shared" si="17"/>
      </c>
      <c r="R36" s="180">
        <f t="shared" si="18"/>
      </c>
      <c r="S36" s="180">
        <f t="shared" si="2"/>
      </c>
      <c r="T36" s="260" t="str">
        <f t="shared" si="3"/>
        <v>--</v>
      </c>
      <c r="U36" s="261" t="str">
        <f t="shared" si="4"/>
        <v>--</v>
      </c>
      <c r="V36" s="262" t="str">
        <f t="shared" si="5"/>
        <v>--</v>
      </c>
      <c r="W36" s="263" t="str">
        <f t="shared" si="6"/>
        <v>--</v>
      </c>
      <c r="X36" s="264" t="str">
        <f t="shared" si="7"/>
        <v>--</v>
      </c>
      <c r="Y36" s="265" t="str">
        <f t="shared" si="8"/>
        <v>--</v>
      </c>
      <c r="Z36" s="266" t="str">
        <f t="shared" si="9"/>
        <v>--</v>
      </c>
      <c r="AA36" s="267" t="str">
        <f t="shared" si="10"/>
        <v>--</v>
      </c>
      <c r="AB36" s="268" t="str">
        <f t="shared" si="11"/>
        <v>--</v>
      </c>
      <c r="AC36" s="269" t="str">
        <f t="shared" si="12"/>
        <v>--</v>
      </c>
      <c r="AD36" s="191">
        <f t="shared" si="13"/>
      </c>
      <c r="AE36" s="192">
        <f t="shared" si="14"/>
      </c>
      <c r="AF36" s="193"/>
    </row>
    <row r="37" spans="2:32" s="8" customFormat="1" ht="16.5" customHeight="1">
      <c r="B37" s="55"/>
      <c r="C37" s="150"/>
      <c r="D37" s="150"/>
      <c r="E37" s="150"/>
      <c r="F37" s="199"/>
      <c r="G37" s="200"/>
      <c r="H37" s="201"/>
      <c r="I37" s="200"/>
      <c r="J37" s="172">
        <f t="shared" si="0"/>
        <v>20</v>
      </c>
      <c r="K37" s="173" t="e">
        <f t="shared" si="1"/>
        <v>#VALUE!</v>
      </c>
      <c r="L37" s="202"/>
      <c r="M37" s="204"/>
      <c r="N37" s="176">
        <f t="shared" si="15"/>
      </c>
      <c r="O37" s="177">
        <f t="shared" si="16"/>
      </c>
      <c r="P37" s="178"/>
      <c r="Q37" s="179">
        <f t="shared" si="17"/>
      </c>
      <c r="R37" s="180">
        <f t="shared" si="18"/>
      </c>
      <c r="S37" s="180">
        <f t="shared" si="2"/>
      </c>
      <c r="T37" s="260" t="str">
        <f t="shared" si="3"/>
        <v>--</v>
      </c>
      <c r="U37" s="261" t="str">
        <f t="shared" si="4"/>
        <v>--</v>
      </c>
      <c r="V37" s="262" t="str">
        <f t="shared" si="5"/>
        <v>--</v>
      </c>
      <c r="W37" s="263" t="str">
        <f t="shared" si="6"/>
        <v>--</v>
      </c>
      <c r="X37" s="264" t="str">
        <f t="shared" si="7"/>
        <v>--</v>
      </c>
      <c r="Y37" s="265" t="str">
        <f t="shared" si="8"/>
        <v>--</v>
      </c>
      <c r="Z37" s="266" t="str">
        <f t="shared" si="9"/>
        <v>--</v>
      </c>
      <c r="AA37" s="267" t="str">
        <f t="shared" si="10"/>
        <v>--</v>
      </c>
      <c r="AB37" s="268" t="str">
        <f t="shared" si="11"/>
        <v>--</v>
      </c>
      <c r="AC37" s="269" t="str">
        <f t="shared" si="12"/>
        <v>--</v>
      </c>
      <c r="AD37" s="191">
        <f t="shared" si="13"/>
      </c>
      <c r="AE37" s="192">
        <f t="shared" si="14"/>
      </c>
      <c r="AF37" s="193"/>
    </row>
    <row r="38" spans="2:32" s="8" customFormat="1" ht="16.5" customHeight="1">
      <c r="B38" s="55"/>
      <c r="C38" s="169"/>
      <c r="D38" s="169"/>
      <c r="E38" s="169"/>
      <c r="F38" s="199"/>
      <c r="G38" s="200"/>
      <c r="H38" s="201"/>
      <c r="I38" s="200"/>
      <c r="J38" s="172">
        <f t="shared" si="0"/>
        <v>20</v>
      </c>
      <c r="K38" s="173" t="e">
        <f t="shared" si="1"/>
        <v>#VALUE!</v>
      </c>
      <c r="L38" s="202"/>
      <c r="M38" s="204"/>
      <c r="N38" s="176">
        <f t="shared" si="15"/>
      </c>
      <c r="O38" s="177">
        <f t="shared" si="16"/>
      </c>
      <c r="P38" s="178"/>
      <c r="Q38" s="179">
        <f t="shared" si="17"/>
      </c>
      <c r="R38" s="180">
        <f t="shared" si="18"/>
      </c>
      <c r="S38" s="180">
        <f t="shared" si="2"/>
      </c>
      <c r="T38" s="260" t="str">
        <f t="shared" si="3"/>
        <v>--</v>
      </c>
      <c r="U38" s="261" t="str">
        <f t="shared" si="4"/>
        <v>--</v>
      </c>
      <c r="V38" s="262" t="str">
        <f t="shared" si="5"/>
        <v>--</v>
      </c>
      <c r="W38" s="263" t="str">
        <f t="shared" si="6"/>
        <v>--</v>
      </c>
      <c r="X38" s="264" t="str">
        <f t="shared" si="7"/>
        <v>--</v>
      </c>
      <c r="Y38" s="265" t="str">
        <f t="shared" si="8"/>
        <v>--</v>
      </c>
      <c r="Z38" s="266" t="str">
        <f t="shared" si="9"/>
        <v>--</v>
      </c>
      <c r="AA38" s="267" t="str">
        <f t="shared" si="10"/>
        <v>--</v>
      </c>
      <c r="AB38" s="268" t="str">
        <f t="shared" si="11"/>
        <v>--</v>
      </c>
      <c r="AC38" s="269" t="str">
        <f t="shared" si="12"/>
        <v>--</v>
      </c>
      <c r="AD38" s="191">
        <f t="shared" si="13"/>
      </c>
      <c r="AE38" s="192">
        <f t="shared" si="14"/>
      </c>
      <c r="AF38" s="193"/>
    </row>
    <row r="39" spans="2:32" s="8" customFormat="1" ht="16.5" customHeight="1">
      <c r="B39" s="55"/>
      <c r="C39" s="150"/>
      <c r="D39" s="150"/>
      <c r="E39" s="150"/>
      <c r="F39" s="199"/>
      <c r="G39" s="200"/>
      <c r="H39" s="201"/>
      <c r="I39" s="200"/>
      <c r="J39" s="172">
        <f t="shared" si="0"/>
        <v>20</v>
      </c>
      <c r="K39" s="173" t="e">
        <f t="shared" si="1"/>
        <v>#VALUE!</v>
      </c>
      <c r="L39" s="202"/>
      <c r="M39" s="204"/>
      <c r="N39" s="176">
        <f t="shared" si="15"/>
      </c>
      <c r="O39" s="177">
        <f t="shared" si="16"/>
      </c>
      <c r="P39" s="178"/>
      <c r="Q39" s="179">
        <f t="shared" si="17"/>
      </c>
      <c r="R39" s="180">
        <f t="shared" si="18"/>
      </c>
      <c r="S39" s="180">
        <f t="shared" si="2"/>
      </c>
      <c r="T39" s="260" t="str">
        <f t="shared" si="3"/>
        <v>--</v>
      </c>
      <c r="U39" s="261" t="str">
        <f t="shared" si="4"/>
        <v>--</v>
      </c>
      <c r="V39" s="262" t="str">
        <f t="shared" si="5"/>
        <v>--</v>
      </c>
      <c r="W39" s="263" t="str">
        <f t="shared" si="6"/>
        <v>--</v>
      </c>
      <c r="X39" s="264" t="str">
        <f t="shared" si="7"/>
        <v>--</v>
      </c>
      <c r="Y39" s="265" t="str">
        <f t="shared" si="8"/>
        <v>--</v>
      </c>
      <c r="Z39" s="266" t="str">
        <f t="shared" si="9"/>
        <v>--</v>
      </c>
      <c r="AA39" s="267" t="str">
        <f t="shared" si="10"/>
        <v>--</v>
      </c>
      <c r="AB39" s="268" t="str">
        <f t="shared" si="11"/>
        <v>--</v>
      </c>
      <c r="AC39" s="269" t="str">
        <f t="shared" si="12"/>
        <v>--</v>
      </c>
      <c r="AD39" s="191">
        <f t="shared" si="13"/>
      </c>
      <c r="AE39" s="192">
        <f t="shared" si="14"/>
      </c>
      <c r="AF39" s="193"/>
    </row>
    <row r="40" spans="2:32" s="8" customFormat="1" ht="16.5" customHeight="1" thickBot="1">
      <c r="B40" s="55"/>
      <c r="C40" s="169"/>
      <c r="D40" s="205"/>
      <c r="E40" s="169"/>
      <c r="F40" s="207"/>
      <c r="G40" s="208"/>
      <c r="H40" s="209"/>
      <c r="I40" s="210"/>
      <c r="J40" s="211"/>
      <c r="K40" s="212"/>
      <c r="L40" s="213"/>
      <c r="M40" s="213"/>
      <c r="N40" s="214"/>
      <c r="O40" s="214"/>
      <c r="P40" s="215"/>
      <c r="Q40" s="216"/>
      <c r="R40" s="215"/>
      <c r="S40" s="215"/>
      <c r="T40" s="217"/>
      <c r="U40" s="218"/>
      <c r="V40" s="219"/>
      <c r="W40" s="220"/>
      <c r="X40" s="221"/>
      <c r="Y40" s="222"/>
      <c r="Z40" s="223"/>
      <c r="AA40" s="224"/>
      <c r="AB40" s="225"/>
      <c r="AC40" s="226"/>
      <c r="AD40" s="227"/>
      <c r="AE40" s="228"/>
      <c r="AF40" s="193"/>
    </row>
    <row r="41" spans="2:32" s="8" customFormat="1" ht="16.5" customHeight="1" thickBot="1" thickTop="1">
      <c r="B41" s="55"/>
      <c r="C41" s="644" t="s">
        <v>327</v>
      </c>
      <c r="D41" s="645" t="s">
        <v>338</v>
      </c>
      <c r="E41" s="229"/>
      <c r="F41" s="231"/>
      <c r="G41" s="232"/>
      <c r="H41" s="233"/>
      <c r="I41" s="234"/>
      <c r="J41" s="233"/>
      <c r="K41" s="235"/>
      <c r="L41" s="235"/>
      <c r="M41" s="235"/>
      <c r="N41" s="235"/>
      <c r="O41" s="235"/>
      <c r="P41" s="235"/>
      <c r="Q41" s="236"/>
      <c r="R41" s="235"/>
      <c r="S41" s="235"/>
      <c r="T41" s="237">
        <f aca="true" t="shared" si="19" ref="T41:AC41">SUM(T18:T40)</f>
        <v>0</v>
      </c>
      <c r="U41" s="238">
        <f t="shared" si="19"/>
        <v>0</v>
      </c>
      <c r="V41" s="239">
        <f t="shared" si="19"/>
        <v>8667.0324</v>
      </c>
      <c r="W41" s="239">
        <f t="shared" si="19"/>
        <v>43335.162</v>
      </c>
      <c r="X41" s="239">
        <f t="shared" si="19"/>
        <v>32648.711050800004</v>
      </c>
      <c r="Y41" s="240">
        <f t="shared" si="19"/>
        <v>0</v>
      </c>
      <c r="Z41" s="240">
        <f t="shared" si="19"/>
        <v>0</v>
      </c>
      <c r="AA41" s="240">
        <f t="shared" si="19"/>
        <v>0</v>
      </c>
      <c r="AB41" s="241">
        <f t="shared" si="19"/>
        <v>0</v>
      </c>
      <c r="AC41" s="242">
        <f t="shared" si="19"/>
        <v>0</v>
      </c>
      <c r="AD41" s="243"/>
      <c r="AE41" s="244">
        <f>ROUND(SUM(AE18:AE40),2)</f>
        <v>84650.91</v>
      </c>
      <c r="AF41" s="193"/>
    </row>
    <row r="42" spans="2:32" s="8" customFormat="1" ht="16.5" customHeight="1" thickBot="1" thickTop="1">
      <c r="B42" s="245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7"/>
    </row>
    <row r="43" spans="2:32" ht="16.5" customHeight="1" thickTop="1">
      <c r="B43" s="248"/>
      <c r="C43" s="248"/>
      <c r="D43" s="248"/>
      <c r="AF43" s="248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5" r:id="rId3"/>
  <headerFooter alignWithMargins="0">
    <oddFooter>&amp;L&amp;"Times New Roman,Normal"&amp;8&amp;F-&amp;A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7">
    <pageSetUpPr fitToPage="1"/>
  </sheetPr>
  <dimension ref="A1:AF43"/>
  <sheetViews>
    <sheetView zoomScale="70" zoomScaleNormal="70" zoomScalePageLayoutView="0" workbookViewId="0" topLeftCell="A1">
      <selection activeCell="N51" sqref="N51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7109375" style="9" customWidth="1"/>
    <col min="6" max="6" width="45.7109375" style="9" customWidth="1"/>
    <col min="7" max="8" width="9.7109375" style="9" customWidth="1"/>
    <col min="9" max="9" width="3.8515625" style="9" customWidth="1"/>
    <col min="10" max="10" width="3.140625" style="9" hidden="1" customWidth="1"/>
    <col min="11" max="11" width="7.421875" style="9" hidden="1" customWidth="1"/>
    <col min="12" max="13" width="15.7109375" style="9" customWidth="1"/>
    <col min="14" max="16" width="9.7109375" style="9" customWidth="1"/>
    <col min="17" max="17" width="8.7109375" style="9" customWidth="1"/>
    <col min="18" max="18" width="5.421875" style="9" customWidth="1"/>
    <col min="19" max="19" width="6.00390625" style="9" customWidth="1"/>
    <col min="20" max="21" width="12.28125" style="9" hidden="1" customWidth="1"/>
    <col min="22" max="27" width="5.7109375" style="9" hidden="1" customWidth="1"/>
    <col min="28" max="28" width="12.28125" style="9" hidden="1" customWidth="1"/>
    <col min="29" max="29" width="13.421875" style="9" hidden="1" customWidth="1"/>
    <col min="30" max="30" width="9.7109375" style="9" customWidth="1"/>
    <col min="31" max="31" width="15.7109375" style="9" customWidth="1"/>
    <col min="32" max="32" width="4.140625" style="9" customWidth="1"/>
    <col min="33" max="33" width="30.421875" style="9" customWidth="1"/>
    <col min="34" max="34" width="3.140625" style="9" customWidth="1"/>
    <col min="35" max="35" width="3.57421875" style="9" customWidth="1"/>
    <col min="36" max="36" width="24.28125" style="9" customWidth="1"/>
    <col min="37" max="37" width="4.7109375" style="9" customWidth="1"/>
    <col min="38" max="38" width="7.57421875" style="9" customWidth="1"/>
    <col min="39" max="40" width="4.140625" style="9" customWidth="1"/>
    <col min="41" max="41" width="7.140625" style="9" customWidth="1"/>
    <col min="42" max="42" width="5.28125" style="9" customWidth="1"/>
    <col min="43" max="43" width="5.421875" style="9" customWidth="1"/>
    <col min="44" max="44" width="4.7109375" style="9" customWidth="1"/>
    <col min="45" max="45" width="5.28125" style="9" customWidth="1"/>
    <col min="46" max="47" width="13.28125" style="9" customWidth="1"/>
    <col min="48" max="48" width="6.57421875" style="9" customWidth="1"/>
    <col min="49" max="49" width="6.421875" style="9" customWidth="1"/>
    <col min="50" max="53" width="11.421875" style="9" customWidth="1"/>
    <col min="54" max="54" width="12.7109375" style="9" customWidth="1"/>
    <col min="55" max="57" width="11.421875" style="9" customWidth="1"/>
    <col min="58" max="58" width="21.00390625" style="9" customWidth="1"/>
    <col min="59" max="16384" width="11.421875" style="9" customWidth="1"/>
  </cols>
  <sheetData>
    <row r="1" spans="1:32" s="3" customFormat="1" ht="26.25">
      <c r="A1" s="9"/>
      <c r="C1" s="9"/>
      <c r="D1" s="9"/>
      <c r="E1" s="9"/>
      <c r="G1" s="9"/>
      <c r="I1" s="9"/>
      <c r="K1" s="9"/>
      <c r="M1" s="9"/>
      <c r="O1" s="9"/>
      <c r="Q1" s="9"/>
      <c r="S1" s="9"/>
      <c r="U1" s="9"/>
      <c r="W1" s="9"/>
      <c r="Y1" s="9"/>
      <c r="AA1" s="9"/>
      <c r="AF1" s="5"/>
    </row>
    <row r="2" spans="1:32" s="3" customFormat="1" ht="26.25">
      <c r="A2" s="88"/>
      <c r="B2" s="2" t="str">
        <f>'TOT-0912'!B2</f>
        <v>ANEXO IV al Memorándum  D.T.E.E.  N° 295 / 2014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8" customFormat="1" ht="23.25" customHeight="1">
      <c r="A3" s="89"/>
    </row>
    <row r="4" spans="1:3" s="14" customFormat="1" ht="11.25">
      <c r="A4" s="275" t="s">
        <v>513</v>
      </c>
      <c r="B4" s="90"/>
      <c r="C4" s="12"/>
    </row>
    <row r="5" spans="2:3" s="14" customFormat="1" ht="11.25">
      <c r="B5" s="275" t="s">
        <v>3</v>
      </c>
      <c r="C5" s="12"/>
    </row>
    <row r="6" s="8" customFormat="1" ht="13.5" thickBot="1"/>
    <row r="7" spans="2:32" s="8" customFormat="1" ht="13.5" thickTop="1">
      <c r="B7" s="91"/>
      <c r="C7" s="92"/>
      <c r="D7" s="92"/>
      <c r="E7" s="92"/>
      <c r="F7" s="92"/>
      <c r="G7" s="93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4"/>
    </row>
    <row r="8" spans="2:32" s="18" customFormat="1" ht="20.25">
      <c r="B8" s="95"/>
      <c r="C8" s="23"/>
      <c r="D8" s="23"/>
      <c r="E8" s="23"/>
      <c r="F8" s="96" t="s">
        <v>23</v>
      </c>
      <c r="G8" s="23"/>
      <c r="H8" s="23"/>
      <c r="I8" s="23"/>
      <c r="J8" s="23"/>
      <c r="P8" s="23"/>
      <c r="Q8" s="23"/>
      <c r="R8" s="97"/>
      <c r="S8" s="97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98"/>
    </row>
    <row r="9" spans="2:32" s="8" customFormat="1" ht="16.5" customHeight="1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99"/>
    </row>
    <row r="10" spans="2:32" s="249" customFormat="1" ht="33" customHeight="1">
      <c r="B10" s="250"/>
      <c r="C10" s="251"/>
      <c r="D10" s="251"/>
      <c r="E10" s="251"/>
      <c r="F10" s="252" t="s">
        <v>24</v>
      </c>
      <c r="G10" s="251"/>
      <c r="H10" s="251"/>
      <c r="I10" s="251"/>
      <c r="K10" s="251"/>
      <c r="L10" s="251"/>
      <c r="M10" s="251"/>
      <c r="N10" s="251"/>
      <c r="O10" s="251"/>
      <c r="P10" s="251"/>
      <c r="Q10" s="251"/>
      <c r="R10" s="252"/>
      <c r="S10" s="252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3"/>
    </row>
    <row r="11" spans="2:32" s="254" customFormat="1" ht="33" customHeight="1">
      <c r="B11" s="255"/>
      <c r="C11" s="256"/>
      <c r="D11" s="256"/>
      <c r="E11" s="256"/>
      <c r="F11" s="272" t="s">
        <v>377</v>
      </c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8"/>
    </row>
    <row r="12" spans="2:32" s="34" customFormat="1" ht="19.5">
      <c r="B12" s="35" t="s">
        <v>52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101"/>
      <c r="Q12" s="101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102"/>
    </row>
    <row r="13" spans="2:32" s="8" customFormat="1" ht="16.5" customHeight="1" thickBot="1">
      <c r="B13" s="55"/>
      <c r="C13" s="11"/>
      <c r="D13" s="11"/>
      <c r="E13" s="11"/>
      <c r="F13" s="11"/>
      <c r="G13" s="85"/>
      <c r="H13" s="85"/>
      <c r="I13" s="11"/>
      <c r="J13" s="11"/>
      <c r="K13" s="11"/>
      <c r="L13" s="103"/>
      <c r="M13" s="11"/>
      <c r="N13" s="11"/>
      <c r="O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99"/>
    </row>
    <row r="14" spans="2:32" s="8" customFormat="1" ht="16.5" customHeight="1" thickBot="1" thickTop="1">
      <c r="B14" s="55"/>
      <c r="C14" s="11"/>
      <c r="D14" s="11"/>
      <c r="E14" s="11"/>
      <c r="F14" s="104" t="s">
        <v>26</v>
      </c>
      <c r="G14" s="105">
        <v>37.943</v>
      </c>
      <c r="H14" s="106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99"/>
    </row>
    <row r="15" spans="2:32" s="8" customFormat="1" ht="16.5" customHeight="1" thickTop="1">
      <c r="B15" s="55"/>
      <c r="C15" s="11"/>
      <c r="D15" s="11"/>
      <c r="E15" s="11"/>
      <c r="F15" s="276"/>
      <c r="G15" s="277"/>
      <c r="H15" s="278"/>
      <c r="I15" s="11"/>
      <c r="J15" s="11"/>
      <c r="K15" s="11"/>
      <c r="L15" s="107"/>
      <c r="M15" s="108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09"/>
      <c r="Y15" s="109"/>
      <c r="Z15" s="109"/>
      <c r="AA15" s="109"/>
      <c r="AB15" s="109"/>
      <c r="AC15" s="109"/>
      <c r="AD15" s="109"/>
      <c r="AF15" s="99"/>
    </row>
    <row r="16" spans="2:32" s="8" customFormat="1" ht="16.5" customHeight="1" thickBot="1">
      <c r="B16" s="55"/>
      <c r="C16" s="110">
        <v>3</v>
      </c>
      <c r="D16" s="110">
        <v>4</v>
      </c>
      <c r="E16" s="110">
        <v>5</v>
      </c>
      <c r="F16" s="110">
        <v>6</v>
      </c>
      <c r="G16" s="110">
        <v>7</v>
      </c>
      <c r="H16" s="110">
        <v>8</v>
      </c>
      <c r="I16" s="110">
        <v>9</v>
      </c>
      <c r="J16" s="110">
        <v>10</v>
      </c>
      <c r="K16" s="110">
        <v>11</v>
      </c>
      <c r="L16" s="110">
        <v>12</v>
      </c>
      <c r="M16" s="110">
        <v>13</v>
      </c>
      <c r="N16" s="110">
        <v>14</v>
      </c>
      <c r="O16" s="110">
        <v>15</v>
      </c>
      <c r="P16" s="110">
        <v>16</v>
      </c>
      <c r="Q16" s="110">
        <v>17</v>
      </c>
      <c r="R16" s="110">
        <v>18</v>
      </c>
      <c r="S16" s="110">
        <v>19</v>
      </c>
      <c r="T16" s="110">
        <v>20</v>
      </c>
      <c r="U16" s="110">
        <v>21</v>
      </c>
      <c r="V16" s="110">
        <v>22</v>
      </c>
      <c r="W16" s="110">
        <v>23</v>
      </c>
      <c r="X16" s="110">
        <v>24</v>
      </c>
      <c r="Y16" s="110">
        <v>25</v>
      </c>
      <c r="Z16" s="110">
        <v>26</v>
      </c>
      <c r="AA16" s="110">
        <v>27</v>
      </c>
      <c r="AB16" s="110">
        <v>28</v>
      </c>
      <c r="AC16" s="110">
        <v>29</v>
      </c>
      <c r="AD16" s="110">
        <v>30</v>
      </c>
      <c r="AE16" s="110">
        <v>31</v>
      </c>
      <c r="AF16" s="99"/>
    </row>
    <row r="17" spans="2:32" s="8" customFormat="1" ht="33.75" customHeight="1" thickBot="1" thickTop="1">
      <c r="B17" s="55"/>
      <c r="C17" s="111" t="s">
        <v>28</v>
      </c>
      <c r="D17" s="111" t="s">
        <v>29</v>
      </c>
      <c r="E17" s="111" t="s">
        <v>30</v>
      </c>
      <c r="F17" s="112" t="s">
        <v>5</v>
      </c>
      <c r="G17" s="113" t="s">
        <v>31</v>
      </c>
      <c r="H17" s="114" t="s">
        <v>32</v>
      </c>
      <c r="I17" s="115" t="s">
        <v>33</v>
      </c>
      <c r="J17" s="116" t="s">
        <v>34</v>
      </c>
      <c r="K17" s="117" t="s">
        <v>35</v>
      </c>
      <c r="L17" s="112" t="s">
        <v>36</v>
      </c>
      <c r="M17" s="118" t="s">
        <v>37</v>
      </c>
      <c r="N17" s="119" t="s">
        <v>38</v>
      </c>
      <c r="O17" s="114" t="s">
        <v>39</v>
      </c>
      <c r="P17" s="119" t="s">
        <v>254</v>
      </c>
      <c r="Q17" s="114" t="s">
        <v>40</v>
      </c>
      <c r="R17" s="118" t="s">
        <v>41</v>
      </c>
      <c r="S17" s="112" t="s">
        <v>42</v>
      </c>
      <c r="T17" s="120" t="s">
        <v>43</v>
      </c>
      <c r="U17" s="121" t="s">
        <v>44</v>
      </c>
      <c r="V17" s="122" t="s">
        <v>45</v>
      </c>
      <c r="W17" s="123"/>
      <c r="X17" s="124"/>
      <c r="Y17" s="125" t="s">
        <v>46</v>
      </c>
      <c r="Z17" s="126"/>
      <c r="AA17" s="127"/>
      <c r="AB17" s="128" t="s">
        <v>47</v>
      </c>
      <c r="AC17" s="129" t="s">
        <v>48</v>
      </c>
      <c r="AD17" s="130" t="s">
        <v>49</v>
      </c>
      <c r="AE17" s="130" t="s">
        <v>50</v>
      </c>
      <c r="AF17" s="131"/>
    </row>
    <row r="18" spans="2:32" s="8" customFormat="1" ht="16.5" customHeight="1" thickTop="1">
      <c r="B18" s="55"/>
      <c r="C18" s="132"/>
      <c r="D18" s="132"/>
      <c r="E18" s="132"/>
      <c r="F18" s="133"/>
      <c r="G18" s="133"/>
      <c r="H18" s="134"/>
      <c r="I18" s="135"/>
      <c r="J18" s="136"/>
      <c r="K18" s="137"/>
      <c r="L18" s="138"/>
      <c r="M18" s="138"/>
      <c r="N18" s="135"/>
      <c r="O18" s="135"/>
      <c r="P18" s="135"/>
      <c r="Q18" s="135"/>
      <c r="R18" s="135"/>
      <c r="S18" s="135"/>
      <c r="T18" s="139"/>
      <c r="U18" s="140"/>
      <c r="V18" s="141"/>
      <c r="W18" s="142"/>
      <c r="X18" s="143"/>
      <c r="Y18" s="144"/>
      <c r="Z18" s="145"/>
      <c r="AA18" s="146"/>
      <c r="AB18" s="147"/>
      <c r="AC18" s="148"/>
      <c r="AD18" s="135"/>
      <c r="AE18" s="149"/>
      <c r="AF18" s="99"/>
    </row>
    <row r="19" spans="2:32" s="8" customFormat="1" ht="16.5" customHeight="1">
      <c r="B19" s="55"/>
      <c r="C19" s="259"/>
      <c r="D19" s="259"/>
      <c r="E19" s="259"/>
      <c r="F19" s="194"/>
      <c r="G19" s="195"/>
      <c r="H19" s="196"/>
      <c r="I19" s="195"/>
      <c r="J19" s="172">
        <f aca="true" t="shared" si="0" ref="J19:J39">IF(I19="A",200,IF(I19="B",60,20))</f>
        <v>20</v>
      </c>
      <c r="K19" s="173">
        <f aca="true" t="shared" si="1" ref="K19:K39">IF(G19=500,IF(H19&lt;100,100*$G$14/100,H19*$G$14/100),IF(H19&lt;100,100*$G$15/100,H19*$G$15/100))</f>
        <v>0</v>
      </c>
      <c r="L19" s="174"/>
      <c r="M19" s="175"/>
      <c r="N19" s="176">
        <f aca="true" t="shared" si="2" ref="N19:N39">IF(F19="","",(M19-L19)*24)</f>
      </c>
      <c r="O19" s="177">
        <f aca="true" t="shared" si="3" ref="O19:O39">IF(F19="","",ROUND((M19-L19)*24*60,0))</f>
      </c>
      <c r="P19" s="178"/>
      <c r="Q19" s="179">
        <f aca="true" t="shared" si="4" ref="Q19:Q39">IF(F19="","","--")</f>
      </c>
      <c r="R19" s="180">
        <f aca="true" t="shared" si="5" ref="R19:R39">IF(F19="","","NO")</f>
      </c>
      <c r="S19" s="180">
        <f aca="true" t="shared" si="6" ref="S19:S39">IF(F19="","",IF(OR(P19="P",P19="RP"),"--","NO"))</f>
      </c>
      <c r="T19" s="260" t="str">
        <f aca="true" t="shared" si="7" ref="T19:T39">IF(P19="P",K19*J19*ROUND(O19/60,2)*0.01,"--")</f>
        <v>--</v>
      </c>
      <c r="U19" s="261" t="str">
        <f aca="true" t="shared" si="8" ref="U19:U39">IF(P19="RP",K19*J19*ROUND(O19/60,2)*0.01*Q19/100,"--")</f>
        <v>--</v>
      </c>
      <c r="V19" s="262" t="str">
        <f aca="true" t="shared" si="9" ref="V19:V39">IF(AND(P19="F",S19="NO"),K19*J19*IF(R19="SI",1.2,1),"--")</f>
        <v>--</v>
      </c>
      <c r="W19" s="263" t="str">
        <f aca="true" t="shared" si="10" ref="W19:W39">IF(AND(P19="F",O19&gt;=10),K19*J19*IF(R19="SI",1.2,1)*IF(O19&lt;=300,ROUND(O19/60,2),5),"--")</f>
        <v>--</v>
      </c>
      <c r="X19" s="264" t="str">
        <f aca="true" t="shared" si="11" ref="X19:X39">IF(AND(P19="F",O19&gt;300),(ROUND(O19/60,2)-5)*K19*J19*0.1*IF(R19="SI",1.2,1),"--")</f>
        <v>--</v>
      </c>
      <c r="Y19" s="265" t="str">
        <f aca="true" t="shared" si="12" ref="Y19:Y39">IF(AND(P19="R",S19="NO"),K19*J19*Q19/100*IF(R19="SI",1.2,1),"--")</f>
        <v>--</v>
      </c>
      <c r="Z19" s="266" t="str">
        <f aca="true" t="shared" si="13" ref="Z19:Z39">IF(AND(P19="R",O19&gt;=10),K19*J19*Q19/100*IF(R19="SI",1.2,1)*IF(O19&lt;=300,ROUND(O19/60,2),5),"--")</f>
        <v>--</v>
      </c>
      <c r="AA19" s="267" t="str">
        <f aca="true" t="shared" si="14" ref="AA19:AA39">IF(AND(P19="R",O19&gt;300),(ROUND(O19/60,2)-5)*K19*J19*0.1*Q19/100*IF(R19="SI",1.2,1),"--")</f>
        <v>--</v>
      </c>
      <c r="AB19" s="268" t="str">
        <f aca="true" t="shared" si="15" ref="AB19:AB39">IF(P19="RF",ROUND(O19/60,2)*K19*J19*0.1*IF(R19="SI",1.2,1),"--")</f>
        <v>--</v>
      </c>
      <c r="AC19" s="269" t="str">
        <f aca="true" t="shared" si="16" ref="AC19:AC39">IF(P19="RR",ROUND(O19/60,2)*K19*J19*0.1*Q19/100*IF(R19="SI",1.2,1),"--")</f>
        <v>--</v>
      </c>
      <c r="AD19" s="270">
        <f aca="true" t="shared" si="17" ref="AD19:AD39">IF(F19="","","SI")</f>
      </c>
      <c r="AE19" s="192">
        <f aca="true" t="shared" si="18" ref="AE19:AE39">IF(F19="","",SUM(T19:AC19)*IF(AD19="SI",1,2))</f>
      </c>
      <c r="AF19" s="99"/>
    </row>
    <row r="20" spans="2:32" s="8" customFormat="1" ht="16.5" customHeight="1">
      <c r="B20" s="55"/>
      <c r="C20" s="259">
        <v>22</v>
      </c>
      <c r="D20" s="259">
        <v>251579</v>
      </c>
      <c r="E20" s="259">
        <v>4827</v>
      </c>
      <c r="F20" s="194" t="s">
        <v>268</v>
      </c>
      <c r="G20" s="195">
        <v>500</v>
      </c>
      <c r="H20" s="196">
        <v>386</v>
      </c>
      <c r="I20" s="195" t="s">
        <v>258</v>
      </c>
      <c r="J20" s="172">
        <f t="shared" si="0"/>
        <v>20</v>
      </c>
      <c r="K20" s="173">
        <f t="shared" si="1"/>
        <v>146.45998</v>
      </c>
      <c r="L20" s="174">
        <v>41162.24097222222</v>
      </c>
      <c r="M20" s="175">
        <v>41162.26388888889</v>
      </c>
      <c r="N20" s="176">
        <f t="shared" si="2"/>
        <v>0.5500000000465661</v>
      </c>
      <c r="O20" s="177">
        <f t="shared" si="3"/>
        <v>33</v>
      </c>
      <c r="P20" s="178" t="s">
        <v>259</v>
      </c>
      <c r="Q20" s="179" t="str">
        <f t="shared" si="4"/>
        <v>--</v>
      </c>
      <c r="R20" s="180" t="str">
        <f t="shared" si="5"/>
        <v>NO</v>
      </c>
      <c r="S20" s="180" t="str">
        <f t="shared" si="6"/>
        <v>--</v>
      </c>
      <c r="T20" s="260">
        <f t="shared" si="7"/>
        <v>16.1105978</v>
      </c>
      <c r="U20" s="261" t="str">
        <f t="shared" si="8"/>
        <v>--</v>
      </c>
      <c r="V20" s="262" t="str">
        <f t="shared" si="9"/>
        <v>--</v>
      </c>
      <c r="W20" s="263" t="str">
        <f t="shared" si="10"/>
        <v>--</v>
      </c>
      <c r="X20" s="264" t="str">
        <f t="shared" si="11"/>
        <v>--</v>
      </c>
      <c r="Y20" s="265" t="str">
        <f t="shared" si="12"/>
        <v>--</v>
      </c>
      <c r="Z20" s="266" t="str">
        <f t="shared" si="13"/>
        <v>--</v>
      </c>
      <c r="AA20" s="267" t="str">
        <f t="shared" si="14"/>
        <v>--</v>
      </c>
      <c r="AB20" s="268" t="str">
        <f t="shared" si="15"/>
        <v>--</v>
      </c>
      <c r="AC20" s="269" t="str">
        <f t="shared" si="16"/>
        <v>--</v>
      </c>
      <c r="AD20" s="270" t="s">
        <v>79</v>
      </c>
      <c r="AE20" s="192">
        <f t="shared" si="18"/>
        <v>16.1105978</v>
      </c>
      <c r="AF20" s="193"/>
    </row>
    <row r="21" spans="2:32" s="8" customFormat="1" ht="16.5" customHeight="1">
      <c r="B21" s="55"/>
      <c r="C21" s="259">
        <v>23</v>
      </c>
      <c r="D21" s="259">
        <v>251592</v>
      </c>
      <c r="E21" s="259">
        <v>4827</v>
      </c>
      <c r="F21" s="194" t="s">
        <v>268</v>
      </c>
      <c r="G21" s="195">
        <v>500</v>
      </c>
      <c r="H21" s="196">
        <v>386</v>
      </c>
      <c r="I21" s="195" t="s">
        <v>258</v>
      </c>
      <c r="J21" s="172">
        <f t="shared" si="0"/>
        <v>20</v>
      </c>
      <c r="K21" s="173">
        <f t="shared" si="1"/>
        <v>146.45998</v>
      </c>
      <c r="L21" s="174">
        <v>41164.294444444444</v>
      </c>
      <c r="M21" s="175">
        <v>41164.7</v>
      </c>
      <c r="N21" s="176">
        <f t="shared" si="2"/>
        <v>9.733333333279006</v>
      </c>
      <c r="O21" s="177">
        <f t="shared" si="3"/>
        <v>584</v>
      </c>
      <c r="P21" s="178" t="s">
        <v>259</v>
      </c>
      <c r="Q21" s="179" t="str">
        <f t="shared" si="4"/>
        <v>--</v>
      </c>
      <c r="R21" s="180" t="str">
        <f t="shared" si="5"/>
        <v>NO</v>
      </c>
      <c r="S21" s="180" t="str">
        <f t="shared" si="6"/>
        <v>--</v>
      </c>
      <c r="T21" s="260">
        <f t="shared" si="7"/>
        <v>285.01112108</v>
      </c>
      <c r="U21" s="261" t="str">
        <f t="shared" si="8"/>
        <v>--</v>
      </c>
      <c r="V21" s="262" t="str">
        <f t="shared" si="9"/>
        <v>--</v>
      </c>
      <c r="W21" s="263" t="str">
        <f t="shared" si="10"/>
        <v>--</v>
      </c>
      <c r="X21" s="264" t="str">
        <f t="shared" si="11"/>
        <v>--</v>
      </c>
      <c r="Y21" s="265" t="str">
        <f t="shared" si="12"/>
        <v>--</v>
      </c>
      <c r="Z21" s="266" t="str">
        <f t="shared" si="13"/>
        <v>--</v>
      </c>
      <c r="AA21" s="267" t="str">
        <f t="shared" si="14"/>
        <v>--</v>
      </c>
      <c r="AB21" s="268" t="str">
        <f t="shared" si="15"/>
        <v>--</v>
      </c>
      <c r="AC21" s="269" t="str">
        <f t="shared" si="16"/>
        <v>--</v>
      </c>
      <c r="AD21" s="270" t="s">
        <v>79</v>
      </c>
      <c r="AE21" s="192">
        <f t="shared" si="18"/>
        <v>285.01112108</v>
      </c>
      <c r="AF21" s="193"/>
    </row>
    <row r="22" spans="2:32" s="8" customFormat="1" ht="16.5" customHeight="1">
      <c r="B22" s="55"/>
      <c r="C22" s="259">
        <v>24</v>
      </c>
      <c r="D22" s="259">
        <v>251602</v>
      </c>
      <c r="E22" s="259">
        <v>4827</v>
      </c>
      <c r="F22" s="194" t="s">
        <v>268</v>
      </c>
      <c r="G22" s="195">
        <v>500</v>
      </c>
      <c r="H22" s="196">
        <v>386</v>
      </c>
      <c r="I22" s="195" t="s">
        <v>258</v>
      </c>
      <c r="J22" s="172">
        <f t="shared" si="0"/>
        <v>20</v>
      </c>
      <c r="K22" s="173">
        <f t="shared" si="1"/>
        <v>146.45998</v>
      </c>
      <c r="L22" s="197">
        <v>41164.700694444444</v>
      </c>
      <c r="M22" s="198">
        <v>41164.75</v>
      </c>
      <c r="N22" s="176">
        <f t="shared" si="2"/>
        <v>1.1833333333488554</v>
      </c>
      <c r="O22" s="177">
        <f t="shared" si="3"/>
        <v>71</v>
      </c>
      <c r="P22" s="178" t="s">
        <v>259</v>
      </c>
      <c r="Q22" s="179" t="str">
        <f t="shared" si="4"/>
        <v>--</v>
      </c>
      <c r="R22" s="180" t="str">
        <f t="shared" si="5"/>
        <v>NO</v>
      </c>
      <c r="S22" s="180" t="str">
        <f t="shared" si="6"/>
        <v>--</v>
      </c>
      <c r="T22" s="260">
        <f t="shared" si="7"/>
        <v>34.56455527999999</v>
      </c>
      <c r="U22" s="261" t="str">
        <f t="shared" si="8"/>
        <v>--</v>
      </c>
      <c r="V22" s="262" t="str">
        <f t="shared" si="9"/>
        <v>--</v>
      </c>
      <c r="W22" s="263" t="str">
        <f t="shared" si="10"/>
        <v>--</v>
      </c>
      <c r="X22" s="264" t="str">
        <f t="shared" si="11"/>
        <v>--</v>
      </c>
      <c r="Y22" s="265" t="str">
        <f t="shared" si="12"/>
        <v>--</v>
      </c>
      <c r="Z22" s="266" t="str">
        <f t="shared" si="13"/>
        <v>--</v>
      </c>
      <c r="AA22" s="267" t="str">
        <f t="shared" si="14"/>
        <v>--</v>
      </c>
      <c r="AB22" s="268" t="str">
        <f t="shared" si="15"/>
        <v>--</v>
      </c>
      <c r="AC22" s="269" t="str">
        <f t="shared" si="16"/>
        <v>--</v>
      </c>
      <c r="AD22" s="270" t="s">
        <v>79</v>
      </c>
      <c r="AE22" s="192">
        <f t="shared" si="18"/>
        <v>34.56455527999999</v>
      </c>
      <c r="AF22" s="193"/>
    </row>
    <row r="23" spans="2:32" s="8" customFormat="1" ht="16.5" customHeight="1">
      <c r="B23" s="55"/>
      <c r="C23" s="259">
        <v>25</v>
      </c>
      <c r="D23" s="259">
        <v>251605</v>
      </c>
      <c r="E23" s="259">
        <v>4827</v>
      </c>
      <c r="F23" s="194" t="s">
        <v>268</v>
      </c>
      <c r="G23" s="195">
        <v>500</v>
      </c>
      <c r="H23" s="196">
        <v>386</v>
      </c>
      <c r="I23" s="195" t="s">
        <v>258</v>
      </c>
      <c r="J23" s="172">
        <f t="shared" si="0"/>
        <v>20</v>
      </c>
      <c r="K23" s="173">
        <f t="shared" si="1"/>
        <v>146.45998</v>
      </c>
      <c r="L23" s="197">
        <v>41164.75069444445</v>
      </c>
      <c r="M23" s="198">
        <v>41164.819444444445</v>
      </c>
      <c r="N23" s="176">
        <f t="shared" si="2"/>
        <v>1.6499999999650754</v>
      </c>
      <c r="O23" s="177">
        <f t="shared" si="3"/>
        <v>99</v>
      </c>
      <c r="P23" s="178" t="s">
        <v>262</v>
      </c>
      <c r="Q23" s="179" t="str">
        <f t="shared" si="4"/>
        <v>--</v>
      </c>
      <c r="R23" s="180" t="str">
        <f t="shared" si="5"/>
        <v>NO</v>
      </c>
      <c r="S23" s="180" t="s">
        <v>79</v>
      </c>
      <c r="T23" s="260" t="str">
        <f t="shared" si="7"/>
        <v>--</v>
      </c>
      <c r="U23" s="261" t="str">
        <f t="shared" si="8"/>
        <v>--</v>
      </c>
      <c r="V23" s="262" t="str">
        <f t="shared" si="9"/>
        <v>--</v>
      </c>
      <c r="W23" s="263">
        <f t="shared" si="10"/>
        <v>4833.17934</v>
      </c>
      <c r="X23" s="264" t="str">
        <f t="shared" si="11"/>
        <v>--</v>
      </c>
      <c r="Y23" s="265" t="str">
        <f t="shared" si="12"/>
        <v>--</v>
      </c>
      <c r="Z23" s="266" t="str">
        <f t="shared" si="13"/>
        <v>--</v>
      </c>
      <c r="AA23" s="267" t="str">
        <f t="shared" si="14"/>
        <v>--</v>
      </c>
      <c r="AB23" s="268" t="str">
        <f t="shared" si="15"/>
        <v>--</v>
      </c>
      <c r="AC23" s="269" t="str">
        <f t="shared" si="16"/>
        <v>--</v>
      </c>
      <c r="AD23" s="270" t="s">
        <v>79</v>
      </c>
      <c r="AE23" s="192">
        <f t="shared" si="18"/>
        <v>4833.17934</v>
      </c>
      <c r="AF23" s="193"/>
    </row>
    <row r="24" spans="2:32" s="8" customFormat="1" ht="16.5" customHeight="1">
      <c r="B24" s="55"/>
      <c r="C24" s="259">
        <v>26</v>
      </c>
      <c r="D24" s="259">
        <v>251607</v>
      </c>
      <c r="E24" s="259">
        <v>4827</v>
      </c>
      <c r="F24" s="194" t="s">
        <v>268</v>
      </c>
      <c r="G24" s="195">
        <v>500</v>
      </c>
      <c r="H24" s="196">
        <v>386</v>
      </c>
      <c r="I24" s="170" t="s">
        <v>258</v>
      </c>
      <c r="J24" s="172">
        <f t="shared" si="0"/>
        <v>20</v>
      </c>
      <c r="K24" s="173">
        <f t="shared" si="1"/>
        <v>146.45998</v>
      </c>
      <c r="L24" s="174">
        <v>41164.82013888889</v>
      </c>
      <c r="M24" s="175">
        <v>41164.94027777778</v>
      </c>
      <c r="N24" s="176">
        <f t="shared" si="2"/>
        <v>2.8833333333022892</v>
      </c>
      <c r="O24" s="177">
        <f t="shared" si="3"/>
        <v>173</v>
      </c>
      <c r="P24" s="178" t="s">
        <v>262</v>
      </c>
      <c r="Q24" s="179" t="str">
        <f t="shared" si="4"/>
        <v>--</v>
      </c>
      <c r="R24" s="180" t="str">
        <f t="shared" si="5"/>
        <v>NO</v>
      </c>
      <c r="S24" s="180" t="s">
        <v>79</v>
      </c>
      <c r="T24" s="260" t="str">
        <f t="shared" si="7"/>
        <v>--</v>
      </c>
      <c r="U24" s="261" t="str">
        <f t="shared" si="8"/>
        <v>--</v>
      </c>
      <c r="V24" s="262" t="str">
        <f t="shared" si="9"/>
        <v>--</v>
      </c>
      <c r="W24" s="263">
        <f t="shared" si="10"/>
        <v>8436.094847999999</v>
      </c>
      <c r="X24" s="264" t="str">
        <f t="shared" si="11"/>
        <v>--</v>
      </c>
      <c r="Y24" s="265" t="str">
        <f t="shared" si="12"/>
        <v>--</v>
      </c>
      <c r="Z24" s="266" t="str">
        <f t="shared" si="13"/>
        <v>--</v>
      </c>
      <c r="AA24" s="267" t="str">
        <f t="shared" si="14"/>
        <v>--</v>
      </c>
      <c r="AB24" s="268" t="str">
        <f t="shared" si="15"/>
        <v>--</v>
      </c>
      <c r="AC24" s="269" t="str">
        <f t="shared" si="16"/>
        <v>--</v>
      </c>
      <c r="AD24" s="270" t="s">
        <v>79</v>
      </c>
      <c r="AE24" s="192">
        <f t="shared" si="18"/>
        <v>8436.094847999999</v>
      </c>
      <c r="AF24" s="193"/>
    </row>
    <row r="25" spans="2:32" s="8" customFormat="1" ht="16.5" customHeight="1">
      <c r="B25" s="55"/>
      <c r="C25" s="259">
        <v>27</v>
      </c>
      <c r="D25" s="259">
        <v>251618</v>
      </c>
      <c r="E25" s="259">
        <v>4827</v>
      </c>
      <c r="F25" s="194" t="s">
        <v>268</v>
      </c>
      <c r="G25" s="195">
        <v>500</v>
      </c>
      <c r="H25" s="196">
        <v>386</v>
      </c>
      <c r="I25" s="170" t="s">
        <v>258</v>
      </c>
      <c r="J25" s="172">
        <f t="shared" si="0"/>
        <v>20</v>
      </c>
      <c r="K25" s="173">
        <f t="shared" si="1"/>
        <v>146.45998</v>
      </c>
      <c r="L25" s="174">
        <v>41166.3125</v>
      </c>
      <c r="M25" s="175">
        <v>41166.34861111111</v>
      </c>
      <c r="N25" s="176">
        <f t="shared" si="2"/>
        <v>0.8666666666977108</v>
      </c>
      <c r="O25" s="177">
        <f t="shared" si="3"/>
        <v>52</v>
      </c>
      <c r="P25" s="178" t="s">
        <v>259</v>
      </c>
      <c r="Q25" s="179" t="str">
        <f t="shared" si="4"/>
        <v>--</v>
      </c>
      <c r="R25" s="180" t="str">
        <f t="shared" si="5"/>
        <v>NO</v>
      </c>
      <c r="S25" s="180" t="str">
        <f t="shared" si="6"/>
        <v>--</v>
      </c>
      <c r="T25" s="260">
        <f t="shared" si="7"/>
        <v>25.48403652</v>
      </c>
      <c r="U25" s="261" t="str">
        <f t="shared" si="8"/>
        <v>--</v>
      </c>
      <c r="V25" s="262" t="str">
        <f t="shared" si="9"/>
        <v>--</v>
      </c>
      <c r="W25" s="263" t="str">
        <f t="shared" si="10"/>
        <v>--</v>
      </c>
      <c r="X25" s="264" t="str">
        <f t="shared" si="11"/>
        <v>--</v>
      </c>
      <c r="Y25" s="265" t="str">
        <f t="shared" si="12"/>
        <v>--</v>
      </c>
      <c r="Z25" s="266" t="str">
        <f t="shared" si="13"/>
        <v>--</v>
      </c>
      <c r="AA25" s="267" t="str">
        <f t="shared" si="14"/>
        <v>--</v>
      </c>
      <c r="AB25" s="268" t="str">
        <f t="shared" si="15"/>
        <v>--</v>
      </c>
      <c r="AC25" s="269" t="str">
        <f t="shared" si="16"/>
        <v>--</v>
      </c>
      <c r="AD25" s="270" t="s">
        <v>79</v>
      </c>
      <c r="AE25" s="192">
        <f t="shared" si="18"/>
        <v>25.48403652</v>
      </c>
      <c r="AF25" s="193"/>
    </row>
    <row r="26" spans="2:32" s="8" customFormat="1" ht="16.5" customHeight="1">
      <c r="B26" s="55"/>
      <c r="C26" s="259">
        <v>28</v>
      </c>
      <c r="D26" s="169">
        <v>251833</v>
      </c>
      <c r="E26" s="169">
        <v>4826</v>
      </c>
      <c r="F26" s="199" t="s">
        <v>269</v>
      </c>
      <c r="G26" s="200">
        <v>500</v>
      </c>
      <c r="H26" s="201">
        <v>280.70001220703125</v>
      </c>
      <c r="I26" s="200" t="s">
        <v>258</v>
      </c>
      <c r="J26" s="172">
        <f t="shared" si="0"/>
        <v>20</v>
      </c>
      <c r="K26" s="173">
        <f t="shared" si="1"/>
        <v>106.50600563171388</v>
      </c>
      <c r="L26" s="202">
        <v>41169.29513888889</v>
      </c>
      <c r="M26" s="203">
        <v>41169.33888888889</v>
      </c>
      <c r="N26" s="176">
        <f t="shared" si="2"/>
        <v>1.0499999999301508</v>
      </c>
      <c r="O26" s="177">
        <f t="shared" si="3"/>
        <v>63</v>
      </c>
      <c r="P26" s="178" t="s">
        <v>259</v>
      </c>
      <c r="Q26" s="179" t="str">
        <f t="shared" si="4"/>
        <v>--</v>
      </c>
      <c r="R26" s="180" t="str">
        <f t="shared" si="5"/>
        <v>NO</v>
      </c>
      <c r="S26" s="180" t="str">
        <f t="shared" si="6"/>
        <v>--</v>
      </c>
      <c r="T26" s="260">
        <f t="shared" si="7"/>
        <v>22.366261182659915</v>
      </c>
      <c r="U26" s="261" t="str">
        <f t="shared" si="8"/>
        <v>--</v>
      </c>
      <c r="V26" s="262" t="str">
        <f t="shared" si="9"/>
        <v>--</v>
      </c>
      <c r="W26" s="263" t="str">
        <f t="shared" si="10"/>
        <v>--</v>
      </c>
      <c r="X26" s="264" t="str">
        <f t="shared" si="11"/>
        <v>--</v>
      </c>
      <c r="Y26" s="265" t="str">
        <f t="shared" si="12"/>
        <v>--</v>
      </c>
      <c r="Z26" s="266" t="str">
        <f t="shared" si="13"/>
        <v>--</v>
      </c>
      <c r="AA26" s="267" t="str">
        <f t="shared" si="14"/>
        <v>--</v>
      </c>
      <c r="AB26" s="268" t="str">
        <f t="shared" si="15"/>
        <v>--</v>
      </c>
      <c r="AC26" s="269" t="str">
        <f t="shared" si="16"/>
        <v>--</v>
      </c>
      <c r="AD26" s="191" t="s">
        <v>79</v>
      </c>
      <c r="AE26" s="192">
        <f t="shared" si="18"/>
        <v>22.366261182659915</v>
      </c>
      <c r="AF26" s="193"/>
    </row>
    <row r="27" spans="2:32" s="8" customFormat="1" ht="16.5" customHeight="1">
      <c r="B27" s="55"/>
      <c r="C27" s="259">
        <v>29</v>
      </c>
      <c r="D27" s="259">
        <v>251844</v>
      </c>
      <c r="E27" s="259">
        <v>4826</v>
      </c>
      <c r="F27" s="199" t="s">
        <v>269</v>
      </c>
      <c r="G27" s="200">
        <v>500</v>
      </c>
      <c r="H27" s="201">
        <v>280.70001220703125</v>
      </c>
      <c r="I27" s="200" t="s">
        <v>258</v>
      </c>
      <c r="J27" s="172">
        <f t="shared" si="0"/>
        <v>20</v>
      </c>
      <c r="K27" s="173">
        <f t="shared" si="1"/>
        <v>106.50600563171388</v>
      </c>
      <c r="L27" s="202">
        <v>41171.28958333333</v>
      </c>
      <c r="M27" s="203">
        <v>41171.322916666664</v>
      </c>
      <c r="N27" s="176">
        <f t="shared" si="2"/>
        <v>0.7999999999883585</v>
      </c>
      <c r="O27" s="177">
        <f t="shared" si="3"/>
        <v>48</v>
      </c>
      <c r="P27" s="178" t="s">
        <v>259</v>
      </c>
      <c r="Q27" s="179" t="str">
        <f t="shared" si="4"/>
        <v>--</v>
      </c>
      <c r="R27" s="180" t="str">
        <f t="shared" si="5"/>
        <v>NO</v>
      </c>
      <c r="S27" s="180" t="str">
        <f t="shared" si="6"/>
        <v>--</v>
      </c>
      <c r="T27" s="260">
        <f t="shared" si="7"/>
        <v>17.04096090107422</v>
      </c>
      <c r="U27" s="261" t="str">
        <f t="shared" si="8"/>
        <v>--</v>
      </c>
      <c r="V27" s="262" t="str">
        <f t="shared" si="9"/>
        <v>--</v>
      </c>
      <c r="W27" s="263" t="str">
        <f t="shared" si="10"/>
        <v>--</v>
      </c>
      <c r="X27" s="264" t="str">
        <f t="shared" si="11"/>
        <v>--</v>
      </c>
      <c r="Y27" s="265" t="str">
        <f t="shared" si="12"/>
        <v>--</v>
      </c>
      <c r="Z27" s="266" t="str">
        <f t="shared" si="13"/>
        <v>--</v>
      </c>
      <c r="AA27" s="267" t="str">
        <f t="shared" si="14"/>
        <v>--</v>
      </c>
      <c r="AB27" s="268" t="str">
        <f t="shared" si="15"/>
        <v>--</v>
      </c>
      <c r="AC27" s="269" t="str">
        <f t="shared" si="16"/>
        <v>--</v>
      </c>
      <c r="AD27" s="191" t="s">
        <v>79</v>
      </c>
      <c r="AE27" s="192">
        <f t="shared" si="18"/>
        <v>17.04096090107422</v>
      </c>
      <c r="AF27" s="193"/>
    </row>
    <row r="28" spans="2:32" s="8" customFormat="1" ht="16.5" customHeight="1">
      <c r="B28" s="55"/>
      <c r="C28" s="259">
        <v>30</v>
      </c>
      <c r="D28" s="169">
        <v>251850</v>
      </c>
      <c r="E28" s="169">
        <v>4826</v>
      </c>
      <c r="F28" s="199" t="s">
        <v>269</v>
      </c>
      <c r="G28" s="200">
        <v>500</v>
      </c>
      <c r="H28" s="201">
        <v>280.70001220703125</v>
      </c>
      <c r="I28" s="200" t="s">
        <v>258</v>
      </c>
      <c r="J28" s="172">
        <f t="shared" si="0"/>
        <v>20</v>
      </c>
      <c r="K28" s="173">
        <f t="shared" si="1"/>
        <v>106.50600563171388</v>
      </c>
      <c r="L28" s="202">
        <v>41173.29375</v>
      </c>
      <c r="M28" s="203">
        <v>41173.714583333334</v>
      </c>
      <c r="N28" s="176">
        <f t="shared" si="2"/>
        <v>10.100000000093132</v>
      </c>
      <c r="O28" s="177">
        <f t="shared" si="3"/>
        <v>606</v>
      </c>
      <c r="P28" s="178" t="s">
        <v>259</v>
      </c>
      <c r="Q28" s="179" t="str">
        <f t="shared" si="4"/>
        <v>--</v>
      </c>
      <c r="R28" s="180" t="str">
        <f t="shared" si="5"/>
        <v>NO</v>
      </c>
      <c r="S28" s="180" t="str">
        <f t="shared" si="6"/>
        <v>--</v>
      </c>
      <c r="T28" s="260">
        <f t="shared" si="7"/>
        <v>215.14213137606203</v>
      </c>
      <c r="U28" s="261" t="str">
        <f t="shared" si="8"/>
        <v>--</v>
      </c>
      <c r="V28" s="262" t="str">
        <f t="shared" si="9"/>
        <v>--</v>
      </c>
      <c r="W28" s="263" t="str">
        <f t="shared" si="10"/>
        <v>--</v>
      </c>
      <c r="X28" s="264" t="str">
        <f t="shared" si="11"/>
        <v>--</v>
      </c>
      <c r="Y28" s="265" t="str">
        <f t="shared" si="12"/>
        <v>--</v>
      </c>
      <c r="Z28" s="266" t="str">
        <f t="shared" si="13"/>
        <v>--</v>
      </c>
      <c r="AA28" s="267" t="str">
        <f t="shared" si="14"/>
        <v>--</v>
      </c>
      <c r="AB28" s="268" t="str">
        <f t="shared" si="15"/>
        <v>--</v>
      </c>
      <c r="AC28" s="269" t="str">
        <f t="shared" si="16"/>
        <v>--</v>
      </c>
      <c r="AD28" s="191" t="s">
        <v>79</v>
      </c>
      <c r="AE28" s="192">
        <f t="shared" si="18"/>
        <v>215.14213137606203</v>
      </c>
      <c r="AF28" s="193"/>
    </row>
    <row r="29" spans="2:32" s="8" customFormat="1" ht="16.5" customHeight="1">
      <c r="B29" s="55"/>
      <c r="C29" s="150"/>
      <c r="D29" s="259"/>
      <c r="E29" s="259"/>
      <c r="F29" s="199"/>
      <c r="G29" s="200"/>
      <c r="H29" s="201"/>
      <c r="I29" s="200"/>
      <c r="J29" s="172">
        <f t="shared" si="0"/>
        <v>20</v>
      </c>
      <c r="K29" s="173">
        <f t="shared" si="1"/>
        <v>0</v>
      </c>
      <c r="L29" s="202"/>
      <c r="M29" s="203"/>
      <c r="N29" s="176">
        <f t="shared" si="2"/>
      </c>
      <c r="O29" s="177">
        <f t="shared" si="3"/>
      </c>
      <c r="P29" s="178"/>
      <c r="Q29" s="179">
        <f t="shared" si="4"/>
      </c>
      <c r="R29" s="180">
        <f t="shared" si="5"/>
      </c>
      <c r="S29" s="180">
        <f t="shared" si="6"/>
      </c>
      <c r="T29" s="260" t="str">
        <f t="shared" si="7"/>
        <v>--</v>
      </c>
      <c r="U29" s="261" t="str">
        <f t="shared" si="8"/>
        <v>--</v>
      </c>
      <c r="V29" s="262" t="str">
        <f t="shared" si="9"/>
        <v>--</v>
      </c>
      <c r="W29" s="263" t="str">
        <f t="shared" si="10"/>
        <v>--</v>
      </c>
      <c r="X29" s="264" t="str">
        <f t="shared" si="11"/>
        <v>--</v>
      </c>
      <c r="Y29" s="265" t="str">
        <f t="shared" si="12"/>
        <v>--</v>
      </c>
      <c r="Z29" s="266" t="str">
        <f t="shared" si="13"/>
        <v>--</v>
      </c>
      <c r="AA29" s="267" t="str">
        <f t="shared" si="14"/>
        <v>--</v>
      </c>
      <c r="AB29" s="268" t="str">
        <f t="shared" si="15"/>
        <v>--</v>
      </c>
      <c r="AC29" s="269" t="str">
        <f t="shared" si="16"/>
        <v>--</v>
      </c>
      <c r="AD29" s="191">
        <f t="shared" si="17"/>
      </c>
      <c r="AE29" s="192">
        <f t="shared" si="18"/>
      </c>
      <c r="AF29" s="193"/>
    </row>
    <row r="30" spans="2:32" s="8" customFormat="1" ht="16.5" customHeight="1">
      <c r="B30" s="55"/>
      <c r="C30" s="169"/>
      <c r="D30" s="169"/>
      <c r="E30" s="169"/>
      <c r="F30" s="199"/>
      <c r="G30" s="200"/>
      <c r="H30" s="201"/>
      <c r="I30" s="200"/>
      <c r="J30" s="172">
        <f t="shared" si="0"/>
        <v>20</v>
      </c>
      <c r="K30" s="173">
        <f t="shared" si="1"/>
        <v>0</v>
      </c>
      <c r="L30" s="202"/>
      <c r="M30" s="203"/>
      <c r="N30" s="176">
        <f t="shared" si="2"/>
      </c>
      <c r="O30" s="177">
        <f t="shared" si="3"/>
      </c>
      <c r="P30" s="178"/>
      <c r="Q30" s="179">
        <f t="shared" si="4"/>
      </c>
      <c r="R30" s="180">
        <f t="shared" si="5"/>
      </c>
      <c r="S30" s="180">
        <f t="shared" si="6"/>
      </c>
      <c r="T30" s="260" t="str">
        <f t="shared" si="7"/>
        <v>--</v>
      </c>
      <c r="U30" s="261" t="str">
        <f t="shared" si="8"/>
        <v>--</v>
      </c>
      <c r="V30" s="262" t="str">
        <f t="shared" si="9"/>
        <v>--</v>
      </c>
      <c r="W30" s="263" t="str">
        <f t="shared" si="10"/>
        <v>--</v>
      </c>
      <c r="X30" s="264" t="str">
        <f t="shared" si="11"/>
        <v>--</v>
      </c>
      <c r="Y30" s="265" t="str">
        <f t="shared" si="12"/>
        <v>--</v>
      </c>
      <c r="Z30" s="266" t="str">
        <f t="shared" si="13"/>
        <v>--</v>
      </c>
      <c r="AA30" s="267" t="str">
        <f t="shared" si="14"/>
        <v>--</v>
      </c>
      <c r="AB30" s="268" t="str">
        <f t="shared" si="15"/>
        <v>--</v>
      </c>
      <c r="AC30" s="269" t="str">
        <f t="shared" si="16"/>
        <v>--</v>
      </c>
      <c r="AD30" s="191">
        <f t="shared" si="17"/>
      </c>
      <c r="AE30" s="192">
        <f t="shared" si="18"/>
      </c>
      <c r="AF30" s="193"/>
    </row>
    <row r="31" spans="2:32" s="8" customFormat="1" ht="16.5" customHeight="1">
      <c r="B31" s="55"/>
      <c r="C31" s="150"/>
      <c r="D31" s="259"/>
      <c r="E31" s="259"/>
      <c r="F31" s="199"/>
      <c r="G31" s="200"/>
      <c r="H31" s="201"/>
      <c r="I31" s="200"/>
      <c r="J31" s="172">
        <f t="shared" si="0"/>
        <v>20</v>
      </c>
      <c r="K31" s="173">
        <f t="shared" si="1"/>
        <v>0</v>
      </c>
      <c r="L31" s="202"/>
      <c r="M31" s="204"/>
      <c r="N31" s="176">
        <f t="shared" si="2"/>
      </c>
      <c r="O31" s="177">
        <f t="shared" si="3"/>
      </c>
      <c r="P31" s="178"/>
      <c r="Q31" s="179">
        <f t="shared" si="4"/>
      </c>
      <c r="R31" s="180">
        <f t="shared" si="5"/>
      </c>
      <c r="S31" s="180">
        <f t="shared" si="6"/>
      </c>
      <c r="T31" s="260" t="str">
        <f t="shared" si="7"/>
        <v>--</v>
      </c>
      <c r="U31" s="261" t="str">
        <f t="shared" si="8"/>
        <v>--</v>
      </c>
      <c r="V31" s="262" t="str">
        <f t="shared" si="9"/>
        <v>--</v>
      </c>
      <c r="W31" s="263" t="str">
        <f t="shared" si="10"/>
        <v>--</v>
      </c>
      <c r="X31" s="264" t="str">
        <f t="shared" si="11"/>
        <v>--</v>
      </c>
      <c r="Y31" s="265" t="str">
        <f t="shared" si="12"/>
        <v>--</v>
      </c>
      <c r="Z31" s="266" t="str">
        <f t="shared" si="13"/>
        <v>--</v>
      </c>
      <c r="AA31" s="267" t="str">
        <f t="shared" si="14"/>
        <v>--</v>
      </c>
      <c r="AB31" s="268" t="str">
        <f t="shared" si="15"/>
        <v>--</v>
      </c>
      <c r="AC31" s="269" t="str">
        <f t="shared" si="16"/>
        <v>--</v>
      </c>
      <c r="AD31" s="191">
        <f t="shared" si="17"/>
      </c>
      <c r="AE31" s="192">
        <f t="shared" si="18"/>
      </c>
      <c r="AF31" s="193"/>
    </row>
    <row r="32" spans="2:32" s="8" customFormat="1" ht="16.5" customHeight="1">
      <c r="B32" s="55"/>
      <c r="C32" s="169"/>
      <c r="D32" s="169"/>
      <c r="E32" s="169"/>
      <c r="F32" s="199"/>
      <c r="G32" s="200"/>
      <c r="H32" s="201"/>
      <c r="I32" s="200"/>
      <c r="J32" s="172">
        <f t="shared" si="0"/>
        <v>20</v>
      </c>
      <c r="K32" s="173">
        <f t="shared" si="1"/>
        <v>0</v>
      </c>
      <c r="L32" s="202"/>
      <c r="M32" s="204"/>
      <c r="N32" s="176">
        <f t="shared" si="2"/>
      </c>
      <c r="O32" s="177">
        <f t="shared" si="3"/>
      </c>
      <c r="P32" s="178"/>
      <c r="Q32" s="179">
        <f t="shared" si="4"/>
      </c>
      <c r="R32" s="180">
        <f t="shared" si="5"/>
      </c>
      <c r="S32" s="180">
        <f t="shared" si="6"/>
      </c>
      <c r="T32" s="260" t="str">
        <f t="shared" si="7"/>
        <v>--</v>
      </c>
      <c r="U32" s="261" t="str">
        <f t="shared" si="8"/>
        <v>--</v>
      </c>
      <c r="V32" s="262" t="str">
        <f t="shared" si="9"/>
        <v>--</v>
      </c>
      <c r="W32" s="263" t="str">
        <f t="shared" si="10"/>
        <v>--</v>
      </c>
      <c r="X32" s="264" t="str">
        <f t="shared" si="11"/>
        <v>--</v>
      </c>
      <c r="Y32" s="265" t="str">
        <f t="shared" si="12"/>
        <v>--</v>
      </c>
      <c r="Z32" s="266" t="str">
        <f t="shared" si="13"/>
        <v>--</v>
      </c>
      <c r="AA32" s="267" t="str">
        <f t="shared" si="14"/>
        <v>--</v>
      </c>
      <c r="AB32" s="268" t="str">
        <f t="shared" si="15"/>
        <v>--</v>
      </c>
      <c r="AC32" s="269" t="str">
        <f t="shared" si="16"/>
        <v>--</v>
      </c>
      <c r="AD32" s="191">
        <f t="shared" si="17"/>
      </c>
      <c r="AE32" s="192">
        <f t="shared" si="18"/>
      </c>
      <c r="AF32" s="193"/>
    </row>
    <row r="33" spans="2:32" s="8" customFormat="1" ht="16.5" customHeight="1">
      <c r="B33" s="55"/>
      <c r="C33" s="150"/>
      <c r="D33" s="259"/>
      <c r="E33" s="259"/>
      <c r="F33" s="199"/>
      <c r="G33" s="200"/>
      <c r="H33" s="201"/>
      <c r="I33" s="200"/>
      <c r="J33" s="172">
        <f t="shared" si="0"/>
        <v>20</v>
      </c>
      <c r="K33" s="173">
        <f t="shared" si="1"/>
        <v>0</v>
      </c>
      <c r="L33" s="202"/>
      <c r="M33" s="204"/>
      <c r="N33" s="176">
        <f t="shared" si="2"/>
      </c>
      <c r="O33" s="177">
        <f t="shared" si="3"/>
      </c>
      <c r="P33" s="178"/>
      <c r="Q33" s="179">
        <f t="shared" si="4"/>
      </c>
      <c r="R33" s="180">
        <f t="shared" si="5"/>
      </c>
      <c r="S33" s="180">
        <f t="shared" si="6"/>
      </c>
      <c r="T33" s="260" t="str">
        <f t="shared" si="7"/>
        <v>--</v>
      </c>
      <c r="U33" s="261" t="str">
        <f t="shared" si="8"/>
        <v>--</v>
      </c>
      <c r="V33" s="262" t="str">
        <f t="shared" si="9"/>
        <v>--</v>
      </c>
      <c r="W33" s="263" t="str">
        <f t="shared" si="10"/>
        <v>--</v>
      </c>
      <c r="X33" s="264" t="str">
        <f t="shared" si="11"/>
        <v>--</v>
      </c>
      <c r="Y33" s="265" t="str">
        <f t="shared" si="12"/>
        <v>--</v>
      </c>
      <c r="Z33" s="266" t="str">
        <f t="shared" si="13"/>
        <v>--</v>
      </c>
      <c r="AA33" s="267" t="str">
        <f t="shared" si="14"/>
        <v>--</v>
      </c>
      <c r="AB33" s="268" t="str">
        <f t="shared" si="15"/>
        <v>--</v>
      </c>
      <c r="AC33" s="269" t="str">
        <f t="shared" si="16"/>
        <v>--</v>
      </c>
      <c r="AD33" s="191">
        <f t="shared" si="17"/>
      </c>
      <c r="AE33" s="192">
        <f t="shared" si="18"/>
      </c>
      <c r="AF33" s="193"/>
    </row>
    <row r="34" spans="2:32" s="8" customFormat="1" ht="16.5" customHeight="1">
      <c r="B34" s="55"/>
      <c r="C34" s="169"/>
      <c r="D34" s="169"/>
      <c r="E34" s="169"/>
      <c r="F34" s="199"/>
      <c r="G34" s="200"/>
      <c r="H34" s="201"/>
      <c r="I34" s="200"/>
      <c r="J34" s="172">
        <f t="shared" si="0"/>
        <v>20</v>
      </c>
      <c r="K34" s="173">
        <f t="shared" si="1"/>
        <v>0</v>
      </c>
      <c r="L34" s="202"/>
      <c r="M34" s="204"/>
      <c r="N34" s="176">
        <f t="shared" si="2"/>
      </c>
      <c r="O34" s="177">
        <f t="shared" si="3"/>
      </c>
      <c r="P34" s="178"/>
      <c r="Q34" s="179">
        <f t="shared" si="4"/>
      </c>
      <c r="R34" s="180">
        <f t="shared" si="5"/>
      </c>
      <c r="S34" s="180">
        <f t="shared" si="6"/>
      </c>
      <c r="T34" s="260" t="str">
        <f t="shared" si="7"/>
        <v>--</v>
      </c>
      <c r="U34" s="261" t="str">
        <f t="shared" si="8"/>
        <v>--</v>
      </c>
      <c r="V34" s="262" t="str">
        <f t="shared" si="9"/>
        <v>--</v>
      </c>
      <c r="W34" s="263" t="str">
        <f t="shared" si="10"/>
        <v>--</v>
      </c>
      <c r="X34" s="264" t="str">
        <f t="shared" si="11"/>
        <v>--</v>
      </c>
      <c r="Y34" s="265" t="str">
        <f t="shared" si="12"/>
        <v>--</v>
      </c>
      <c r="Z34" s="266" t="str">
        <f t="shared" si="13"/>
        <v>--</v>
      </c>
      <c r="AA34" s="267" t="str">
        <f t="shared" si="14"/>
        <v>--</v>
      </c>
      <c r="AB34" s="268" t="str">
        <f t="shared" si="15"/>
        <v>--</v>
      </c>
      <c r="AC34" s="269" t="str">
        <f t="shared" si="16"/>
        <v>--</v>
      </c>
      <c r="AD34" s="191">
        <f t="shared" si="17"/>
      </c>
      <c r="AE34" s="192">
        <f t="shared" si="18"/>
      </c>
      <c r="AF34" s="193"/>
    </row>
    <row r="35" spans="2:32" s="8" customFormat="1" ht="16.5" customHeight="1">
      <c r="B35" s="55"/>
      <c r="C35" s="150"/>
      <c r="D35" s="259"/>
      <c r="E35" s="259"/>
      <c r="F35" s="199"/>
      <c r="G35" s="200"/>
      <c r="H35" s="201"/>
      <c r="I35" s="200"/>
      <c r="J35" s="172">
        <f t="shared" si="0"/>
        <v>20</v>
      </c>
      <c r="K35" s="173">
        <f t="shared" si="1"/>
        <v>0</v>
      </c>
      <c r="L35" s="202"/>
      <c r="M35" s="204"/>
      <c r="N35" s="176">
        <f t="shared" si="2"/>
      </c>
      <c r="O35" s="177">
        <f t="shared" si="3"/>
      </c>
      <c r="P35" s="178"/>
      <c r="Q35" s="179">
        <f t="shared" si="4"/>
      </c>
      <c r="R35" s="180">
        <f t="shared" si="5"/>
      </c>
      <c r="S35" s="180">
        <f t="shared" si="6"/>
      </c>
      <c r="T35" s="260" t="str">
        <f t="shared" si="7"/>
        <v>--</v>
      </c>
      <c r="U35" s="261" t="str">
        <f t="shared" si="8"/>
        <v>--</v>
      </c>
      <c r="V35" s="262" t="str">
        <f t="shared" si="9"/>
        <v>--</v>
      </c>
      <c r="W35" s="263" t="str">
        <f t="shared" si="10"/>
        <v>--</v>
      </c>
      <c r="X35" s="264" t="str">
        <f t="shared" si="11"/>
        <v>--</v>
      </c>
      <c r="Y35" s="265" t="str">
        <f t="shared" si="12"/>
        <v>--</v>
      </c>
      <c r="Z35" s="266" t="str">
        <f t="shared" si="13"/>
        <v>--</v>
      </c>
      <c r="AA35" s="267" t="str">
        <f t="shared" si="14"/>
        <v>--</v>
      </c>
      <c r="AB35" s="268" t="str">
        <f t="shared" si="15"/>
        <v>--</v>
      </c>
      <c r="AC35" s="269" t="str">
        <f t="shared" si="16"/>
        <v>--</v>
      </c>
      <c r="AD35" s="191">
        <f t="shared" si="17"/>
      </c>
      <c r="AE35" s="192">
        <f t="shared" si="18"/>
      </c>
      <c r="AF35" s="193"/>
    </row>
    <row r="36" spans="2:32" s="8" customFormat="1" ht="16.5" customHeight="1">
      <c r="B36" s="55"/>
      <c r="C36" s="169"/>
      <c r="D36" s="169"/>
      <c r="E36" s="169"/>
      <c r="F36" s="199"/>
      <c r="G36" s="200"/>
      <c r="H36" s="201"/>
      <c r="I36" s="200"/>
      <c r="J36" s="172">
        <f t="shared" si="0"/>
        <v>20</v>
      </c>
      <c r="K36" s="173">
        <f t="shared" si="1"/>
        <v>0</v>
      </c>
      <c r="L36" s="202"/>
      <c r="M36" s="204"/>
      <c r="N36" s="176">
        <f t="shared" si="2"/>
      </c>
      <c r="O36" s="177">
        <f t="shared" si="3"/>
      </c>
      <c r="P36" s="178"/>
      <c r="Q36" s="179">
        <f t="shared" si="4"/>
      </c>
      <c r="R36" s="180">
        <f t="shared" si="5"/>
      </c>
      <c r="S36" s="180">
        <f t="shared" si="6"/>
      </c>
      <c r="T36" s="260" t="str">
        <f t="shared" si="7"/>
        <v>--</v>
      </c>
      <c r="U36" s="261" t="str">
        <f t="shared" si="8"/>
        <v>--</v>
      </c>
      <c r="V36" s="262" t="str">
        <f t="shared" si="9"/>
        <v>--</v>
      </c>
      <c r="W36" s="263" t="str">
        <f t="shared" si="10"/>
        <v>--</v>
      </c>
      <c r="X36" s="264" t="str">
        <f t="shared" si="11"/>
        <v>--</v>
      </c>
      <c r="Y36" s="265" t="str">
        <f t="shared" si="12"/>
        <v>--</v>
      </c>
      <c r="Z36" s="266" t="str">
        <f t="shared" si="13"/>
        <v>--</v>
      </c>
      <c r="AA36" s="267" t="str">
        <f t="shared" si="14"/>
        <v>--</v>
      </c>
      <c r="AB36" s="268" t="str">
        <f t="shared" si="15"/>
        <v>--</v>
      </c>
      <c r="AC36" s="269" t="str">
        <f t="shared" si="16"/>
        <v>--</v>
      </c>
      <c r="AD36" s="191">
        <f t="shared" si="17"/>
      </c>
      <c r="AE36" s="192">
        <f t="shared" si="18"/>
      </c>
      <c r="AF36" s="193"/>
    </row>
    <row r="37" spans="2:32" s="8" customFormat="1" ht="16.5" customHeight="1">
      <c r="B37" s="55"/>
      <c r="C37" s="150"/>
      <c r="D37" s="259"/>
      <c r="E37" s="259"/>
      <c r="F37" s="199"/>
      <c r="G37" s="200"/>
      <c r="H37" s="201"/>
      <c r="I37" s="200"/>
      <c r="J37" s="172">
        <f t="shared" si="0"/>
        <v>20</v>
      </c>
      <c r="K37" s="173">
        <f t="shared" si="1"/>
        <v>0</v>
      </c>
      <c r="L37" s="202"/>
      <c r="M37" s="204"/>
      <c r="N37" s="176">
        <f t="shared" si="2"/>
      </c>
      <c r="O37" s="177">
        <f t="shared" si="3"/>
      </c>
      <c r="P37" s="178"/>
      <c r="Q37" s="179">
        <f t="shared" si="4"/>
      </c>
      <c r="R37" s="180">
        <f t="shared" si="5"/>
      </c>
      <c r="S37" s="180">
        <f t="shared" si="6"/>
      </c>
      <c r="T37" s="260" t="str">
        <f t="shared" si="7"/>
        <v>--</v>
      </c>
      <c r="U37" s="261" t="str">
        <f t="shared" si="8"/>
        <v>--</v>
      </c>
      <c r="V37" s="262" t="str">
        <f t="shared" si="9"/>
        <v>--</v>
      </c>
      <c r="W37" s="263" t="str">
        <f t="shared" si="10"/>
        <v>--</v>
      </c>
      <c r="X37" s="264" t="str">
        <f t="shared" si="11"/>
        <v>--</v>
      </c>
      <c r="Y37" s="265" t="str">
        <f t="shared" si="12"/>
        <v>--</v>
      </c>
      <c r="Z37" s="266" t="str">
        <f t="shared" si="13"/>
        <v>--</v>
      </c>
      <c r="AA37" s="267" t="str">
        <f t="shared" si="14"/>
        <v>--</v>
      </c>
      <c r="AB37" s="268" t="str">
        <f t="shared" si="15"/>
        <v>--</v>
      </c>
      <c r="AC37" s="269" t="str">
        <f t="shared" si="16"/>
        <v>--</v>
      </c>
      <c r="AD37" s="191">
        <f t="shared" si="17"/>
      </c>
      <c r="AE37" s="192">
        <f t="shared" si="18"/>
      </c>
      <c r="AF37" s="193"/>
    </row>
    <row r="38" spans="2:32" s="8" customFormat="1" ht="16.5" customHeight="1">
      <c r="B38" s="55"/>
      <c r="C38" s="169"/>
      <c r="D38" s="169"/>
      <c r="E38" s="169"/>
      <c r="F38" s="199"/>
      <c r="G38" s="200"/>
      <c r="H38" s="201"/>
      <c r="I38" s="200"/>
      <c r="J38" s="172">
        <f t="shared" si="0"/>
        <v>20</v>
      </c>
      <c r="K38" s="173">
        <f t="shared" si="1"/>
        <v>0</v>
      </c>
      <c r="L38" s="202"/>
      <c r="M38" s="204"/>
      <c r="N38" s="176">
        <f t="shared" si="2"/>
      </c>
      <c r="O38" s="177">
        <f t="shared" si="3"/>
      </c>
      <c r="P38" s="178"/>
      <c r="Q38" s="179">
        <f t="shared" si="4"/>
      </c>
      <c r="R38" s="180">
        <f t="shared" si="5"/>
      </c>
      <c r="S38" s="180">
        <f t="shared" si="6"/>
      </c>
      <c r="T38" s="260" t="str">
        <f t="shared" si="7"/>
        <v>--</v>
      </c>
      <c r="U38" s="261" t="str">
        <f t="shared" si="8"/>
        <v>--</v>
      </c>
      <c r="V38" s="262" t="str">
        <f t="shared" si="9"/>
        <v>--</v>
      </c>
      <c r="W38" s="263" t="str">
        <f t="shared" si="10"/>
        <v>--</v>
      </c>
      <c r="X38" s="264" t="str">
        <f t="shared" si="11"/>
        <v>--</v>
      </c>
      <c r="Y38" s="265" t="str">
        <f t="shared" si="12"/>
        <v>--</v>
      </c>
      <c r="Z38" s="266" t="str">
        <f t="shared" si="13"/>
        <v>--</v>
      </c>
      <c r="AA38" s="267" t="str">
        <f t="shared" si="14"/>
        <v>--</v>
      </c>
      <c r="AB38" s="268" t="str">
        <f t="shared" si="15"/>
        <v>--</v>
      </c>
      <c r="AC38" s="269" t="str">
        <f t="shared" si="16"/>
        <v>--</v>
      </c>
      <c r="AD38" s="191">
        <f t="shared" si="17"/>
      </c>
      <c r="AE38" s="192">
        <f t="shared" si="18"/>
      </c>
      <c r="AF38" s="193"/>
    </row>
    <row r="39" spans="2:32" s="8" customFormat="1" ht="16.5" customHeight="1">
      <c r="B39" s="55"/>
      <c r="C39" s="150"/>
      <c r="D39" s="259"/>
      <c r="E39" s="259"/>
      <c r="F39" s="199"/>
      <c r="G39" s="200"/>
      <c r="H39" s="201"/>
      <c r="I39" s="200"/>
      <c r="J39" s="172">
        <f t="shared" si="0"/>
        <v>20</v>
      </c>
      <c r="K39" s="173">
        <f t="shared" si="1"/>
        <v>0</v>
      </c>
      <c r="L39" s="202"/>
      <c r="M39" s="204"/>
      <c r="N39" s="176">
        <f t="shared" si="2"/>
      </c>
      <c r="O39" s="177">
        <f t="shared" si="3"/>
      </c>
      <c r="P39" s="178"/>
      <c r="Q39" s="179">
        <f t="shared" si="4"/>
      </c>
      <c r="R39" s="180">
        <f t="shared" si="5"/>
      </c>
      <c r="S39" s="180">
        <f t="shared" si="6"/>
      </c>
      <c r="T39" s="260" t="str">
        <f t="shared" si="7"/>
        <v>--</v>
      </c>
      <c r="U39" s="261" t="str">
        <f t="shared" si="8"/>
        <v>--</v>
      </c>
      <c r="V39" s="262" t="str">
        <f t="shared" si="9"/>
        <v>--</v>
      </c>
      <c r="W39" s="263" t="str">
        <f t="shared" si="10"/>
        <v>--</v>
      </c>
      <c r="X39" s="264" t="str">
        <f t="shared" si="11"/>
        <v>--</v>
      </c>
      <c r="Y39" s="265" t="str">
        <f t="shared" si="12"/>
        <v>--</v>
      </c>
      <c r="Z39" s="266" t="str">
        <f t="shared" si="13"/>
        <v>--</v>
      </c>
      <c r="AA39" s="267" t="str">
        <f t="shared" si="14"/>
        <v>--</v>
      </c>
      <c r="AB39" s="268" t="str">
        <f t="shared" si="15"/>
        <v>--</v>
      </c>
      <c r="AC39" s="269" t="str">
        <f t="shared" si="16"/>
        <v>--</v>
      </c>
      <c r="AD39" s="191">
        <f t="shared" si="17"/>
      </c>
      <c r="AE39" s="192">
        <f t="shared" si="18"/>
      </c>
      <c r="AF39" s="193"/>
    </row>
    <row r="40" spans="2:32" s="8" customFormat="1" ht="16.5" customHeight="1" thickBot="1">
      <c r="B40" s="55"/>
      <c r="C40" s="169"/>
      <c r="D40" s="209"/>
      <c r="E40" s="209"/>
      <c r="F40" s="209"/>
      <c r="G40" s="209"/>
      <c r="H40" s="209"/>
      <c r="I40" s="210"/>
      <c r="J40" s="211"/>
      <c r="K40" s="212"/>
      <c r="L40" s="213"/>
      <c r="M40" s="213"/>
      <c r="N40" s="214"/>
      <c r="O40" s="214"/>
      <c r="P40" s="215"/>
      <c r="Q40" s="216"/>
      <c r="R40" s="215"/>
      <c r="S40" s="215"/>
      <c r="T40" s="217"/>
      <c r="U40" s="218"/>
      <c r="V40" s="219"/>
      <c r="W40" s="220"/>
      <c r="X40" s="221"/>
      <c r="Y40" s="222"/>
      <c r="Z40" s="223"/>
      <c r="AA40" s="224"/>
      <c r="AB40" s="225"/>
      <c r="AC40" s="226"/>
      <c r="AD40" s="227"/>
      <c r="AE40" s="228"/>
      <c r="AF40" s="193"/>
    </row>
    <row r="41" spans="2:32" s="8" customFormat="1" ht="16.5" customHeight="1" thickBot="1" thickTop="1">
      <c r="B41" s="55"/>
      <c r="C41" s="229" t="s">
        <v>255</v>
      </c>
      <c r="D41" s="231"/>
      <c r="E41" s="279"/>
      <c r="F41" s="231"/>
      <c r="G41" s="232"/>
      <c r="H41" s="233"/>
      <c r="I41" s="234"/>
      <c r="J41" s="233"/>
      <c r="K41" s="235"/>
      <c r="L41" s="235"/>
      <c r="M41" s="235"/>
      <c r="N41" s="235"/>
      <c r="O41" s="235"/>
      <c r="P41" s="235"/>
      <c r="Q41" s="236"/>
      <c r="R41" s="235"/>
      <c r="S41" s="235"/>
      <c r="T41" s="237">
        <f aca="true" t="shared" si="19" ref="T41:AC41">SUM(T18:T40)</f>
        <v>615.7196641397961</v>
      </c>
      <c r="U41" s="238">
        <f t="shared" si="19"/>
        <v>0</v>
      </c>
      <c r="V41" s="239">
        <f t="shared" si="19"/>
        <v>0</v>
      </c>
      <c r="W41" s="239">
        <f t="shared" si="19"/>
        <v>13269.274188</v>
      </c>
      <c r="X41" s="239">
        <f t="shared" si="19"/>
        <v>0</v>
      </c>
      <c r="Y41" s="240">
        <f t="shared" si="19"/>
        <v>0</v>
      </c>
      <c r="Z41" s="240">
        <f t="shared" si="19"/>
        <v>0</v>
      </c>
      <c r="AA41" s="240">
        <f t="shared" si="19"/>
        <v>0</v>
      </c>
      <c r="AB41" s="241">
        <f t="shared" si="19"/>
        <v>0</v>
      </c>
      <c r="AC41" s="242">
        <f t="shared" si="19"/>
        <v>0</v>
      </c>
      <c r="AD41" s="243"/>
      <c r="AE41" s="244">
        <f>ROUND(SUM(AE18:AE40),2)</f>
        <v>13884.99</v>
      </c>
      <c r="AF41" s="193"/>
    </row>
    <row r="42" spans="2:32" s="8" customFormat="1" ht="16.5" customHeight="1" thickBot="1" thickTop="1">
      <c r="B42" s="245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7"/>
    </row>
    <row r="43" spans="2:32" ht="16.5" customHeight="1" thickTop="1">
      <c r="B43" s="248"/>
      <c r="AF43" s="248"/>
    </row>
  </sheetData>
  <sheetProtection password="CC12"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Roman,Normal"&amp;8&amp;F-&amp;A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jmessina</dc:creator>
  <cp:keywords/>
  <dc:description/>
  <cp:lastModifiedBy>AAguirre</cp:lastModifiedBy>
  <cp:lastPrinted>2014-05-13T15:29:46Z</cp:lastPrinted>
  <dcterms:created xsi:type="dcterms:W3CDTF">2011-08-01T18:34:41Z</dcterms:created>
  <dcterms:modified xsi:type="dcterms:W3CDTF">2014-05-19T13:58:35Z</dcterms:modified>
  <cp:category/>
  <cp:version/>
  <cp:contentType/>
  <cp:contentStatus/>
</cp:coreProperties>
</file>