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904" sheetId="1" r:id="rId1"/>
    <sheet name="LI-0904" sheetId="2" r:id="rId2"/>
    <sheet name="TR-0904" sheetId="3" r:id="rId3"/>
    <sheet name="SA-0904" sheetId="4" r:id="rId4"/>
    <sheet name="TASA FALLA" sheetId="5" r:id="rId5"/>
  </sheets>
  <externalReferences>
    <externalReference r:id="rId8"/>
  </externalReferences>
  <definedNames>
    <definedName name="_xlnm.Print_Area" localSheetId="3">'SA-0904'!$A$1:$U$44</definedName>
    <definedName name="_xlnm.Print_Area" localSheetId="4">'TASA FALLA'!$A$1:$V$45</definedName>
    <definedName name="_xlnm.Print_Area" localSheetId="0">'tot-0904'!$A$1:$K$31</definedName>
    <definedName name="_xlnm.Print_Area" localSheetId="2">'TR-0904'!$A$1:$AB$46</definedName>
    <definedName name="DD" localSheetId="1">'LI-0904'!DD</definedName>
    <definedName name="DD" localSheetId="3">'SA-0904'!DD</definedName>
    <definedName name="DD" localSheetId="4">'TASA FALLA'!DD</definedName>
    <definedName name="DD" localSheetId="2">'TR-0904'!DD</definedName>
    <definedName name="DD">[0]!DD</definedName>
    <definedName name="DDD" localSheetId="1">'LI-0904'!DDD</definedName>
    <definedName name="DDD" localSheetId="3">'SA-0904'!DDD</definedName>
    <definedName name="DDD" localSheetId="4">'TASA FALLA'!DDD</definedName>
    <definedName name="DDD" localSheetId="2">'TR-0904'!DDD</definedName>
    <definedName name="DDD">[0]!DDD</definedName>
    <definedName name="DISTROCUYO" localSheetId="1">'LI-0904'!DISTROCUYO</definedName>
    <definedName name="DISTROCUYO" localSheetId="3">'SA-0904'!DISTROCUYO</definedName>
    <definedName name="DISTROCUYO" localSheetId="4">'TASA FALLA'!DISTROCUYO</definedName>
    <definedName name="DISTROCUYO" localSheetId="2">'TR-0904'!DISTROCUYO</definedName>
    <definedName name="DISTROCUYO">[0]!DISTROCUYO</definedName>
    <definedName name="INICIO" localSheetId="1">'LI-0904'!INICIO</definedName>
    <definedName name="INICIO" localSheetId="3">'SA-0904'!INICIO</definedName>
    <definedName name="INICIO" localSheetId="4">'TASA FALLA'!INICIO</definedName>
    <definedName name="INICIO" localSheetId="2">'TR-0904'!INICIO</definedName>
    <definedName name="INICIO">[0]!INICIO</definedName>
    <definedName name="INICIOTI" localSheetId="1">'LI-0904'!INICIOTI</definedName>
    <definedName name="INICIOTI" localSheetId="3">'SA-0904'!INICIOTI</definedName>
    <definedName name="INICIOTI" localSheetId="4">'TASA FALLA'!INICIOTI</definedName>
    <definedName name="INICIOTI" localSheetId="2">'TR-0904'!INICIOTI</definedName>
    <definedName name="INICIOTI">[0]!INICIOTI</definedName>
    <definedName name="LINEAS" localSheetId="1">'LI-0904'!LINEAS</definedName>
    <definedName name="LINEAS" localSheetId="3">'SA-0904'!LINEAS</definedName>
    <definedName name="LINEAS" localSheetId="4">'TASA FALLA'!LINEAS</definedName>
    <definedName name="LINEAS" localSheetId="2">'TR-0904'!LINEAS</definedName>
    <definedName name="LINEAS">[0]!LINEAS</definedName>
    <definedName name="LINEASTI" localSheetId="1">'LI-0904'!LINEASTI</definedName>
    <definedName name="LINEASTI" localSheetId="3">'SA-0904'!LINEASTI</definedName>
    <definedName name="LINEASTI" localSheetId="4">'TASA FALLA'!LINEASTI</definedName>
    <definedName name="LINEASTI" localSheetId="2">'TR-0904'!LINEASTI</definedName>
    <definedName name="LINEASTI">[0]!LINEASTI</definedName>
    <definedName name="NAME_L" localSheetId="1">'LI-0904'!NAME_L</definedName>
    <definedName name="NAME_L" localSheetId="3">'SA-0904'!NAME_L</definedName>
    <definedName name="NAME_L" localSheetId="4">'TASA FALLA'!NAME_L</definedName>
    <definedName name="NAME_L" localSheetId="2">'TR-0904'!NAME_L</definedName>
    <definedName name="NAME_L">[0]!NAME_L</definedName>
    <definedName name="NAME_L_TI" localSheetId="1">'LI-0904'!NAME_L_TI</definedName>
    <definedName name="NAME_L_TI" localSheetId="3">'SA-0904'!NAME_L_TI</definedName>
    <definedName name="NAME_L_TI" localSheetId="4">'TASA FALLA'!NAME_L_TI</definedName>
    <definedName name="NAME_L_TI" localSheetId="2">'TR-0904'!NAME_L_TI</definedName>
    <definedName name="NAME_L_TI">[0]!NAME_L_TI</definedName>
    <definedName name="TRANSNOA" localSheetId="1">'LI-0904'!TRANSNOA</definedName>
    <definedName name="TRANSNOA" localSheetId="3">'SA-0904'!TRANSNOA</definedName>
    <definedName name="TRANSNOA" localSheetId="4">'TASA FALLA'!TRANSNOA</definedName>
    <definedName name="TRANSNOA" localSheetId="2">'TR-0904'!TRANSNOA</definedName>
    <definedName name="TRANSNOA">[0]!TRANSNOA</definedName>
    <definedName name="TRANSPA" localSheetId="1">'LI-0904'!TRANSPA</definedName>
    <definedName name="TRANSPA" localSheetId="3">'SA-0904'!TRANSPA</definedName>
    <definedName name="TRANSPA" localSheetId="4">'TASA FALLA'!TRANSPA</definedName>
    <definedName name="TRANSPA" localSheetId="2">'TR-0904'!TRANSPA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<sst xmlns="http://schemas.openxmlformats.org/spreadsheetml/2006/main" count="201" uniqueCount="117">
  <si>
    <t>SISTEMA DE TRANSPORTE DE ENERGÍA ELÉCTRICA POR DISTRIBUCIÓN TRONCAL</t>
  </si>
  <si>
    <t>LÍNEAS</t>
  </si>
  <si>
    <t>ALTO VALLE - CENTENARIO</t>
  </si>
  <si>
    <t>ARROYITO - P.I.A.P.  2</t>
  </si>
  <si>
    <t>132/33/13,2</t>
  </si>
  <si>
    <t xml:space="preserve"> TRAFO 2</t>
  </si>
  <si>
    <t>TRAFO 1</t>
  </si>
  <si>
    <t>PLANICIE BANDERITA</t>
  </si>
  <si>
    <t xml:space="preserve">PUESTO HERNANDEZ </t>
  </si>
  <si>
    <t>TRAFO 2</t>
  </si>
  <si>
    <t>ARROYITO</t>
  </si>
  <si>
    <t>SALIDA LINEA AGUA CAJON 2</t>
  </si>
  <si>
    <t>PCIE. BANDERITA</t>
  </si>
  <si>
    <t xml:space="preserve"> SALIDA LINEA LOMA DE LA LATA</t>
  </si>
  <si>
    <t>SALIDA LINEA P. GRANDE</t>
  </si>
  <si>
    <t>COLONIA VALENTINA</t>
  </si>
  <si>
    <t>DISTRIBUIDOR PLOTTIER</t>
  </si>
  <si>
    <t>ALIMENTADOR EL CHAÑAR</t>
  </si>
  <si>
    <t>PTO. HERNANDEZ</t>
  </si>
  <si>
    <t>ALIMENTADOR SAN JORGE</t>
  </si>
  <si>
    <t>ALIMENTADOR CHIUIDO</t>
  </si>
  <si>
    <t>ALIMENTADOR O.T.S.A.</t>
  </si>
  <si>
    <t>ALIMENTADOR OLEODUCTO MZA.</t>
  </si>
  <si>
    <t>ALIMENT. ELECTROBOMBAS</t>
  </si>
  <si>
    <t>ALIMENT. BAT. 2 Y 5</t>
  </si>
  <si>
    <t>ALIMENT. BAT. 1,3 Y 6</t>
  </si>
  <si>
    <t>ALIMENT. BAT. 7 Y 8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</si>
  <si>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</si>
  <si>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</si>
  <si>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</si>
  <si>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</si>
  <si>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</si>
  <si>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</si>
  <si>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</si>
  <si>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</si>
  <si>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</si>
  <si>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</si>
  <si>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</si>
  <si>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</si>
  <si>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</si>
  <si>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</si>
  <si>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</si>
  <si>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</si>
  <si>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</si>
  <si>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</si>
  <si>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</si>
  <si>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</si>
  <si>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</si>
  <si>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</si>
  <si>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</si>
  <si>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</si>
  <si>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</si>
  <si>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</si>
  <si>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</si>
  <si>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</si>
  <si>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</si>
  <si>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</si>
  <si>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</si>
  <si>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</si>
  <si>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</si>
  <si>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</si>
  <si>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</si>
  <si>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</si>
  <si>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</si>
  <si>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</si>
  <si>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</si>
  <si>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</si>
  <si>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</si>
  <si>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</si>
  <si>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</si>
  <si>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</si>
  <si>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</si>
  <si>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</si>
  <si>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</si>
  <si>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</si>
  <si>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</si>
  <si>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</si>
  <si>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</si>
  <si>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</si>
  <si>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</si>
  <si>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</si>
  <si>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</si>
  <si>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</si>
  <si>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ALIMENTADOR PIAS 1</t>
  </si>
  <si>
    <t>ALIMENTADOR PIAS 2</t>
  </si>
  <si>
    <t>EL TRAPIAL</t>
  </si>
  <si>
    <t>CHIHUIDO II</t>
  </si>
  <si>
    <t>SALIDA CHIHUIDO I</t>
  </si>
  <si>
    <t>ALIMENTADOR H.C.C.</t>
  </si>
  <si>
    <t>ALIMENT. PLANTA IND. AGUA DULCE</t>
  </si>
  <si>
    <t>K (P;ENS)</t>
  </si>
  <si>
    <t>E.N.S.</t>
  </si>
  <si>
    <t>Desde el 01 al 30 de abril de 2009</t>
  </si>
  <si>
    <t>P</t>
  </si>
  <si>
    <t>NO</t>
  </si>
  <si>
    <t>RP</t>
  </si>
  <si>
    <t>F</t>
  </si>
  <si>
    <t>P - PROGRAMADA</t>
  </si>
  <si>
    <t>P - PROGRAMADA ;   RP - REDUCCIÓN PROGRAMADA ;   F - FORZADA</t>
  </si>
  <si>
    <t>132/33/13,1</t>
  </si>
  <si>
    <t>EPEN</t>
  </si>
  <si>
    <t>ENTE PROVINCIAL DE ENERGIA DEL NEUQUEN - EPEN</t>
  </si>
  <si>
    <t xml:space="preserve"> (TRANSPORTISTA POR DISTRIBUCIÓN TRONCAL)</t>
  </si>
  <si>
    <t>INDISPONIBILIDADES FORZADAS DE LÍNEAS - TASA DE FALLA</t>
  </si>
  <si>
    <t>Correspondiente al mes de abril de 2009 (provisoria).-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</si>
  <si>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</si>
  <si>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</si>
  <si>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</si>
  <si>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</si>
  <si>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</si>
  <si>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</si>
  <si>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TASA DE FALLA</t>
  </si>
  <si>
    <t>SALIDAS x AÑO / 100 km</t>
  </si>
  <si>
    <t>Valores remuneratorios según Res. ENRE N° 335/08</t>
  </si>
  <si>
    <t>SISTEMA DE TRANSPORTE DE ENERGÍA ELÉCTRICA POR DISTRIBUCIÓN TRONCAL - EPEN</t>
  </si>
  <si>
    <t>TOTAL DE PENALIZACIONES</t>
  </si>
  <si>
    <t>ANEXO I al Memorandum D.T.E.E. N° 829 /2010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</si>
</sst>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mmm\-yyyy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_)"/>
    <numFmt numFmtId="190" formatCode="0.0000000_)"/>
    <numFmt numFmtId="191" formatCode="#,##0.00000"/>
    <numFmt numFmtId="192" formatCode="#,##0.0"/>
    <numFmt numFmtId="193" formatCode="0.000_)"/>
    <numFmt numFmtId="194" formatCode="&quot;$&quot;#,##0.00;&quot;$&quot;\-#,##0.00"/>
    <numFmt numFmtId="195" formatCode="&quot;$&quot;#,##0.00"/>
    <numFmt numFmtId="196" formatCode="#&quot;.&quot;#&quot;.-&quot;"/>
    <numFmt numFmtId="197" formatCode="#&quot;.&quot;#&quot;.&quot;#&quot;.-&quot;"/>
    <numFmt numFmtId="198" formatCode="#,##0;[Red]#,##0"/>
    <numFmt numFmtId="199" formatCode="#,##0.000000"/>
    <numFmt numFmtId="200" formatCode="#,##0.00;[Red]#,##0.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name val="MS Sans Serif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5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 applyBorder="1">
      <alignment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5" fillId="0" borderId="4" xfId="21" applyFont="1" applyBorder="1">
      <alignment/>
      <protection/>
    </xf>
    <xf numFmtId="0" fontId="3" fillId="0" borderId="0" xfId="21" applyNumberFormat="1" applyFont="1" applyBorder="1" applyAlignment="1">
      <alignment horizontal="right"/>
      <protection/>
    </xf>
    <xf numFmtId="0" fontId="3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3" fillId="0" borderId="0" xfId="21" applyNumberFormat="1" applyFont="1" applyBorder="1" applyAlignment="1">
      <alignment horizontal="right"/>
      <protection/>
    </xf>
    <xf numFmtId="0" fontId="5" fillId="0" borderId="5" xfId="21" applyFont="1" applyBorder="1">
      <alignment/>
      <protection/>
    </xf>
    <xf numFmtId="0" fontId="5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0" fontId="19" fillId="0" borderId="0" xfId="21" applyNumberFormat="1" applyFont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4" fontId="5" fillId="0" borderId="0" xfId="21" applyNumberFormat="1" applyFont="1" applyFill="1" applyBorder="1">
      <alignment/>
      <protection/>
    </xf>
    <xf numFmtId="0" fontId="5" fillId="0" borderId="0" xfId="21" applyFont="1" applyBorder="1" applyAlignment="1">
      <alignment horizontal="center"/>
      <protection/>
    </xf>
    <xf numFmtId="4" fontId="5" fillId="0" borderId="0" xfId="21" applyNumberFormat="1" applyFont="1" applyBorder="1">
      <alignment/>
      <protection/>
    </xf>
    <xf numFmtId="4" fontId="3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5" fillId="0" borderId="0" xfId="21" applyFont="1" applyProtection="1">
      <alignment/>
      <protection/>
    </xf>
    <xf numFmtId="0" fontId="5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5" fillId="0" borderId="1" xfId="21" applyFont="1" applyBorder="1" applyProtection="1">
      <alignment/>
      <protection/>
    </xf>
    <xf numFmtId="0" fontId="5" fillId="0" borderId="2" xfId="21" applyFont="1" applyBorder="1" applyProtection="1">
      <alignment/>
      <protection/>
    </xf>
    <xf numFmtId="0" fontId="5" fillId="0" borderId="3" xfId="21" applyFont="1" applyBorder="1" applyProtection="1">
      <alignment/>
      <protection/>
    </xf>
    <xf numFmtId="0" fontId="5" fillId="0" borderId="4" xfId="21" applyFont="1" applyBorder="1" applyProtection="1">
      <alignment/>
      <protection/>
    </xf>
    <xf numFmtId="0" fontId="5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5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5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3" fontId="1" fillId="0" borderId="6" xfId="21" applyNumberFormat="1" applyFont="1" applyBorder="1" applyAlignment="1" applyProtection="1">
      <alignment horizontal="centerContinuous"/>
      <protection/>
    </xf>
    <xf numFmtId="169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69" fontId="5" fillId="0" borderId="0" xfId="21" applyNumberFormat="1" applyFont="1" applyBorder="1" applyProtection="1">
      <alignment/>
      <protection/>
    </xf>
    <xf numFmtId="0" fontId="5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5" fillId="0" borderId="14" xfId="21" applyFont="1" applyBorder="1" applyAlignment="1" applyProtection="1">
      <alignment horizontal="center"/>
      <protection locked="0"/>
    </xf>
    <xf numFmtId="0" fontId="5" fillId="0" borderId="15" xfId="21" applyFont="1" applyBorder="1" applyAlignment="1" applyProtection="1">
      <alignment horizontal="center"/>
      <protection locked="0"/>
    </xf>
    <xf numFmtId="2" fontId="5" fillId="0" borderId="16" xfId="21" applyNumberFormat="1" applyFont="1" applyBorder="1" applyAlignment="1" applyProtection="1">
      <alignment horizont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5" fillId="0" borderId="14" xfId="21" applyNumberFormat="1" applyFont="1" applyBorder="1" applyAlignment="1" applyProtection="1">
      <alignment horizontal="center"/>
      <protection locked="0"/>
    </xf>
    <xf numFmtId="2" fontId="5" fillId="0" borderId="14" xfId="21" applyNumberFormat="1" applyFont="1" applyBorder="1" applyAlignment="1" applyProtection="1">
      <alignment horizontal="center"/>
      <protection/>
    </xf>
    <xf numFmtId="1" fontId="5" fillId="0" borderId="14" xfId="21" applyNumberFormat="1" applyFont="1" applyBorder="1" applyAlignment="1" applyProtection="1">
      <alignment horizontal="center"/>
      <protection/>
    </xf>
    <xf numFmtId="170" fontId="5" fillId="0" borderId="14" xfId="21" applyNumberFormat="1" applyFont="1" applyBorder="1" applyAlignment="1" applyProtection="1">
      <alignment horizontal="center"/>
      <protection locked="0"/>
    </xf>
    <xf numFmtId="38" fontId="5" fillId="0" borderId="14" xfId="21" applyNumberFormat="1" applyFont="1" applyBorder="1" applyAlignment="1" applyProtection="1">
      <alignment horizontal="center"/>
      <protection locked="0"/>
    </xf>
    <xf numFmtId="4" fontId="5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5" fillId="0" borderId="5" xfId="21" applyNumberFormat="1" applyFont="1" applyBorder="1" applyProtection="1">
      <alignment/>
      <protection/>
    </xf>
    <xf numFmtId="0" fontId="5" fillId="0" borderId="17" xfId="21" applyFont="1" applyBorder="1" applyAlignment="1" applyProtection="1">
      <alignment horizontal="center"/>
      <protection locked="0"/>
    </xf>
    <xf numFmtId="0" fontId="5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1" fontId="5" fillId="0" borderId="18" xfId="21" applyNumberFormat="1" applyFont="1" applyBorder="1" applyAlignment="1" applyProtection="1">
      <alignment horizontal="center"/>
      <protection locked="0"/>
    </xf>
    <xf numFmtId="170" fontId="38" fillId="2" borderId="18" xfId="21" applyNumberFormat="1" applyFont="1" applyFill="1" applyBorder="1" applyAlignment="1" applyProtection="1">
      <alignment horizontal="center"/>
      <protection/>
    </xf>
    <xf numFmtId="170" fontId="5" fillId="0" borderId="18" xfId="21" applyNumberFormat="1" applyFont="1" applyBorder="1" applyAlignment="1" applyProtection="1">
      <alignment horizontal="center"/>
      <protection locked="0"/>
    </xf>
    <xf numFmtId="170" fontId="5" fillId="0" borderId="18" xfId="21" applyNumberFormat="1" applyFont="1" applyBorder="1" applyAlignment="1" applyProtection="1">
      <alignment horizontal="center"/>
      <protection/>
    </xf>
    <xf numFmtId="38" fontId="5" fillId="0" borderId="18" xfId="21" applyNumberFormat="1" applyFont="1" applyBorder="1" applyAlignment="1" applyProtection="1">
      <alignment horizontal="center"/>
      <protection locked="0"/>
    </xf>
    <xf numFmtId="4" fontId="5" fillId="0" borderId="18" xfId="21" applyNumberFormat="1" applyFont="1" applyBorder="1" applyAlignment="1" applyProtection="1">
      <alignment horizontal="center"/>
      <protection locked="0"/>
    </xf>
    <xf numFmtId="7" fontId="5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1" fontId="5" fillId="0" borderId="0" xfId="21" applyNumberFormat="1" applyFont="1" applyBorder="1" applyAlignment="1" applyProtection="1">
      <alignment horizontal="center"/>
      <protection/>
    </xf>
    <xf numFmtId="170" fontId="5" fillId="0" borderId="0" xfId="21" applyNumberFormat="1" applyFont="1" applyBorder="1" applyAlignment="1" applyProtection="1">
      <alignment horizontal="center"/>
      <protection/>
    </xf>
    <xf numFmtId="38" fontId="5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0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5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5" fillId="0" borderId="8" xfId="21" applyFont="1" applyBorder="1" applyProtection="1">
      <alignment/>
      <protection/>
    </xf>
    <xf numFmtId="0" fontId="5" fillId="0" borderId="9" xfId="21" applyFont="1" applyBorder="1" applyProtection="1">
      <alignment/>
      <protection/>
    </xf>
    <xf numFmtId="0" fontId="5" fillId="0" borderId="10" xfId="21" applyFont="1" applyBorder="1" applyProtection="1">
      <alignment/>
      <protection/>
    </xf>
    <xf numFmtId="0" fontId="5" fillId="0" borderId="0" xfId="21" applyFont="1" applyAlignment="1" applyProtection="1">
      <alignment/>
      <protection/>
    </xf>
    <xf numFmtId="0" fontId="5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5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5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5" fillId="0" borderId="14" xfId="21" applyFont="1" applyFill="1" applyBorder="1" applyProtection="1">
      <alignment/>
      <protection locked="0"/>
    </xf>
    <xf numFmtId="0" fontId="5" fillId="0" borderId="17" xfId="21" applyFont="1" applyBorder="1" applyAlignment="1" applyProtection="1">
      <alignment horizontal="center" vertical="center"/>
      <protection locked="0"/>
    </xf>
    <xf numFmtId="0" fontId="5" fillId="0" borderId="22" xfId="21" applyFont="1" applyBorder="1" applyAlignment="1" applyProtection="1">
      <alignment horizontal="center" vertical="center"/>
      <protection locked="0"/>
    </xf>
    <xf numFmtId="0" fontId="5" fillId="0" borderId="23" xfId="21" applyFont="1" applyBorder="1" applyAlignment="1" applyProtection="1" quotePrefix="1">
      <alignment horizontal="center" vertical="center"/>
      <protection locked="0"/>
    </xf>
    <xf numFmtId="2" fontId="5" fillId="0" borderId="24" xfId="21" applyNumberFormat="1" applyFont="1" applyBorder="1" applyAlignment="1" applyProtection="1" quotePrefix="1">
      <alignment horizontal="center" vertic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5" fillId="0" borderId="14" xfId="21" applyNumberFormat="1" applyFont="1" applyFill="1" applyBorder="1" applyAlignment="1" applyProtection="1">
      <alignment horizontal="center"/>
      <protection locked="0"/>
    </xf>
    <xf numFmtId="2" fontId="5" fillId="0" borderId="14" xfId="21" applyNumberFormat="1" applyFont="1" applyFill="1" applyBorder="1" applyAlignment="1" applyProtection="1">
      <alignment horizontal="center"/>
      <protection/>
    </xf>
    <xf numFmtId="3" fontId="5" fillId="0" borderId="14" xfId="21" applyNumberFormat="1" applyFont="1" applyFill="1" applyBorder="1" applyAlignment="1" applyProtection="1">
      <alignment horizontal="center"/>
      <protection/>
    </xf>
    <xf numFmtId="170" fontId="5" fillId="0" borderId="14" xfId="21" applyNumberFormat="1" applyFont="1" applyFill="1" applyBorder="1" applyAlignment="1" applyProtection="1">
      <alignment horizontal="center"/>
      <protection locked="0"/>
    </xf>
    <xf numFmtId="170" fontId="5" fillId="0" borderId="14" xfId="21" applyNumberFormat="1" applyFont="1" applyFill="1" applyBorder="1" applyAlignment="1" applyProtection="1" quotePrefix="1">
      <alignment horizontal="center"/>
      <protection locked="0"/>
    </xf>
    <xf numFmtId="0" fontId="5" fillId="0" borderId="15" xfId="21" applyFont="1" applyBorder="1" applyAlignment="1" applyProtection="1" quotePrefix="1">
      <alignment horizontal="center" vertical="center"/>
      <protection locked="0"/>
    </xf>
    <xf numFmtId="0" fontId="5" fillId="0" borderId="15" xfId="21" applyFont="1" applyBorder="1" applyAlignment="1" applyProtection="1">
      <alignment horizontal="center" vertical="center"/>
      <protection locked="0"/>
    </xf>
    <xf numFmtId="0" fontId="5" fillId="0" borderId="14" xfId="21" applyFont="1" applyBorder="1" applyAlignment="1" applyProtection="1">
      <alignment horizontal="center" vertical="center"/>
      <protection locked="0"/>
    </xf>
    <xf numFmtId="0" fontId="5" fillId="0" borderId="23" xfId="21" applyFont="1" applyBorder="1" applyAlignment="1" applyProtection="1">
      <alignment horizontal="center" vertical="center"/>
      <protection locked="0"/>
    </xf>
    <xf numFmtId="2" fontId="5" fillId="0" borderId="16" xfId="21" applyNumberFormat="1" applyFont="1" applyBorder="1" applyAlignment="1" applyProtection="1" quotePrefix="1">
      <alignment horizontal="center" vertical="center"/>
      <protection locked="0"/>
    </xf>
    <xf numFmtId="0" fontId="5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68" fontId="8" fillId="0" borderId="18" xfId="21" applyNumberFormat="1" applyFont="1" applyFill="1" applyBorder="1" applyAlignment="1" applyProtection="1" quotePrefix="1">
      <alignment horizontal="center"/>
      <protection locked="0"/>
    </xf>
    <xf numFmtId="170" fontId="59" fillId="2" borderId="18" xfId="21" applyNumberFormat="1" applyFont="1" applyFill="1" applyBorder="1" applyAlignment="1" applyProtection="1">
      <alignment horizontal="center"/>
      <protection/>
    </xf>
    <xf numFmtId="170" fontId="5" fillId="0" borderId="18" xfId="21" applyNumberFormat="1" applyFont="1" applyFill="1" applyBorder="1" applyAlignment="1" applyProtection="1">
      <alignment horizontal="center"/>
      <protection locked="0"/>
    </xf>
    <xf numFmtId="170" fontId="5" fillId="0" borderId="18" xfId="21" applyNumberFormat="1" applyFont="1" applyFill="1" applyBorder="1" applyAlignment="1" applyProtection="1">
      <alignment horizontal="center"/>
      <protection/>
    </xf>
    <xf numFmtId="170" fontId="5" fillId="0" borderId="18" xfId="21" applyNumberFormat="1" applyFont="1" applyFill="1" applyBorder="1" applyAlignment="1" applyProtection="1" quotePrefix="1">
      <alignment horizontal="center"/>
      <protection locked="0"/>
    </xf>
    <xf numFmtId="170" fontId="43" fillId="2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72" fontId="1" fillId="0" borderId="7" xfId="21" applyNumberFormat="1" applyFont="1" applyFill="1" applyBorder="1" applyAlignment="1" applyProtection="1">
      <alignment horizontal="center"/>
      <protection/>
    </xf>
    <xf numFmtId="0" fontId="5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68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5" fillId="0" borderId="25" xfId="21" applyFont="1" applyFill="1" applyBorder="1" applyAlignment="1" applyProtection="1">
      <alignment horizontal="center"/>
      <protection locked="0"/>
    </xf>
    <xf numFmtId="22" fontId="5" fillId="0" borderId="26" xfId="21" applyNumberFormat="1" applyFont="1" applyFill="1" applyBorder="1" applyAlignment="1" applyProtection="1">
      <alignment horizontal="center"/>
      <protection locked="0"/>
    </xf>
    <xf numFmtId="2" fontId="5" fillId="0" borderId="27" xfId="21" applyNumberFormat="1" applyFont="1" applyFill="1" applyBorder="1" applyAlignment="1" applyProtection="1">
      <alignment horizontal="center"/>
      <protection/>
    </xf>
    <xf numFmtId="168" fontId="5" fillId="0" borderId="27" xfId="21" applyNumberFormat="1" applyFont="1" applyFill="1" applyBorder="1" applyAlignment="1" applyProtection="1" quotePrefix="1">
      <alignment horizontal="center"/>
      <protection/>
    </xf>
    <xf numFmtId="170" fontId="5" fillId="0" borderId="22" xfId="21" applyNumberFormat="1" applyFont="1" applyFill="1" applyBorder="1" applyAlignment="1" applyProtection="1">
      <alignment horizontal="center"/>
      <protection locked="0"/>
    </xf>
    <xf numFmtId="170" fontId="5" fillId="0" borderId="27" xfId="21" applyNumberFormat="1" applyFont="1" applyFill="1" applyBorder="1" applyAlignment="1" applyProtection="1">
      <alignment horizontal="center"/>
      <protection locked="0"/>
    </xf>
    <xf numFmtId="171" fontId="5" fillId="0" borderId="16" xfId="21" applyNumberFormat="1" applyFont="1" applyBorder="1" applyAlignment="1" applyProtection="1" quotePrefix="1">
      <alignment horizontal="center" vertical="center"/>
      <protection locked="0"/>
    </xf>
    <xf numFmtId="0" fontId="5" fillId="0" borderId="11" xfId="21" applyFont="1" applyFill="1" applyBorder="1" applyProtection="1">
      <alignment/>
      <protection locked="0"/>
    </xf>
    <xf numFmtId="0" fontId="44" fillId="0" borderId="28" xfId="21" applyFont="1" applyFill="1" applyBorder="1" applyAlignment="1" applyProtection="1">
      <alignment horizontal="center"/>
      <protection locked="0"/>
    </xf>
    <xf numFmtId="0" fontId="5" fillId="0" borderId="29" xfId="21" applyFont="1" applyBorder="1" applyAlignment="1" applyProtection="1">
      <alignment horizontal="center" vertical="center"/>
      <protection locked="0"/>
    </xf>
    <xf numFmtId="170" fontId="5" fillId="0" borderId="30" xfId="21" applyNumberFormat="1" applyFont="1" applyFill="1" applyBorder="1" applyAlignment="1" applyProtection="1">
      <alignment horizontal="center"/>
      <protection locked="0"/>
    </xf>
    <xf numFmtId="170" fontId="5" fillId="0" borderId="30" xfId="21" applyNumberFormat="1" applyFont="1" applyFill="1" applyBorder="1" applyAlignment="1" applyProtection="1">
      <alignment horizontal="center"/>
      <protection/>
    </xf>
    <xf numFmtId="170" fontId="5" fillId="0" borderId="29" xfId="21" applyNumberFormat="1" applyFont="1" applyFill="1" applyBorder="1" applyAlignment="1" applyProtection="1">
      <alignment horizontal="center"/>
      <protection locked="0"/>
    </xf>
    <xf numFmtId="0" fontId="5" fillId="0" borderId="14" xfId="21" applyFont="1" applyBorder="1" applyAlignment="1" applyProtection="1">
      <alignment horizontal="center" vertical="center"/>
      <protection/>
    </xf>
    <xf numFmtId="0" fontId="82" fillId="0" borderId="0" xfId="21" applyFont="1" applyAlignment="1">
      <alignment horizontal="right" vertical="top"/>
      <protection/>
    </xf>
    <xf numFmtId="0" fontId="82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5" fillId="0" borderId="21" xfId="21" applyFont="1" applyBorder="1" applyProtection="1">
      <alignment/>
      <protection/>
    </xf>
    <xf numFmtId="0" fontId="5" fillId="0" borderId="31" xfId="21" applyFont="1" applyBorder="1" applyAlignment="1" applyProtection="1">
      <alignment horizontal="center"/>
      <protection/>
    </xf>
    <xf numFmtId="168" fontId="5" fillId="0" borderId="21" xfId="21" applyNumberFormat="1" applyFont="1" applyBorder="1" applyAlignment="1" applyProtection="1">
      <alignment horizontal="center"/>
      <protection/>
    </xf>
    <xf numFmtId="168" fontId="5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5" fillId="0" borderId="21" xfId="21" applyFont="1" applyBorder="1" applyAlignment="1" applyProtection="1">
      <alignment horizontal="center"/>
      <protection/>
    </xf>
    <xf numFmtId="0" fontId="5" fillId="0" borderId="31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6" borderId="21" xfId="21" applyFont="1" applyFill="1" applyBorder="1" applyAlignment="1" applyProtection="1">
      <alignment horizontal="center"/>
      <protection/>
    </xf>
    <xf numFmtId="0" fontId="41" fillId="3" borderId="32" xfId="21" applyFont="1" applyFill="1" applyBorder="1" applyAlignment="1" applyProtection="1">
      <alignment horizontal="center"/>
      <protection/>
    </xf>
    <xf numFmtId="0" fontId="41" fillId="3" borderId="31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left"/>
      <protection/>
    </xf>
    <xf numFmtId="0" fontId="7" fillId="6" borderId="32" xfId="21" applyFont="1" applyFill="1" applyBorder="1" applyAlignment="1" applyProtection="1">
      <alignment horizontal="center"/>
      <protection/>
    </xf>
    <xf numFmtId="0" fontId="7" fillId="6" borderId="31" xfId="21" applyFont="1" applyFill="1" applyBorder="1" applyAlignment="1" applyProtection="1">
      <alignment horizontal="center"/>
      <protection/>
    </xf>
    <xf numFmtId="0" fontId="7" fillId="6" borderId="33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5" fillId="0" borderId="14" xfId="21" applyFont="1" applyBorder="1" applyProtection="1">
      <alignment/>
      <protection/>
    </xf>
    <xf numFmtId="0" fontId="5" fillId="0" borderId="34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5" fillId="0" borderId="34" xfId="21" applyFont="1" applyBorder="1" applyAlignment="1" applyProtection="1">
      <alignment horizontal="center"/>
      <protection/>
    </xf>
    <xf numFmtId="0" fontId="5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6" borderId="14" xfId="21" applyFont="1" applyFill="1" applyBorder="1" applyProtection="1">
      <alignment/>
      <protection/>
    </xf>
    <xf numFmtId="0" fontId="41" fillId="3" borderId="35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6" borderId="35" xfId="21" applyFont="1" applyFill="1" applyBorder="1" applyAlignment="1" applyProtection="1">
      <alignment horizontal="center"/>
      <protection/>
    </xf>
    <xf numFmtId="0" fontId="7" fillId="6" borderId="34" xfId="21" applyFont="1" applyFill="1" applyBorder="1" applyProtection="1">
      <alignment/>
      <protection/>
    </xf>
    <xf numFmtId="0" fontId="7" fillId="6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6" borderId="14" xfId="21" applyNumberFormat="1" applyFont="1" applyFill="1" applyBorder="1" applyAlignment="1" applyProtection="1">
      <alignment horizontal="center"/>
      <protection locked="0"/>
    </xf>
    <xf numFmtId="170" fontId="41" fillId="3" borderId="35" xfId="21" applyNumberFormat="1" applyFont="1" applyFill="1" applyBorder="1" applyAlignment="1" applyProtection="1" quotePrefix="1">
      <alignment horizontal="center"/>
      <protection locked="0"/>
    </xf>
    <xf numFmtId="170" fontId="41" fillId="3" borderId="34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0" fontId="7" fillId="6" borderId="35" xfId="21" applyNumberFormat="1" applyFont="1" applyFill="1" applyBorder="1" applyAlignment="1" applyProtection="1" quotePrefix="1">
      <alignment horizontal="center"/>
      <protection locked="0"/>
    </xf>
    <xf numFmtId="170" fontId="7" fillId="6" borderId="34" xfId="21" applyNumberFormat="1" applyFont="1" applyFill="1" applyBorder="1" applyAlignment="1" applyProtection="1" quotePrefix="1">
      <alignment horizontal="center"/>
      <protection locked="0"/>
    </xf>
    <xf numFmtId="4" fontId="7" fillId="6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6" borderId="18" xfId="21" applyNumberFormat="1" applyFont="1" applyFill="1" applyBorder="1" applyAlignment="1" applyProtection="1">
      <alignment horizontal="center"/>
      <protection locked="0"/>
    </xf>
    <xf numFmtId="170" fontId="41" fillId="3" borderId="36" xfId="21" applyNumberFormat="1" applyFont="1" applyFill="1" applyBorder="1" applyAlignment="1" applyProtection="1" quotePrefix="1">
      <alignment horizontal="center"/>
      <protection locked="0"/>
    </xf>
    <xf numFmtId="170" fontId="41" fillId="3" borderId="37" xfId="21" applyNumberFormat="1" applyFont="1" applyFill="1" applyBorder="1" applyAlignment="1" applyProtection="1" quotePrefix="1">
      <alignment horizontal="center"/>
      <protection locked="0"/>
    </xf>
    <xf numFmtId="4" fontId="41" fillId="3" borderId="38" xfId="21" applyNumberFormat="1" applyFont="1" applyFill="1" applyBorder="1" applyAlignment="1" applyProtection="1">
      <alignment horizontal="center"/>
      <protection locked="0"/>
    </xf>
    <xf numFmtId="170" fontId="7" fillId="6" borderId="36" xfId="21" applyNumberFormat="1" applyFont="1" applyFill="1" applyBorder="1" applyAlignment="1" applyProtection="1" quotePrefix="1">
      <alignment horizontal="center"/>
      <protection locked="0"/>
    </xf>
    <xf numFmtId="170" fontId="7" fillId="6" borderId="37" xfId="21" applyNumberFormat="1" applyFont="1" applyFill="1" applyBorder="1" applyAlignment="1" applyProtection="1" quotePrefix="1">
      <alignment horizontal="center"/>
      <protection locked="0"/>
    </xf>
    <xf numFmtId="4" fontId="7" fillId="6" borderId="38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5" fillId="0" borderId="1" xfId="21" applyFont="1" applyFill="1" applyBorder="1" applyProtection="1">
      <alignment/>
      <protection/>
    </xf>
    <xf numFmtId="0" fontId="5" fillId="0" borderId="2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5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5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73" fontId="1" fillId="0" borderId="0" xfId="21" applyNumberFormat="1" applyFont="1" applyFill="1" applyBorder="1" applyAlignment="1" applyProtection="1">
      <alignment horizontal="center" vertical="center"/>
      <protection/>
    </xf>
    <xf numFmtId="168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5" fillId="0" borderId="4" xfId="21" applyFont="1" applyFill="1" applyBorder="1" applyAlignment="1" applyProtection="1">
      <alignment horizontal="center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Border="1" applyAlignment="1" applyProtection="1">
      <alignment horizontal="center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68" fontId="1" fillId="0" borderId="21" xfId="21" applyNumberFormat="1" applyFont="1" applyFill="1" applyBorder="1" applyAlignment="1" applyProtection="1">
      <alignment horizontal="center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" fillId="0" borderId="14" xfId="21" applyFont="1" applyFill="1" applyBorder="1" applyAlignment="1" applyProtection="1">
      <alignment horizontal="center"/>
      <protection/>
    </xf>
    <xf numFmtId="0" fontId="43" fillId="2" borderId="14" xfId="21" applyFont="1" applyFill="1" applyBorder="1" applyProtection="1">
      <alignment/>
      <protection/>
    </xf>
    <xf numFmtId="170" fontId="5" fillId="0" borderId="14" xfId="21" applyNumberFormat="1" applyFont="1" applyFill="1" applyBorder="1" applyAlignment="1" applyProtection="1">
      <alignment horizontal="center"/>
      <protection/>
    </xf>
    <xf numFmtId="7" fontId="62" fillId="0" borderId="19" xfId="21" applyNumberFormat="1" applyFont="1" applyFill="1" applyBorder="1" applyAlignment="1" applyProtection="1">
      <alignment horizontal="right"/>
      <protection/>
    </xf>
    <xf numFmtId="7" fontId="2" fillId="0" borderId="12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3" fillId="0" borderId="0" xfId="21" applyNumberFormat="1" applyFont="1" applyFill="1" applyBorder="1" applyAlignment="1" applyProtection="1">
      <alignment horizontal="right"/>
      <protection/>
    </xf>
    <xf numFmtId="0" fontId="5" fillId="0" borderId="8" xfId="21" applyFont="1" applyFill="1" applyBorder="1" applyProtection="1">
      <alignment/>
      <protection/>
    </xf>
    <xf numFmtId="0" fontId="5" fillId="0" borderId="9" xfId="21" applyFont="1" applyFill="1" applyBorder="1" applyProtection="1">
      <alignment/>
      <protection/>
    </xf>
    <xf numFmtId="0" fontId="5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4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72" fontId="1" fillId="0" borderId="7" xfId="21" applyNumberFormat="1" applyFont="1" applyFill="1" applyBorder="1" applyAlignment="1" applyProtection="1" quotePrefix="1">
      <alignment horizontal="center"/>
      <protection/>
    </xf>
    <xf numFmtId="0" fontId="5" fillId="0" borderId="39" xfId="21" applyFont="1" applyFill="1" applyBorder="1" applyAlignment="1" applyProtection="1">
      <alignment horizontal="center"/>
      <protection/>
    </xf>
    <xf numFmtId="0" fontId="65" fillId="6" borderId="12" xfId="21" applyFont="1" applyFill="1" applyBorder="1" applyAlignment="1" applyProtection="1">
      <alignment horizontal="center" vertical="center" wrapText="1"/>
      <protection/>
    </xf>
    <xf numFmtId="0" fontId="33" fillId="7" borderId="6" xfId="21" applyFont="1" applyFill="1" applyBorder="1" applyAlignment="1" applyProtection="1">
      <alignment horizontal="centerContinuous" vertical="center" wrapText="1"/>
      <protection/>
    </xf>
    <xf numFmtId="0" fontId="33" fillId="7" borderId="7" xfId="21" applyFont="1" applyFill="1" applyBorder="1" applyAlignment="1" applyProtection="1">
      <alignment horizontal="centerContinuous" vertical="center"/>
      <protection/>
    </xf>
    <xf numFmtId="0" fontId="66" fillId="8" borderId="12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Border="1" applyAlignment="1" applyProtection="1">
      <alignment horizontal="center"/>
      <protection/>
    </xf>
    <xf numFmtId="0" fontId="5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68" fontId="1" fillId="0" borderId="41" xfId="21" applyNumberFormat="1" applyFont="1" applyFill="1" applyBorder="1" applyAlignment="1" applyProtection="1">
      <alignment horizontal="center"/>
      <protection/>
    </xf>
    <xf numFmtId="0" fontId="67" fillId="3" borderId="21" xfId="21" applyFont="1" applyFill="1" applyBorder="1" applyAlignment="1" applyProtection="1">
      <alignment horizontal="center"/>
      <protection/>
    </xf>
    <xf numFmtId="0" fontId="68" fillId="2" borderId="21" xfId="21" applyNumberFormat="1" applyFont="1" applyFill="1" applyBorder="1" applyAlignment="1" applyProtection="1">
      <alignment horizontal="center"/>
      <protection/>
    </xf>
    <xf numFmtId="0" fontId="69" fillId="6" borderId="21" xfId="21" applyFont="1" applyFill="1" applyBorder="1" applyAlignment="1" applyProtection="1">
      <alignment horizontal="center"/>
      <protection/>
    </xf>
    <xf numFmtId="0" fontId="55" fillId="7" borderId="32" xfId="21" applyFont="1" applyFill="1" applyBorder="1" applyAlignment="1" applyProtection="1">
      <alignment horizontal="center"/>
      <protection/>
    </xf>
    <xf numFmtId="0" fontId="55" fillId="7" borderId="33" xfId="21" applyFont="1" applyFill="1" applyBorder="1" applyAlignment="1" applyProtection="1">
      <alignment horizontal="left"/>
      <protection/>
    </xf>
    <xf numFmtId="0" fontId="70" fillId="8" borderId="21" xfId="21" applyFont="1" applyFill="1" applyBorder="1" applyAlignment="1" applyProtection="1">
      <alignment horizontal="left"/>
      <protection/>
    </xf>
    <xf numFmtId="172" fontId="48" fillId="3" borderId="27" xfId="21" applyNumberFormat="1" applyFont="1" applyFill="1" applyBorder="1" applyAlignment="1" applyProtection="1">
      <alignment horizontal="center"/>
      <protection/>
    </xf>
    <xf numFmtId="0" fontId="71" fillId="2" borderId="27" xfId="21" applyNumberFormat="1" applyFont="1" applyFill="1" applyBorder="1" applyAlignment="1" applyProtection="1">
      <alignment horizontal="center"/>
      <protection/>
    </xf>
    <xf numFmtId="2" fontId="72" fillId="6" borderId="14" xfId="21" applyNumberFormat="1" applyFont="1" applyFill="1" applyBorder="1" applyAlignment="1" applyProtection="1">
      <alignment horizontal="center"/>
      <protection/>
    </xf>
    <xf numFmtId="2" fontId="41" fillId="7" borderId="35" xfId="21" applyNumberFormat="1" applyFont="1" applyFill="1" applyBorder="1" applyAlignment="1" applyProtection="1">
      <alignment horizontal="center"/>
      <protection/>
    </xf>
    <xf numFmtId="2" fontId="41" fillId="7" borderId="16" xfId="21" applyNumberFormat="1" applyFont="1" applyFill="1" applyBorder="1" applyAlignment="1" applyProtection="1">
      <alignment horizontal="center"/>
      <protection/>
    </xf>
    <xf numFmtId="2" fontId="73" fillId="8" borderId="27" xfId="21" applyNumberFormat="1" applyFont="1" applyFill="1" applyBorder="1" applyAlignment="1" applyProtection="1">
      <alignment horizontal="center"/>
      <protection/>
    </xf>
    <xf numFmtId="170" fontId="74" fillId="0" borderId="27" xfId="21" applyNumberFormat="1" applyFont="1" applyFill="1" applyBorder="1" applyAlignment="1" applyProtection="1">
      <alignment horizontal="center"/>
      <protection/>
    </xf>
    <xf numFmtId="2" fontId="75" fillId="0" borderId="27" xfId="21" applyNumberFormat="1" applyFont="1" applyFill="1" applyBorder="1" applyAlignment="1" applyProtection="1">
      <alignment horizontal="right"/>
      <protection/>
    </xf>
    <xf numFmtId="170" fontId="48" fillId="3" borderId="29" xfId="21" applyNumberFormat="1" applyFont="1" applyFill="1" applyBorder="1" applyAlignment="1" applyProtection="1">
      <alignment horizontal="center"/>
      <protection/>
    </xf>
    <xf numFmtId="0" fontId="71" fillId="2" borderId="29" xfId="21" applyNumberFormat="1" applyFont="1" applyFill="1" applyBorder="1" applyAlignment="1" applyProtection="1">
      <alignment horizontal="center"/>
      <protection/>
    </xf>
    <xf numFmtId="2" fontId="76" fillId="6" borderId="29" xfId="21" applyNumberFormat="1" applyFont="1" applyFill="1" applyBorder="1" applyAlignment="1" applyProtection="1">
      <alignment horizontal="center"/>
      <protection/>
    </xf>
    <xf numFmtId="170" fontId="77" fillId="7" borderId="42" xfId="21" applyNumberFormat="1" applyFont="1" applyFill="1" applyBorder="1" applyAlignment="1" applyProtection="1" quotePrefix="1">
      <alignment horizontal="center"/>
      <protection/>
    </xf>
    <xf numFmtId="170" fontId="77" fillId="7" borderId="43" xfId="21" applyNumberFormat="1" applyFont="1" applyFill="1" applyBorder="1" applyAlignment="1" applyProtection="1" quotePrefix="1">
      <alignment horizontal="center"/>
      <protection/>
    </xf>
    <xf numFmtId="170" fontId="78" fillId="8" borderId="29" xfId="21" applyNumberFormat="1" applyFont="1" applyFill="1" applyBorder="1" applyAlignment="1" applyProtection="1" quotePrefix="1">
      <alignment horizontal="center"/>
      <protection/>
    </xf>
    <xf numFmtId="170" fontId="62" fillId="0" borderId="29" xfId="21" applyNumberFormat="1" applyFont="1" applyFill="1" applyBorder="1" applyAlignment="1" applyProtection="1">
      <alignment horizontal="center"/>
      <protection/>
    </xf>
    <xf numFmtId="7" fontId="79" fillId="0" borderId="44" xfId="21" applyNumberFormat="1" applyFont="1" applyFill="1" applyBorder="1" applyAlignment="1" applyProtection="1">
      <alignment horizontal="right"/>
      <protection/>
    </xf>
    <xf numFmtId="4" fontId="80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5" fillId="0" borderId="45" xfId="21" applyNumberFormat="1" applyFont="1" applyBorder="1" applyProtection="1">
      <alignment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3" fillId="0" borderId="0" xfId="21" applyNumberFormat="1" applyFont="1" applyBorder="1" applyAlignment="1">
      <alignment horizontal="left"/>
      <protection/>
    </xf>
    <xf numFmtId="0" fontId="36" fillId="9" borderId="12" xfId="0" applyFont="1" applyFill="1" applyBorder="1" applyAlignment="1" applyProtection="1">
      <alignment horizontal="center" vertical="center"/>
      <protection/>
    </xf>
    <xf numFmtId="0" fontId="86" fillId="9" borderId="21" xfId="0" applyFont="1" applyFill="1" applyBorder="1" applyAlignment="1">
      <alignment/>
    </xf>
    <xf numFmtId="0" fontId="86" fillId="9" borderId="27" xfId="0" applyFont="1" applyFill="1" applyBorder="1" applyAlignment="1">
      <alignment/>
    </xf>
    <xf numFmtId="4" fontId="86" fillId="9" borderId="27" xfId="0" applyNumberFormat="1" applyFont="1" applyFill="1" applyBorder="1" applyAlignment="1" applyProtection="1">
      <alignment horizontal="center"/>
      <protection/>
    </xf>
    <xf numFmtId="0" fontId="86" fillId="9" borderId="29" xfId="0" applyFont="1" applyFill="1" applyBorder="1" applyAlignment="1">
      <alignment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170" fontId="5" fillId="0" borderId="27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5" fillId="10" borderId="14" xfId="21" applyFont="1" applyFill="1" applyBorder="1" applyAlignment="1" applyProtection="1">
      <alignment horizontal="center"/>
      <protection locked="0"/>
    </xf>
    <xf numFmtId="0" fontId="5" fillId="0" borderId="46" xfId="21" applyFont="1" applyBorder="1" applyAlignment="1" applyProtection="1">
      <alignment horizontal="center" vertical="center"/>
      <protection locked="0"/>
    </xf>
    <xf numFmtId="2" fontId="5" fillId="0" borderId="47" xfId="21" applyNumberFormat="1" applyFont="1" applyBorder="1" applyAlignment="1" applyProtection="1" quotePrefix="1">
      <alignment horizontal="center" vertical="center"/>
      <protection locked="0"/>
    </xf>
    <xf numFmtId="4" fontId="27" fillId="0" borderId="22" xfId="0" applyNumberFormat="1" applyFont="1" applyFill="1" applyBorder="1" applyAlignment="1">
      <alignment horizontal="right"/>
    </xf>
    <xf numFmtId="2" fontId="42" fillId="11" borderId="27" xfId="0" applyNumberFormat="1" applyFont="1" applyFill="1" applyBorder="1" applyAlignment="1">
      <alignment horizontal="center"/>
    </xf>
    <xf numFmtId="170" fontId="7" fillId="12" borderId="26" xfId="0" applyNumberFormat="1" applyFont="1" applyFill="1" applyBorder="1" applyAlignment="1" applyProtection="1" quotePrefix="1">
      <alignment horizontal="center"/>
      <protection/>
    </xf>
    <xf numFmtId="170" fontId="7" fillId="12" borderId="48" xfId="0" applyNumberFormat="1" applyFont="1" applyFill="1" applyBorder="1" applyAlignment="1" applyProtection="1" quotePrefix="1">
      <alignment horizontal="center"/>
      <protection/>
    </xf>
    <xf numFmtId="170" fontId="7" fillId="2" borderId="27" xfId="0" applyNumberFormat="1" applyFont="1" applyFill="1" applyBorder="1" applyAlignment="1" applyProtection="1" quotePrefix="1">
      <alignment horizontal="center"/>
      <protection/>
    </xf>
    <xf numFmtId="0" fontId="35" fillId="12" borderId="6" xfId="21" applyFont="1" applyFill="1" applyBorder="1" applyAlignment="1" applyProtection="1">
      <alignment horizontal="centerContinuous" vertical="center" wrapText="1"/>
      <protection/>
    </xf>
    <xf numFmtId="0" fontId="35" fillId="12" borderId="7" xfId="21" applyFont="1" applyFill="1" applyBorder="1" applyAlignment="1" applyProtection="1">
      <alignment horizontal="centerContinuous" vertical="center"/>
      <protection/>
    </xf>
    <xf numFmtId="0" fontId="56" fillId="12" borderId="32" xfId="21" applyFont="1" applyFill="1" applyBorder="1" applyAlignment="1" applyProtection="1">
      <alignment horizontal="center"/>
      <protection/>
    </xf>
    <xf numFmtId="0" fontId="56" fillId="12" borderId="33" xfId="21" applyFont="1" applyFill="1" applyBorder="1" applyAlignment="1" applyProtection="1">
      <alignment horizontal="left"/>
      <protection/>
    </xf>
    <xf numFmtId="0" fontId="7" fillId="12" borderId="35" xfId="21" applyFont="1" applyFill="1" applyBorder="1" applyAlignment="1" applyProtection="1">
      <alignment horizontal="center"/>
      <protection/>
    </xf>
    <xf numFmtId="0" fontId="7" fillId="12" borderId="16" xfId="21" applyFont="1" applyFill="1" applyBorder="1" applyProtection="1">
      <alignment/>
      <protection/>
    </xf>
    <xf numFmtId="170" fontId="7" fillId="12" borderId="36" xfId="21" applyNumberFormat="1" applyFont="1" applyFill="1" applyBorder="1" applyAlignment="1" applyProtection="1" quotePrefix="1">
      <alignment horizontal="center"/>
      <protection/>
    </xf>
    <xf numFmtId="170" fontId="7" fillId="12" borderId="38" xfId="21" applyNumberFormat="1" applyFont="1" applyFill="1" applyBorder="1" applyAlignment="1" applyProtection="1" quotePrefix="1">
      <alignment horizontal="center"/>
      <protection/>
    </xf>
    <xf numFmtId="0" fontId="33" fillId="13" borderId="12" xfId="21" applyFont="1" applyFill="1" applyBorder="1" applyAlignment="1" applyProtection="1">
      <alignment horizontal="centerContinuous" vertical="center" wrapText="1"/>
      <protection/>
    </xf>
    <xf numFmtId="0" fontId="33" fillId="13" borderId="7" xfId="21" applyFont="1" applyFill="1" applyBorder="1" applyAlignment="1" applyProtection="1">
      <alignment horizontal="centerContinuous" vertical="center"/>
      <protection/>
    </xf>
    <xf numFmtId="0" fontId="55" fillId="13" borderId="32" xfId="21" applyFont="1" applyFill="1" applyBorder="1" applyAlignment="1" applyProtection="1">
      <alignment horizontal="center"/>
      <protection/>
    </xf>
    <xf numFmtId="0" fontId="55" fillId="13" borderId="33" xfId="21" applyFont="1" applyFill="1" applyBorder="1" applyAlignment="1" applyProtection="1">
      <alignment horizontal="left"/>
      <protection/>
    </xf>
    <xf numFmtId="0" fontId="41" fillId="13" borderId="35" xfId="21" applyFont="1" applyFill="1" applyBorder="1" applyAlignment="1" applyProtection="1">
      <alignment horizontal="center"/>
      <protection/>
    </xf>
    <xf numFmtId="0" fontId="41" fillId="13" borderId="16" xfId="21" applyFont="1" applyFill="1" applyBorder="1" applyProtection="1">
      <alignment/>
      <protection/>
    </xf>
    <xf numFmtId="170" fontId="41" fillId="13" borderId="26" xfId="0" applyNumberFormat="1" applyFont="1" applyFill="1" applyBorder="1" applyAlignment="1" applyProtection="1" quotePrefix="1">
      <alignment horizontal="center"/>
      <protection/>
    </xf>
    <xf numFmtId="170" fontId="41" fillId="13" borderId="48" xfId="0" applyNumberFormat="1" applyFont="1" applyFill="1" applyBorder="1" applyAlignment="1" applyProtection="1" quotePrefix="1">
      <alignment horizontal="center"/>
      <protection/>
    </xf>
    <xf numFmtId="170" fontId="41" fillId="13" borderId="36" xfId="21" applyNumberFormat="1" applyFont="1" applyFill="1" applyBorder="1" applyAlignment="1" applyProtection="1" quotePrefix="1">
      <alignment horizontal="center"/>
      <protection/>
    </xf>
    <xf numFmtId="170" fontId="41" fillId="13" borderId="38" xfId="21" applyNumberFormat="1" applyFont="1" applyFill="1" applyBorder="1" applyAlignment="1" applyProtection="1" quotePrefix="1">
      <alignment horizontal="center"/>
      <protection/>
    </xf>
    <xf numFmtId="0" fontId="50" fillId="14" borderId="12" xfId="21" applyFont="1" applyFill="1" applyBorder="1" applyAlignment="1" applyProtection="1">
      <alignment horizontal="center" vertical="center" wrapText="1"/>
      <protection/>
    </xf>
    <xf numFmtId="0" fontId="54" fillId="14" borderId="21" xfId="21" applyFont="1" applyFill="1" applyBorder="1" applyAlignment="1" applyProtection="1">
      <alignment horizontal="center"/>
      <protection/>
    </xf>
    <xf numFmtId="0" fontId="60" fillId="14" borderId="14" xfId="21" applyFont="1" applyFill="1" applyBorder="1" applyProtection="1">
      <alignment/>
      <protection/>
    </xf>
    <xf numFmtId="2" fontId="42" fillId="14" borderId="27" xfId="0" applyNumberFormat="1" applyFont="1" applyFill="1" applyBorder="1" applyAlignment="1">
      <alignment horizontal="center"/>
    </xf>
    <xf numFmtId="2" fontId="60" fillId="14" borderId="18" xfId="21" applyNumberFormat="1" applyFont="1" applyFill="1" applyBorder="1" applyAlignment="1" applyProtection="1">
      <alignment horizontal="center"/>
      <protection/>
    </xf>
    <xf numFmtId="0" fontId="31" fillId="11" borderId="12" xfId="21" applyFont="1" applyFill="1" applyBorder="1" applyAlignment="1" applyProtection="1">
      <alignment horizontal="center" vertical="center" wrapText="1"/>
      <protection/>
    </xf>
    <xf numFmtId="0" fontId="53" fillId="11" borderId="21" xfId="21" applyFont="1" applyFill="1" applyBorder="1" applyAlignment="1" applyProtection="1">
      <alignment horizontal="center"/>
      <protection/>
    </xf>
    <xf numFmtId="0" fontId="39" fillId="11" borderId="14" xfId="21" applyFont="1" applyFill="1" applyBorder="1" applyProtection="1">
      <alignment/>
      <protection/>
    </xf>
    <xf numFmtId="2" fontId="39" fillId="11" borderId="18" xfId="21" applyNumberFormat="1" applyFont="1" applyFill="1" applyBorder="1" applyAlignment="1" applyProtection="1">
      <alignment horizontal="center"/>
      <protection/>
    </xf>
    <xf numFmtId="0" fontId="51" fillId="15" borderId="12" xfId="21" applyFont="1" applyFill="1" applyBorder="1" applyAlignment="1" applyProtection="1">
      <alignment horizontal="center" vertical="center" wrapText="1"/>
      <protection/>
    </xf>
    <xf numFmtId="0" fontId="58" fillId="15" borderId="21" xfId="21" applyFont="1" applyFill="1" applyBorder="1" applyAlignment="1" applyProtection="1">
      <alignment horizontal="left"/>
      <protection/>
    </xf>
    <xf numFmtId="0" fontId="61" fillId="15" borderId="14" xfId="21" applyFont="1" applyFill="1" applyBorder="1" applyProtection="1">
      <alignment/>
      <protection/>
    </xf>
    <xf numFmtId="170" fontId="87" fillId="15" borderId="27" xfId="0" applyNumberFormat="1" applyFont="1" applyFill="1" applyBorder="1" applyAlignment="1" applyProtection="1" quotePrefix="1">
      <alignment horizontal="center"/>
      <protection/>
    </xf>
    <xf numFmtId="170" fontId="61" fillId="15" borderId="18" xfId="21" applyNumberFormat="1" applyFont="1" applyFill="1" applyBorder="1" applyAlignment="1" applyProtection="1" quotePrefix="1">
      <alignment horizontal="center"/>
      <protection/>
    </xf>
    <xf numFmtId="7" fontId="2" fillId="0" borderId="49" xfId="21" applyNumberFormat="1" applyFont="1" applyBorder="1" applyAlignment="1" applyProtection="1">
      <alignment horizontal="right"/>
      <protection/>
    </xf>
    <xf numFmtId="0" fontId="5" fillId="0" borderId="49" xfId="21" applyFont="1" applyFill="1" applyBorder="1" applyProtection="1">
      <alignment/>
      <protection/>
    </xf>
    <xf numFmtId="7" fontId="2" fillId="0" borderId="49" xfId="21" applyNumberFormat="1" applyFont="1" applyFill="1" applyBorder="1" applyAlignment="1" applyProtection="1">
      <alignment horizontal="right"/>
      <protection/>
    </xf>
    <xf numFmtId="0" fontId="1" fillId="0" borderId="25" xfId="21" applyFont="1" applyFill="1" applyBorder="1" applyProtection="1">
      <alignment/>
      <protection/>
    </xf>
    <xf numFmtId="0" fontId="1" fillId="0" borderId="50" xfId="21" applyFont="1" applyFill="1" applyBorder="1" applyAlignment="1" applyProtection="1">
      <alignment horizontal="center"/>
      <protection/>
    </xf>
    <xf numFmtId="168" fontId="1" fillId="0" borderId="22" xfId="21" applyNumberFormat="1" applyFont="1" applyFill="1" applyBorder="1" applyAlignment="1" applyProtection="1">
      <alignment horizontal="center"/>
      <protection/>
    </xf>
    <xf numFmtId="0" fontId="67" fillId="3" borderId="27" xfId="21" applyFont="1" applyFill="1" applyBorder="1" applyAlignment="1" applyProtection="1">
      <alignment horizontal="center"/>
      <protection/>
    </xf>
    <xf numFmtId="0" fontId="1" fillId="0" borderId="27" xfId="21" applyFont="1" applyFill="1" applyBorder="1" applyAlignment="1" applyProtection="1">
      <alignment horizontal="center"/>
      <protection/>
    </xf>
    <xf numFmtId="0" fontId="1" fillId="0" borderId="22" xfId="21" applyFont="1" applyFill="1" applyBorder="1" applyAlignment="1" applyProtection="1">
      <alignment horizontal="center"/>
      <protection/>
    </xf>
    <xf numFmtId="0" fontId="68" fillId="2" borderId="27" xfId="21" applyNumberFormat="1" applyFont="1" applyFill="1" applyBorder="1" applyAlignment="1" applyProtection="1">
      <alignment horizontal="center"/>
      <protection/>
    </xf>
    <xf numFmtId="0" fontId="69" fillId="6" borderId="46" xfId="21" applyFont="1" applyFill="1" applyBorder="1" applyAlignment="1" applyProtection="1">
      <alignment horizontal="center"/>
      <protection/>
    </xf>
    <xf numFmtId="0" fontId="55" fillId="7" borderId="26" xfId="21" applyFont="1" applyFill="1" applyBorder="1" applyAlignment="1" applyProtection="1">
      <alignment horizontal="center"/>
      <protection/>
    </xf>
    <xf numFmtId="0" fontId="55" fillId="7" borderId="48" xfId="21" applyFont="1" applyFill="1" applyBorder="1" applyAlignment="1" applyProtection="1">
      <alignment horizontal="left"/>
      <protection/>
    </xf>
    <xf numFmtId="0" fontId="70" fillId="8" borderId="27" xfId="21" applyFont="1" applyFill="1" applyBorder="1" applyAlignment="1" applyProtection="1">
      <alignment horizontal="left"/>
      <protection/>
    </xf>
    <xf numFmtId="7" fontId="19" fillId="0" borderId="27" xfId="21" applyNumberFormat="1" applyFont="1" applyBorder="1" applyAlignment="1" applyProtection="1">
      <alignment horizontal="center"/>
      <protection/>
    </xf>
    <xf numFmtId="0" fontId="5" fillId="0" borderId="27" xfId="21" applyFont="1" applyBorder="1" applyAlignment="1" applyProtection="1">
      <alignment horizontal="center" vertical="center"/>
      <protection locked="0"/>
    </xf>
    <xf numFmtId="0" fontId="5" fillId="10" borderId="14" xfId="21" applyFont="1" applyFill="1" applyBorder="1" applyAlignment="1">
      <alignment horizontal="center"/>
      <protection/>
    </xf>
    <xf numFmtId="0" fontId="5" fillId="10" borderId="14" xfId="21" applyFont="1" applyFill="1" applyBorder="1" applyAlignment="1" applyProtection="1">
      <alignment horizontal="center" vertical="center"/>
      <protection locked="0"/>
    </xf>
    <xf numFmtId="0" fontId="5" fillId="0" borderId="51" xfId="21" applyFont="1" applyFill="1" applyBorder="1" applyAlignment="1" applyProtection="1">
      <alignment horizontal="center"/>
      <protection/>
    </xf>
    <xf numFmtId="0" fontId="1" fillId="0" borderId="14" xfId="21" applyFont="1" applyFill="1" applyBorder="1" applyAlignment="1" applyProtection="1">
      <alignment horizontal="center"/>
      <protection/>
    </xf>
    <xf numFmtId="171" fontId="5" fillId="10" borderId="14" xfId="21" applyNumberFormat="1" applyFont="1" applyFill="1" applyBorder="1" applyAlignment="1">
      <alignment horizontal="center"/>
      <protection/>
    </xf>
    <xf numFmtId="171" fontId="5" fillId="0" borderId="22" xfId="21" applyNumberFormat="1" applyFont="1" applyBorder="1" applyAlignment="1" applyProtection="1">
      <alignment horizontal="center" vertical="center"/>
      <protection locked="0"/>
    </xf>
    <xf numFmtId="0" fontId="1" fillId="0" borderId="0" xfId="23">
      <alignment/>
      <protection/>
    </xf>
    <xf numFmtId="0" fontId="82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9" fillId="0" borderId="0" xfId="23" applyFont="1">
      <alignment/>
      <protection/>
    </xf>
    <xf numFmtId="0" fontId="4" fillId="0" borderId="0" xfId="23" applyFont="1" applyBorder="1" applyAlignment="1" applyProtection="1">
      <alignment horizontal="centerContinuous" vertical="center"/>
      <protection/>
    </xf>
    <xf numFmtId="0" fontId="89" fillId="0" borderId="0" xfId="23" applyFont="1" applyAlignment="1">
      <alignment horizontal="centerContinuous" vertical="center"/>
      <protection/>
    </xf>
    <xf numFmtId="0" fontId="90" fillId="0" borderId="0" xfId="23" applyFont="1" applyBorder="1" applyAlignment="1">
      <alignment horizontal="centerContinuous"/>
      <protection/>
    </xf>
    <xf numFmtId="0" fontId="91" fillId="0" borderId="0" xfId="23" applyFont="1" applyBorder="1" applyAlignment="1" applyProtection="1">
      <alignment horizontal="left"/>
      <protection/>
    </xf>
    <xf numFmtId="0" fontId="92" fillId="0" borderId="0" xfId="23" applyFont="1" applyBorder="1" applyAlignment="1">
      <alignment horizontal="centerContinuous"/>
      <protection/>
    </xf>
    <xf numFmtId="0" fontId="93" fillId="0" borderId="0" xfId="23" applyFont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4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4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4" fillId="0" borderId="0" xfId="23" applyFont="1" applyBorder="1" applyAlignment="1" applyProtection="1">
      <alignment horizontal="center"/>
      <protection/>
    </xf>
    <xf numFmtId="0" fontId="94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28" xfId="23" applyBorder="1" applyAlignment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 wrapText="1"/>
      <protection/>
    </xf>
    <xf numFmtId="170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5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3" xfId="23" applyBorder="1" applyAlignment="1">
      <alignment horizontal="centerContinuous" vertical="center"/>
      <protection/>
    </xf>
    <xf numFmtId="0" fontId="28" fillId="0" borderId="54" xfId="23" applyFont="1" applyBorder="1" applyAlignment="1" applyProtection="1">
      <alignment horizontal="centerContinuous" vertical="center"/>
      <protection/>
    </xf>
    <xf numFmtId="0" fontId="28" fillId="0" borderId="54" xfId="23" applyFont="1" applyBorder="1" applyAlignment="1" applyProtection="1">
      <alignment horizontal="centerContinuous" vertical="center" wrapText="1"/>
      <protection/>
    </xf>
    <xf numFmtId="170" fontId="28" fillId="0" borderId="46" xfId="23" applyNumberFormat="1" applyFont="1" applyBorder="1" applyAlignment="1" applyProtection="1">
      <alignment horizontal="centerContinuous" vertical="center" wrapText="1"/>
      <protection/>
    </xf>
    <xf numFmtId="17" fontId="28" fillId="0" borderId="46" xfId="23" applyNumberFormat="1" applyFont="1" applyBorder="1" applyAlignment="1">
      <alignment horizontal="center" vertical="center"/>
      <protection/>
    </xf>
    <xf numFmtId="17" fontId="28" fillId="0" borderId="55" xfId="23" applyNumberFormat="1" applyFont="1" applyBorder="1" applyAlignment="1">
      <alignment horizontal="center" vertical="center"/>
      <protection/>
    </xf>
    <xf numFmtId="0" fontId="1" fillId="0" borderId="53" xfId="23" applyBorder="1">
      <alignment/>
      <protection/>
    </xf>
    <xf numFmtId="0" fontId="94" fillId="0" borderId="54" xfId="23" applyFont="1" applyBorder="1">
      <alignment/>
      <protection/>
    </xf>
    <xf numFmtId="0" fontId="94" fillId="0" borderId="46" xfId="23" applyFont="1" applyBorder="1">
      <alignment/>
      <protection/>
    </xf>
    <xf numFmtId="0" fontId="5" fillId="0" borderId="46" xfId="23" applyFont="1" applyBorder="1" applyAlignment="1" applyProtection="1">
      <alignment horizontal="left"/>
      <protection/>
    </xf>
    <xf numFmtId="0" fontId="5" fillId="16" borderId="46" xfId="23" applyFont="1" applyFill="1" applyBorder="1" applyAlignment="1" applyProtection="1">
      <alignment horizontal="left"/>
      <protection/>
    </xf>
    <xf numFmtId="0" fontId="1" fillId="0" borderId="46" xfId="23" applyFill="1" applyBorder="1">
      <alignment/>
      <protection/>
    </xf>
    <xf numFmtId="0" fontId="5" fillId="1" borderId="14" xfId="23" applyFont="1" applyFill="1" applyBorder="1" applyAlignment="1">
      <alignment horizontal="center"/>
      <protection/>
    </xf>
    <xf numFmtId="1" fontId="5" fillId="16" borderId="17" xfId="23" applyNumberFormat="1" applyFont="1" applyFill="1" applyBorder="1" applyAlignment="1" applyProtection="1">
      <alignment horizontal="center"/>
      <protection/>
    </xf>
    <xf numFmtId="1" fontId="1" fillId="0" borderId="46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5" fillId="17" borderId="27" xfId="23" applyFont="1" applyFill="1" applyBorder="1" applyAlignment="1">
      <alignment horizontal="center"/>
      <protection/>
    </xf>
    <xf numFmtId="1" fontId="64" fillId="0" borderId="46" xfId="23" applyNumberFormat="1" applyFont="1" applyFill="1" applyBorder="1" applyAlignment="1">
      <alignment horizontal="center"/>
      <protection/>
    </xf>
    <xf numFmtId="0" fontId="5" fillId="0" borderId="29" xfId="23" applyFont="1" applyFill="1" applyBorder="1" applyAlignment="1">
      <alignment horizontal="center"/>
      <protection/>
    </xf>
    <xf numFmtId="0" fontId="5" fillId="0" borderId="18" xfId="23" applyFont="1" applyFill="1" applyBorder="1" applyAlignment="1" applyProtection="1">
      <alignment horizontal="center"/>
      <protection/>
    </xf>
    <xf numFmtId="2" fontId="5" fillId="0" borderId="18" xfId="23" applyNumberFormat="1" applyFont="1" applyFill="1" applyBorder="1" applyAlignment="1" applyProtection="1">
      <alignment horizontal="center"/>
      <protection/>
    </xf>
    <xf numFmtId="1" fontId="5" fillId="0" borderId="18" xfId="23" applyNumberFormat="1" applyFont="1" applyFill="1" applyBorder="1" applyAlignment="1" applyProtection="1">
      <alignment horizontal="center"/>
      <protection/>
    </xf>
    <xf numFmtId="1" fontId="5" fillId="16" borderId="18" xfId="23" applyNumberFormat="1" applyFont="1" applyFill="1" applyBorder="1" applyAlignment="1" applyProtection="1">
      <alignment horizontal="center"/>
      <protection/>
    </xf>
    <xf numFmtId="0" fontId="5" fillId="0" borderId="0" xfId="23" applyFont="1" applyFill="1" applyBorder="1" applyAlignment="1">
      <alignment horizontal="center"/>
      <protection/>
    </xf>
    <xf numFmtId="0" fontId="5" fillId="0" borderId="0" xfId="23" applyFont="1" applyFill="1" applyBorder="1" applyAlignment="1" applyProtection="1">
      <alignment horizontal="center"/>
      <protection/>
    </xf>
    <xf numFmtId="0" fontId="3" fillId="0" borderId="0" xfId="23" applyFont="1" applyFill="1" applyBorder="1" applyAlignment="1" applyProtection="1">
      <alignment horizontal="right"/>
      <protection/>
    </xf>
    <xf numFmtId="170" fontId="3" fillId="0" borderId="18" xfId="23" applyNumberFormat="1" applyFont="1" applyBorder="1" applyAlignment="1" applyProtection="1">
      <alignment horizontal="center"/>
      <protection/>
    </xf>
    <xf numFmtId="1" fontId="95" fillId="0" borderId="6" xfId="23" applyNumberFormat="1" applyFont="1" applyFill="1" applyBorder="1" applyAlignment="1" applyProtection="1">
      <alignment horizontal="center"/>
      <protection/>
    </xf>
    <xf numFmtId="1" fontId="64" fillId="0" borderId="7" xfId="23" applyNumberFormat="1" applyFont="1" applyFill="1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 applyProtection="1">
      <alignment horizontal="center"/>
      <protection/>
    </xf>
    <xf numFmtId="0" fontId="5" fillId="0" borderId="0" xfId="23" applyFont="1" applyBorder="1" applyAlignment="1" applyProtection="1">
      <alignment horizontal="right"/>
      <protection/>
    </xf>
    <xf numFmtId="1" fontId="3" fillId="0" borderId="0" xfId="23" applyNumberFormat="1" applyFont="1" applyBorder="1" applyAlignment="1" applyProtection="1">
      <alignment horizontal="right"/>
      <protection/>
    </xf>
    <xf numFmtId="1" fontId="5" fillId="0" borderId="29" xfId="23" applyNumberFormat="1" applyFont="1" applyBorder="1" applyAlignment="1" applyProtection="1">
      <alignment horizontal="center"/>
      <protection/>
    </xf>
    <xf numFmtId="1" fontId="64" fillId="0" borderId="29" xfId="23" applyNumberFormat="1" applyFont="1" applyFill="1" applyBorder="1" applyAlignment="1">
      <alignment horizontal="center"/>
      <protection/>
    </xf>
    <xf numFmtId="1" fontId="94" fillId="0" borderId="5" xfId="23" applyNumberFormat="1" applyFont="1" applyBorder="1" applyAlignment="1" applyProtection="1">
      <alignment horizontal="center"/>
      <protection/>
    </xf>
    <xf numFmtId="1" fontId="1" fillId="0" borderId="0" xfId="23" applyNumberFormat="1">
      <alignment/>
      <protection/>
    </xf>
    <xf numFmtId="17" fontId="96" fillId="0" borderId="0" xfId="23" applyNumberFormat="1" applyFont="1" applyBorder="1" applyAlignment="1">
      <alignment horizontal="right"/>
      <protection/>
    </xf>
    <xf numFmtId="2" fontId="2" fillId="16" borderId="12" xfId="23" applyNumberFormat="1" applyFont="1" applyFill="1" applyBorder="1" applyAlignment="1" quotePrefix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7" fillId="16" borderId="56" xfId="23" applyFont="1" applyFill="1" applyBorder="1" applyAlignment="1" applyProtection="1">
      <alignment horizontal="right"/>
      <protection/>
    </xf>
    <xf numFmtId="0" fontId="5" fillId="0" borderId="0" xfId="23" applyFont="1" applyFill="1" applyBorder="1">
      <alignment/>
      <protection/>
    </xf>
    <xf numFmtId="0" fontId="3" fillId="0" borderId="0" xfId="23" applyFont="1" applyBorder="1" applyAlignment="1" applyProtection="1">
      <alignment horizontal="center"/>
      <protection/>
    </xf>
    <xf numFmtId="170" fontId="3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4" xfId="24" applyBorder="1">
      <alignment/>
      <protection/>
    </xf>
    <xf numFmtId="0" fontId="5" fillId="0" borderId="0" xfId="24" applyFont="1" applyFill="1" applyBorder="1">
      <alignment/>
      <protection/>
    </xf>
    <xf numFmtId="0" fontId="5" fillId="0" borderId="0" xfId="22" applyBorder="1" applyAlignment="1">
      <alignment horizontal="center"/>
      <protection/>
    </xf>
    <xf numFmtId="0" fontId="0" fillId="0" borderId="0" xfId="24">
      <alignment/>
      <protection/>
    </xf>
    <xf numFmtId="0" fontId="94" fillId="0" borderId="6" xfId="24" applyFont="1" applyBorder="1">
      <alignment/>
      <protection/>
    </xf>
    <xf numFmtId="0" fontId="0" fillId="0" borderId="13" xfId="24" applyBorder="1">
      <alignment/>
      <protection/>
    </xf>
    <xf numFmtId="2" fontId="98" fillId="0" borderId="13" xfId="24" applyNumberFormat="1" applyFont="1" applyBorder="1" applyAlignment="1">
      <alignment horizontal="center"/>
      <protection/>
    </xf>
    <xf numFmtId="0" fontId="99" fillId="0" borderId="13" xfId="24" applyFont="1" applyBorder="1" applyAlignment="1">
      <alignment horizontal="center"/>
      <protection/>
    </xf>
    <xf numFmtId="0" fontId="99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100" fillId="0" borderId="8" xfId="23" applyFont="1" applyBorder="1">
      <alignment/>
      <protection/>
    </xf>
    <xf numFmtId="0" fontId="3" fillId="0" borderId="9" xfId="23" applyFont="1" applyBorder="1" applyAlignment="1" applyProtection="1">
      <alignment horizontal="left"/>
      <protection/>
    </xf>
    <xf numFmtId="0" fontId="5" fillId="0" borderId="9" xfId="23" applyFont="1" applyBorder="1">
      <alignment/>
      <protection/>
    </xf>
    <xf numFmtId="0" fontId="1" fillId="0" borderId="9" xfId="23" applyBorder="1">
      <alignment/>
      <protection/>
    </xf>
    <xf numFmtId="1" fontId="97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100" fillId="0" borderId="0" xfId="23" applyFont="1" applyBorder="1" applyAlignment="1" applyProtection="1">
      <alignment horizontal="left"/>
      <protection/>
    </xf>
    <xf numFmtId="1" fontId="97" fillId="0" borderId="0" xfId="23" applyNumberFormat="1" applyFont="1" applyBorder="1" applyAlignment="1" applyProtection="1">
      <alignment horizontal="center"/>
      <protection/>
    </xf>
    <xf numFmtId="0" fontId="100" fillId="0" borderId="0" xfId="23" applyFont="1" applyBorder="1">
      <alignment/>
      <protection/>
    </xf>
    <xf numFmtId="0" fontId="97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84" fillId="0" borderId="0" xfId="23" applyFont="1" applyBorder="1">
      <alignment/>
      <protection/>
    </xf>
    <xf numFmtId="170" fontId="97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4" fillId="0" borderId="0" xfId="23" applyFont="1" applyBorder="1" applyAlignment="1" applyProtection="1">
      <alignment horizontal="left"/>
      <protection/>
    </xf>
    <xf numFmtId="1" fontId="94" fillId="0" borderId="0" xfId="23" applyNumberFormat="1" applyFont="1" applyBorder="1" applyAlignment="1" applyProtection="1">
      <alignment horizontal="center"/>
      <protection/>
    </xf>
    <xf numFmtId="0" fontId="94" fillId="0" borderId="0" xfId="23" applyFont="1" applyBorder="1" applyAlignment="1" applyProtection="1">
      <alignment horizontal="fill"/>
      <protection/>
    </xf>
    <xf numFmtId="1" fontId="97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7" fillId="0" borderId="0" xfId="23" applyNumberFormat="1" applyFont="1">
      <alignment/>
      <protection/>
    </xf>
    <xf numFmtId="0" fontId="5" fillId="0" borderId="14" xfId="23" applyFont="1" applyFill="1" applyBorder="1" applyAlignment="1">
      <alignment horizontal="center"/>
      <protection/>
    </xf>
    <xf numFmtId="0" fontId="4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COMAHU\TBASECOM_DIVID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9">
          <cell r="C19">
            <v>1</v>
          </cell>
          <cell r="D19" t="str">
            <v>ARROYITO - CHARROYITO 1</v>
          </cell>
          <cell r="E19">
            <v>132</v>
          </cell>
          <cell r="F19">
            <v>1</v>
          </cell>
          <cell r="G19" t="str">
            <v>L</v>
          </cell>
        </row>
        <row r="20">
          <cell r="C20">
            <v>2</v>
          </cell>
          <cell r="D20" t="str">
            <v>ARROYITO - CHARROYITO 2</v>
          </cell>
          <cell r="E20">
            <v>132</v>
          </cell>
          <cell r="F20">
            <v>1</v>
          </cell>
          <cell r="G20" t="str">
            <v>L</v>
          </cell>
        </row>
        <row r="21">
          <cell r="C21">
            <v>3</v>
          </cell>
          <cell r="D21" t="str">
            <v>ARROYITO - CHARROYITO 3</v>
          </cell>
          <cell r="E21">
            <v>132</v>
          </cell>
          <cell r="F21">
            <v>1</v>
          </cell>
          <cell r="G21" t="str">
            <v>L</v>
          </cell>
        </row>
        <row r="22">
          <cell r="C22">
            <v>4</v>
          </cell>
          <cell r="D22" t="str">
            <v>ARROYITO - CHOCON 1</v>
          </cell>
          <cell r="E22">
            <v>132</v>
          </cell>
          <cell r="F22">
            <v>25</v>
          </cell>
          <cell r="G22" t="str">
            <v>L</v>
          </cell>
          <cell r="GD22">
            <v>1</v>
          </cell>
          <cell r="GG22">
            <v>1</v>
          </cell>
        </row>
        <row r="23">
          <cell r="C23">
            <v>5</v>
          </cell>
          <cell r="D23" t="str">
            <v>ARROYITO - CHOCON 2</v>
          </cell>
          <cell r="E23">
            <v>132</v>
          </cell>
          <cell r="F23">
            <v>25</v>
          </cell>
          <cell r="G23" t="str">
            <v>L</v>
          </cell>
          <cell r="GG23">
            <v>1</v>
          </cell>
        </row>
        <row r="24">
          <cell r="C24">
            <v>6</v>
          </cell>
          <cell r="D24" t="str">
            <v>ARROYITO - PIAP 1</v>
          </cell>
          <cell r="E24">
            <v>132</v>
          </cell>
          <cell r="F24">
            <v>2</v>
          </cell>
          <cell r="G24" t="str">
            <v>L</v>
          </cell>
        </row>
        <row r="25">
          <cell r="C25">
            <v>7</v>
          </cell>
          <cell r="D25" t="str">
            <v>ARROYITO - PIAP 2</v>
          </cell>
          <cell r="E25">
            <v>132</v>
          </cell>
          <cell r="F25">
            <v>2</v>
          </cell>
          <cell r="G25" t="str">
            <v>L</v>
          </cell>
        </row>
        <row r="26">
          <cell r="C26">
            <v>8</v>
          </cell>
          <cell r="D26" t="str">
            <v>ALTO VALLE - CENTENARIO</v>
          </cell>
          <cell r="E26">
            <v>132</v>
          </cell>
          <cell r="F26">
            <v>17</v>
          </cell>
          <cell r="G26" t="str">
            <v>L</v>
          </cell>
          <cell r="GE26">
            <v>1</v>
          </cell>
        </row>
        <row r="27">
          <cell r="C27">
            <v>10</v>
          </cell>
          <cell r="D27" t="str">
            <v>ALTO VALLE - COLONIA VALENTINA - ARROYITO</v>
          </cell>
          <cell r="E27">
            <v>132</v>
          </cell>
          <cell r="F27">
            <v>58.9</v>
          </cell>
          <cell r="G27" t="str">
            <v>L</v>
          </cell>
          <cell r="GD27">
            <v>1</v>
          </cell>
          <cell r="GE27">
            <v>1</v>
          </cell>
          <cell r="GG27">
            <v>1</v>
          </cell>
        </row>
        <row r="28">
          <cell r="C28">
            <v>11</v>
          </cell>
          <cell r="D28" t="str">
            <v>CHOCON OESTE - CHOCON</v>
          </cell>
          <cell r="E28">
            <v>132</v>
          </cell>
          <cell r="F28">
            <v>3.5</v>
          </cell>
          <cell r="G28" t="str">
            <v>L</v>
          </cell>
        </row>
        <row r="29">
          <cell r="C29">
            <v>18</v>
          </cell>
          <cell r="D29" t="str">
            <v>MEDANITOS - PTO. SECCIONAMIENTO</v>
          </cell>
          <cell r="E29">
            <v>132</v>
          </cell>
          <cell r="F29">
            <v>41</v>
          </cell>
          <cell r="G29" t="str">
            <v>L</v>
          </cell>
        </row>
        <row r="30">
          <cell r="C30">
            <v>19</v>
          </cell>
          <cell r="D30" t="str">
            <v>PIEDRA DEL AGUILA - EL CHOCON</v>
          </cell>
          <cell r="E30">
            <v>132</v>
          </cell>
          <cell r="F30">
            <v>170</v>
          </cell>
          <cell r="G30" t="str">
            <v>L</v>
          </cell>
          <cell r="FZ30">
            <v>1</v>
          </cell>
        </row>
        <row r="31">
          <cell r="C31">
            <v>20</v>
          </cell>
          <cell r="D31" t="str">
            <v>PLAYA PLANICIE BANDERITA - PCIE. BANDERITA</v>
          </cell>
          <cell r="E31">
            <v>132</v>
          </cell>
          <cell r="F31">
            <v>1.5</v>
          </cell>
          <cell r="G31" t="str">
            <v>L</v>
          </cell>
        </row>
        <row r="32">
          <cell r="C32">
            <v>21</v>
          </cell>
          <cell r="D32" t="str">
            <v>PTO. SECCIONAMIENTO - PTO. HERNANDEZ</v>
          </cell>
          <cell r="E32">
            <v>132</v>
          </cell>
          <cell r="F32">
            <v>89</v>
          </cell>
          <cell r="G32" t="str">
            <v>L</v>
          </cell>
          <cell r="GA32">
            <v>1</v>
          </cell>
          <cell r="GD32">
            <v>1</v>
          </cell>
          <cell r="GG32">
            <v>1</v>
          </cell>
          <cell r="GH32">
            <v>1</v>
          </cell>
        </row>
        <row r="33">
          <cell r="C33">
            <v>22</v>
          </cell>
          <cell r="D33" t="str">
            <v>PTO. SECCIONAMIENTO - SEÑAL PICADA</v>
          </cell>
          <cell r="E33">
            <v>132</v>
          </cell>
          <cell r="F33">
            <v>18</v>
          </cell>
          <cell r="G33" t="str">
            <v>L</v>
          </cell>
        </row>
        <row r="34">
          <cell r="C34">
            <v>29</v>
          </cell>
          <cell r="D34" t="str">
            <v>PUESTO HERNANDEZ - CHIUHIDO II</v>
          </cell>
          <cell r="E34">
            <v>132</v>
          </cell>
          <cell r="F34">
            <v>19.5</v>
          </cell>
          <cell r="G34" t="str">
            <v>L</v>
          </cell>
        </row>
        <row r="35">
          <cell r="C35">
            <v>30</v>
          </cell>
          <cell r="D35" t="str">
            <v>CHIUHIDO II - EL TRAPIAL</v>
          </cell>
          <cell r="E35">
            <v>132</v>
          </cell>
          <cell r="F35">
            <v>4.9</v>
          </cell>
          <cell r="G35" t="str">
            <v>L</v>
          </cell>
          <cell r="FZ35">
            <v>1</v>
          </cell>
        </row>
        <row r="36">
          <cell r="C36">
            <v>31</v>
          </cell>
          <cell r="D36" t="str">
            <v>EL TRAPIAL - LOMA DE LA LATA</v>
          </cell>
          <cell r="E36">
            <v>132</v>
          </cell>
          <cell r="F36">
            <v>142</v>
          </cell>
          <cell r="G36" t="str">
            <v>L</v>
          </cell>
        </row>
        <row r="40">
          <cell r="FX40">
            <v>1.45</v>
          </cell>
          <cell r="FY40">
            <v>1.45</v>
          </cell>
          <cell r="FZ40">
            <v>1.45</v>
          </cell>
          <cell r="GA40">
            <v>1.61</v>
          </cell>
          <cell r="GB40">
            <v>1.61</v>
          </cell>
          <cell r="GC40">
            <v>1.61</v>
          </cell>
          <cell r="GD40">
            <v>1.61</v>
          </cell>
          <cell r="GE40">
            <v>1.93</v>
          </cell>
          <cell r="GF40">
            <v>1.93</v>
          </cell>
          <cell r="GG40">
            <v>1.93</v>
          </cell>
          <cell r="GH40">
            <v>2.25</v>
          </cell>
          <cell r="GI40">
            <v>2.09</v>
          </cell>
          <cell r="GJ40">
            <v>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workbookViewId="0" topLeftCell="A16">
      <selection activeCell="A14" sqref="A14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27"/>
    </row>
    <row r="2" spans="2:10" s="2" customFormat="1" ht="26.25">
      <c r="B2" s="3" t="s">
        <v>116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27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28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100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115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92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29</v>
      </c>
      <c r="D18" s="46" t="s">
        <v>1</v>
      </c>
      <c r="E18" s="39"/>
      <c r="F18" s="42"/>
      <c r="G18" s="42"/>
      <c r="H18" s="42"/>
      <c r="I18" s="47">
        <f>ROUND('LI-0904'!Z40,2)</f>
        <v>33.29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30</v>
      </c>
      <c r="D20" s="46" t="s">
        <v>31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32</v>
      </c>
      <c r="E22" s="55" t="s">
        <v>33</v>
      </c>
      <c r="F22" s="42"/>
      <c r="G22" s="42"/>
      <c r="H22" s="42"/>
      <c r="I22" s="47">
        <f>ROUND('TR-0904'!AA44,2)</f>
        <v>1402.79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34</v>
      </c>
      <c r="E24" s="55" t="s">
        <v>35</v>
      </c>
      <c r="F24" s="42"/>
      <c r="G24" s="42"/>
      <c r="H24" s="42"/>
      <c r="I24" s="47">
        <f>ROUND('SA-0904'!T42,2)</f>
        <v>728.94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36</v>
      </c>
      <c r="G28" s="58">
        <f>SUM(I18:I24)</f>
        <v>2165.02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377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378" t="s">
        <v>113</v>
      </c>
      <c r="D30" s="45"/>
      <c r="F30" s="377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A56"/>
  <sheetViews>
    <sheetView zoomScale="75" zoomScaleNormal="75" workbookViewId="0" topLeftCell="C7">
      <selection activeCell="Z19" sqref="Z19:Z20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28"/>
    </row>
    <row r="2" spans="2:27" s="73" customFormat="1" ht="26.25">
      <c r="B2" s="229" t="str">
        <f>+'tot-0904'!B2</f>
        <v>ANEXO I al Memorandum D.T.E.E. N° 829 /2010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27</v>
      </c>
      <c r="B4" s="230"/>
    </row>
    <row r="5" spans="1:2" s="78" customFormat="1" ht="11.25">
      <c r="A5" s="10" t="s">
        <v>28</v>
      </c>
      <c r="B5" s="230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114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37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+'tot-0904'!B14</f>
        <v>Desde el 01 al 30 de abril de 2009</v>
      </c>
      <c r="C12" s="231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38</v>
      </c>
      <c r="E14" s="96">
        <v>136.42</v>
      </c>
      <c r="F14" s="97"/>
      <c r="G14" s="94"/>
      <c r="H14" s="98"/>
      <c r="I14" s="99" t="s">
        <v>39</v>
      </c>
      <c r="J14" s="232">
        <f>30*'tot-0904'!B13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40</v>
      </c>
      <c r="D16" s="108" t="s">
        <v>1</v>
      </c>
      <c r="E16" s="109" t="s">
        <v>41</v>
      </c>
      <c r="F16" s="109" t="s">
        <v>42</v>
      </c>
      <c r="G16" s="110" t="s">
        <v>43</v>
      </c>
      <c r="H16" s="108" t="s">
        <v>44</v>
      </c>
      <c r="I16" s="108" t="s">
        <v>45</v>
      </c>
      <c r="J16" s="111" t="s">
        <v>46</v>
      </c>
      <c r="K16" s="109" t="s">
        <v>47</v>
      </c>
      <c r="L16" s="112" t="s">
        <v>81</v>
      </c>
      <c r="M16" s="109" t="s">
        <v>48</v>
      </c>
      <c r="N16" s="108" t="s">
        <v>49</v>
      </c>
      <c r="O16" s="113" t="s">
        <v>50</v>
      </c>
      <c r="P16" s="114" t="s">
        <v>51</v>
      </c>
      <c r="Q16" s="115" t="s">
        <v>52</v>
      </c>
      <c r="R16" s="116"/>
      <c r="S16" s="117"/>
      <c r="T16" s="118" t="s">
        <v>53</v>
      </c>
      <c r="U16" s="119"/>
      <c r="V16" s="120"/>
      <c r="W16" s="121" t="s">
        <v>54</v>
      </c>
      <c r="X16" s="122" t="s">
        <v>55</v>
      </c>
      <c r="Y16" s="109" t="s">
        <v>56</v>
      </c>
      <c r="Z16" s="109" t="s">
        <v>57</v>
      </c>
      <c r="AA16" s="123"/>
    </row>
    <row r="17" spans="2:27" ht="16.5" customHeight="1" hidden="1" thickTop="1">
      <c r="B17" s="82"/>
      <c r="C17" s="233"/>
      <c r="D17" s="234"/>
      <c r="E17" s="235"/>
      <c r="F17" s="236"/>
      <c r="G17" s="237"/>
      <c r="H17" s="238"/>
      <c r="I17" s="234"/>
      <c r="J17" s="238"/>
      <c r="K17" s="234"/>
      <c r="L17" s="238"/>
      <c r="M17" s="239"/>
      <c r="N17" s="238"/>
      <c r="O17" s="240"/>
      <c r="P17" s="241"/>
      <c r="Q17" s="242"/>
      <c r="R17" s="243"/>
      <c r="S17" s="244"/>
      <c r="T17" s="245"/>
      <c r="U17" s="246"/>
      <c r="V17" s="247"/>
      <c r="W17" s="248"/>
      <c r="X17" s="249"/>
      <c r="Y17" s="238"/>
      <c r="Z17" s="250"/>
      <c r="AA17" s="85"/>
    </row>
    <row r="18" spans="2:27" ht="16.5" customHeight="1" thickTop="1">
      <c r="B18" s="82"/>
      <c r="C18" s="251"/>
      <c r="D18" s="252"/>
      <c r="E18" s="251"/>
      <c r="F18" s="251"/>
      <c r="G18" s="253"/>
      <c r="H18" s="251"/>
      <c r="I18" s="254"/>
      <c r="J18" s="255"/>
      <c r="K18" s="254"/>
      <c r="L18" s="251"/>
      <c r="M18" s="252"/>
      <c r="N18" s="255"/>
      <c r="O18" s="256"/>
      <c r="P18" s="257"/>
      <c r="Q18" s="258"/>
      <c r="R18" s="259"/>
      <c r="S18" s="260"/>
      <c r="T18" s="261"/>
      <c r="U18" s="262"/>
      <c r="V18" s="263"/>
      <c r="W18" s="264"/>
      <c r="X18" s="265"/>
      <c r="Y18" s="255"/>
      <c r="Z18" s="266"/>
      <c r="AA18" s="85"/>
    </row>
    <row r="19" spans="2:27" ht="16.5" customHeight="1">
      <c r="B19" s="82"/>
      <c r="C19" s="124">
        <v>1</v>
      </c>
      <c r="D19" s="124" t="s">
        <v>3</v>
      </c>
      <c r="E19" s="125">
        <v>132</v>
      </c>
      <c r="F19" s="126">
        <v>2</v>
      </c>
      <c r="G19" s="127">
        <f aca="true" t="shared" si="0" ref="G19:G38">F19*$E$14/100</f>
        <v>2.7283999999999997</v>
      </c>
      <c r="H19" s="128">
        <v>39906.34375</v>
      </c>
      <c r="I19" s="128">
        <v>39906.49236111111</v>
      </c>
      <c r="J19" s="129">
        <f aca="true" t="shared" si="1" ref="J19:J38">IF(H19="","",(I19-H19)*24)</f>
        <v>3.566666666592937</v>
      </c>
      <c r="K19" s="130">
        <f aca="true" t="shared" si="2" ref="K19:K38">IF(I19="","",ROUND((I19-H19)*24*60,0))</f>
        <v>214</v>
      </c>
      <c r="L19" s="131" t="s">
        <v>93</v>
      </c>
      <c r="M19" s="131" t="str">
        <f aca="true" t="shared" si="3" ref="M19:M38">IF(D19="","","--")</f>
        <v>--</v>
      </c>
      <c r="N19" s="132" t="str">
        <f aca="true" t="shared" si="4" ref="N19:N38">IF(D19="","",IF(OR(L19="P",L19="RP"),"--","NO"))</f>
        <v>--</v>
      </c>
      <c r="O19" s="269">
        <f aca="true" t="shared" si="5" ref="O19:O38">IF(L19="P",ROUND(K19/60,2)*G19*$J$14*0.01,"--")</f>
        <v>2.9221163999999997</v>
      </c>
      <c r="P19" s="270" t="str">
        <f aca="true" t="shared" si="6" ref="P19:P38">IF(L19="RP",ROUND(K19/60,2)*G19*$J$14*0.01*M19/100,"--")</f>
        <v>--</v>
      </c>
      <c r="Q19" s="271" t="str">
        <f aca="true" t="shared" si="7" ref="Q19:Q38">IF(N19="SI","--",IF(L19="F",ROUND(G19*$J$14,2),"--"))</f>
        <v>--</v>
      </c>
      <c r="R19" s="272" t="str">
        <f aca="true" t="shared" si="8" ref="R19:R38">IF(L19="F",IF(K19&lt;10,"--",IF(K19&gt;180,ROUND(G19*$J$14*3,2),G19*$J$14*ROUND(K19/60,2))),"--")</f>
        <v>--</v>
      </c>
      <c r="S19" s="273" t="str">
        <f aca="true" t="shared" si="9" ref="S19:S38">IF(AND(L19="F",K19&gt;180),G19*$J$14*0.1*(ROUND(K19/60,2)-3),"--")</f>
        <v>--</v>
      </c>
      <c r="T19" s="274" t="str">
        <f aca="true" t="shared" si="10" ref="T19:T38">IF(N19="SI","--",IF(L19="R",ROUND(G19*$J$14*M19/100,2),"--"))</f>
        <v>--</v>
      </c>
      <c r="U19" s="275" t="str">
        <f aca="true" t="shared" si="11" ref="U19:U38">IF(L19="R",IF(K19&lt;10,"--",IF(K19&gt;180,ROUND(G19*$J$14*3*M19/100,2),G19*$J$14*M19/100*ROUND(K19/60,2))),"--")</f>
        <v>--</v>
      </c>
      <c r="V19" s="276" t="str">
        <f aca="true" t="shared" si="12" ref="V19:V38">IF(AND(L19="R",K19&gt;180),G19*$J$14*M19/100*0.1*(ROUND(K19/60,2)-3),"--")</f>
        <v>--</v>
      </c>
      <c r="W19" s="277" t="str">
        <f aca="true" t="shared" si="13" ref="W19:W38">IF(L19="RF",G19*$J$14*0.1*ROUND(K19/60,2),"--")</f>
        <v>--</v>
      </c>
      <c r="X19" s="278" t="str">
        <f aca="true" t="shared" si="14" ref="X19:X38">IF(L19="RR",G19*$J$14*0.1*M19/100*ROUND(K19/60,2),"--")</f>
        <v>--</v>
      </c>
      <c r="Y19" s="133" t="str">
        <f aca="true" t="shared" si="15" ref="Y19:Y38">IF(D19="","","SI")</f>
        <v>SI</v>
      </c>
      <c r="Z19" s="134">
        <f aca="true" t="shared" si="16" ref="Z19:Z38">IF(D19="","",IF(Y19="SI",SUM(O19:X19),2*SUM(O19:X19)))</f>
        <v>2.9221163999999997</v>
      </c>
      <c r="AA19" s="135"/>
    </row>
    <row r="20" spans="2:27" ht="16.5" customHeight="1">
      <c r="B20" s="82"/>
      <c r="C20" s="124">
        <v>2</v>
      </c>
      <c r="D20" s="124" t="s">
        <v>2</v>
      </c>
      <c r="E20" s="125">
        <v>132</v>
      </c>
      <c r="F20" s="126">
        <v>16.6</v>
      </c>
      <c r="G20" s="127">
        <f t="shared" si="0"/>
        <v>22.64572</v>
      </c>
      <c r="H20" s="128">
        <v>39931.4125</v>
      </c>
      <c r="I20" s="128">
        <v>39931.59861111111</v>
      </c>
      <c r="J20" s="129">
        <f t="shared" si="1"/>
        <v>4.466666666732635</v>
      </c>
      <c r="K20" s="130">
        <f t="shared" si="2"/>
        <v>268</v>
      </c>
      <c r="L20" s="131" t="s">
        <v>93</v>
      </c>
      <c r="M20" s="131" t="str">
        <f t="shared" si="3"/>
        <v>--</v>
      </c>
      <c r="N20" s="132" t="str">
        <f t="shared" si="4"/>
        <v>--</v>
      </c>
      <c r="O20" s="269">
        <f t="shared" si="5"/>
        <v>30.367910520000002</v>
      </c>
      <c r="P20" s="270" t="str">
        <f t="shared" si="6"/>
        <v>--</v>
      </c>
      <c r="Q20" s="271" t="str">
        <f t="shared" si="7"/>
        <v>--</v>
      </c>
      <c r="R20" s="272" t="str">
        <f t="shared" si="8"/>
        <v>--</v>
      </c>
      <c r="S20" s="273" t="str">
        <f t="shared" si="9"/>
        <v>--</v>
      </c>
      <c r="T20" s="274" t="str">
        <f t="shared" si="10"/>
        <v>--</v>
      </c>
      <c r="U20" s="275" t="str">
        <f t="shared" si="11"/>
        <v>--</v>
      </c>
      <c r="V20" s="276" t="str">
        <f t="shared" si="12"/>
        <v>--</v>
      </c>
      <c r="W20" s="277" t="str">
        <f t="shared" si="13"/>
        <v>--</v>
      </c>
      <c r="X20" s="278" t="str">
        <f t="shared" si="14"/>
        <v>--</v>
      </c>
      <c r="Y20" s="133" t="str">
        <f t="shared" si="15"/>
        <v>SI</v>
      </c>
      <c r="Z20" s="134">
        <f t="shared" si="16"/>
        <v>30.367910520000002</v>
      </c>
      <c r="AA20" s="135"/>
    </row>
    <row r="21" spans="2:27" ht="16.5" customHeight="1">
      <c r="B21" s="82"/>
      <c r="C21" s="124"/>
      <c r="D21" s="124"/>
      <c r="E21" s="125"/>
      <c r="F21" s="126"/>
      <c r="G21" s="127">
        <f t="shared" si="0"/>
        <v>0</v>
      </c>
      <c r="H21" s="128"/>
      <c r="I21" s="128"/>
      <c r="J21" s="129">
        <f t="shared" si="1"/>
      </c>
      <c r="K21" s="130">
        <f t="shared" si="2"/>
      </c>
      <c r="L21" s="131"/>
      <c r="M21" s="131">
        <f t="shared" si="3"/>
      </c>
      <c r="N21" s="132">
        <f t="shared" si="4"/>
      </c>
      <c r="O21" s="269" t="str">
        <f t="shared" si="5"/>
        <v>--</v>
      </c>
      <c r="P21" s="270" t="str">
        <f t="shared" si="6"/>
        <v>--</v>
      </c>
      <c r="Q21" s="271" t="str">
        <f t="shared" si="7"/>
        <v>--</v>
      </c>
      <c r="R21" s="272" t="str">
        <f t="shared" si="8"/>
        <v>--</v>
      </c>
      <c r="S21" s="273" t="str">
        <f t="shared" si="9"/>
        <v>--</v>
      </c>
      <c r="T21" s="274" t="str">
        <f t="shared" si="10"/>
        <v>--</v>
      </c>
      <c r="U21" s="275" t="str">
        <f t="shared" si="11"/>
        <v>--</v>
      </c>
      <c r="V21" s="276" t="str">
        <f t="shared" si="12"/>
        <v>--</v>
      </c>
      <c r="W21" s="277" t="str">
        <f t="shared" si="13"/>
        <v>--</v>
      </c>
      <c r="X21" s="278" t="str">
        <f t="shared" si="14"/>
        <v>--</v>
      </c>
      <c r="Y21" s="133">
        <f t="shared" si="15"/>
      </c>
      <c r="Z21" s="134">
        <f t="shared" si="16"/>
      </c>
      <c r="AA21" s="135"/>
    </row>
    <row r="22" spans="2:27" ht="16.5" customHeight="1">
      <c r="B22" s="82"/>
      <c r="C22" s="124"/>
      <c r="D22" s="124"/>
      <c r="E22" s="125"/>
      <c r="F22" s="126"/>
      <c r="G22" s="127">
        <f t="shared" si="0"/>
        <v>0</v>
      </c>
      <c r="H22" s="128"/>
      <c r="I22" s="128"/>
      <c r="J22" s="129">
        <f t="shared" si="1"/>
      </c>
      <c r="K22" s="130">
        <f t="shared" si="2"/>
      </c>
      <c r="L22" s="131"/>
      <c r="M22" s="131">
        <f t="shared" si="3"/>
      </c>
      <c r="N22" s="132">
        <f t="shared" si="4"/>
      </c>
      <c r="O22" s="269" t="str">
        <f t="shared" si="5"/>
        <v>--</v>
      </c>
      <c r="P22" s="270" t="str">
        <f t="shared" si="6"/>
        <v>--</v>
      </c>
      <c r="Q22" s="271" t="str">
        <f t="shared" si="7"/>
        <v>--</v>
      </c>
      <c r="R22" s="272" t="str">
        <f t="shared" si="8"/>
        <v>--</v>
      </c>
      <c r="S22" s="273" t="str">
        <f t="shared" si="9"/>
        <v>--</v>
      </c>
      <c r="T22" s="274" t="str">
        <f t="shared" si="10"/>
        <v>--</v>
      </c>
      <c r="U22" s="275" t="str">
        <f t="shared" si="11"/>
        <v>--</v>
      </c>
      <c r="V22" s="276" t="str">
        <f t="shared" si="12"/>
        <v>--</v>
      </c>
      <c r="W22" s="277" t="str">
        <f t="shared" si="13"/>
        <v>--</v>
      </c>
      <c r="X22" s="278" t="str">
        <f t="shared" si="14"/>
        <v>--</v>
      </c>
      <c r="Y22" s="133">
        <f t="shared" si="15"/>
      </c>
      <c r="Z22" s="134">
        <f t="shared" si="16"/>
      </c>
      <c r="AA22" s="135"/>
    </row>
    <row r="23" spans="2:27" ht="16.5" customHeight="1">
      <c r="B23" s="82"/>
      <c r="C23" s="124"/>
      <c r="D23" s="124"/>
      <c r="E23" s="125"/>
      <c r="F23" s="126"/>
      <c r="G23" s="127">
        <f t="shared" si="0"/>
        <v>0</v>
      </c>
      <c r="H23" s="128"/>
      <c r="I23" s="128"/>
      <c r="J23" s="129">
        <f t="shared" si="1"/>
      </c>
      <c r="K23" s="130">
        <f t="shared" si="2"/>
      </c>
      <c r="L23" s="131"/>
      <c r="M23" s="131">
        <f t="shared" si="3"/>
      </c>
      <c r="N23" s="132">
        <f t="shared" si="4"/>
      </c>
      <c r="O23" s="269" t="str">
        <f t="shared" si="5"/>
        <v>--</v>
      </c>
      <c r="P23" s="270" t="str">
        <f t="shared" si="6"/>
        <v>--</v>
      </c>
      <c r="Q23" s="271" t="str">
        <f t="shared" si="7"/>
        <v>--</v>
      </c>
      <c r="R23" s="272" t="str">
        <f t="shared" si="8"/>
        <v>--</v>
      </c>
      <c r="S23" s="273" t="str">
        <f t="shared" si="9"/>
        <v>--</v>
      </c>
      <c r="T23" s="274" t="str">
        <f t="shared" si="10"/>
        <v>--</v>
      </c>
      <c r="U23" s="275" t="str">
        <f t="shared" si="11"/>
        <v>--</v>
      </c>
      <c r="V23" s="276" t="str">
        <f t="shared" si="12"/>
        <v>--</v>
      </c>
      <c r="W23" s="277" t="str">
        <f t="shared" si="13"/>
        <v>--</v>
      </c>
      <c r="X23" s="278" t="str">
        <f t="shared" si="14"/>
        <v>--</v>
      </c>
      <c r="Y23" s="133">
        <f t="shared" si="15"/>
      </c>
      <c r="Z23" s="134">
        <f t="shared" si="16"/>
      </c>
      <c r="AA23" s="135"/>
    </row>
    <row r="24" spans="2:27" ht="16.5" customHeight="1">
      <c r="B24" s="82"/>
      <c r="C24" s="124"/>
      <c r="D24" s="124"/>
      <c r="E24" s="125"/>
      <c r="F24" s="126"/>
      <c r="G24" s="127">
        <f t="shared" si="0"/>
        <v>0</v>
      </c>
      <c r="H24" s="128"/>
      <c r="I24" s="128"/>
      <c r="J24" s="129">
        <f t="shared" si="1"/>
      </c>
      <c r="K24" s="130">
        <f t="shared" si="2"/>
      </c>
      <c r="L24" s="131"/>
      <c r="M24" s="131">
        <f t="shared" si="3"/>
      </c>
      <c r="N24" s="132">
        <f t="shared" si="4"/>
      </c>
      <c r="O24" s="269" t="str">
        <f t="shared" si="5"/>
        <v>--</v>
      </c>
      <c r="P24" s="270" t="str">
        <f t="shared" si="6"/>
        <v>--</v>
      </c>
      <c r="Q24" s="271" t="str">
        <f t="shared" si="7"/>
        <v>--</v>
      </c>
      <c r="R24" s="272" t="str">
        <f t="shared" si="8"/>
        <v>--</v>
      </c>
      <c r="S24" s="273" t="str">
        <f t="shared" si="9"/>
        <v>--</v>
      </c>
      <c r="T24" s="274" t="str">
        <f t="shared" si="10"/>
        <v>--</v>
      </c>
      <c r="U24" s="275" t="str">
        <f t="shared" si="11"/>
        <v>--</v>
      </c>
      <c r="V24" s="276" t="str">
        <f t="shared" si="12"/>
        <v>--</v>
      </c>
      <c r="W24" s="277" t="str">
        <f t="shared" si="13"/>
        <v>--</v>
      </c>
      <c r="X24" s="278" t="str">
        <f t="shared" si="14"/>
        <v>--</v>
      </c>
      <c r="Y24" s="133">
        <f t="shared" si="15"/>
      </c>
      <c r="Z24" s="134">
        <f t="shared" si="16"/>
      </c>
      <c r="AA24" s="135"/>
    </row>
    <row r="25" spans="2:27" ht="16.5" customHeight="1">
      <c r="B25" s="82"/>
      <c r="C25" s="124"/>
      <c r="D25" s="124"/>
      <c r="E25" s="125"/>
      <c r="F25" s="126"/>
      <c r="G25" s="127">
        <f t="shared" si="0"/>
        <v>0</v>
      </c>
      <c r="H25" s="128"/>
      <c r="I25" s="128"/>
      <c r="J25" s="129">
        <f t="shared" si="1"/>
      </c>
      <c r="K25" s="130">
        <f t="shared" si="2"/>
      </c>
      <c r="L25" s="131"/>
      <c r="M25" s="131">
        <f t="shared" si="3"/>
      </c>
      <c r="N25" s="132">
        <f t="shared" si="4"/>
      </c>
      <c r="O25" s="269" t="str">
        <f t="shared" si="5"/>
        <v>--</v>
      </c>
      <c r="P25" s="270" t="str">
        <f t="shared" si="6"/>
        <v>--</v>
      </c>
      <c r="Q25" s="271" t="str">
        <f t="shared" si="7"/>
        <v>--</v>
      </c>
      <c r="R25" s="272" t="str">
        <f t="shared" si="8"/>
        <v>--</v>
      </c>
      <c r="S25" s="273" t="str">
        <f t="shared" si="9"/>
        <v>--</v>
      </c>
      <c r="T25" s="274" t="str">
        <f t="shared" si="10"/>
        <v>--</v>
      </c>
      <c r="U25" s="275" t="str">
        <f t="shared" si="11"/>
        <v>--</v>
      </c>
      <c r="V25" s="276" t="str">
        <f t="shared" si="12"/>
        <v>--</v>
      </c>
      <c r="W25" s="277" t="str">
        <f t="shared" si="13"/>
        <v>--</v>
      </c>
      <c r="X25" s="278" t="str">
        <f t="shared" si="14"/>
        <v>--</v>
      </c>
      <c r="Y25" s="133">
        <f t="shared" si="15"/>
      </c>
      <c r="Z25" s="134">
        <f t="shared" si="16"/>
      </c>
      <c r="AA25" s="135"/>
    </row>
    <row r="26" spans="2:27" ht="16.5" customHeight="1">
      <c r="B26" s="82"/>
      <c r="C26" s="124"/>
      <c r="D26" s="124"/>
      <c r="E26" s="125"/>
      <c r="F26" s="126"/>
      <c r="G26" s="127">
        <f t="shared" si="0"/>
        <v>0</v>
      </c>
      <c r="H26" s="128"/>
      <c r="I26" s="128"/>
      <c r="J26" s="129">
        <f t="shared" si="1"/>
      </c>
      <c r="K26" s="130">
        <f t="shared" si="2"/>
      </c>
      <c r="L26" s="131"/>
      <c r="M26" s="131">
        <f t="shared" si="3"/>
      </c>
      <c r="N26" s="132">
        <f t="shared" si="4"/>
      </c>
      <c r="O26" s="269" t="str">
        <f t="shared" si="5"/>
        <v>--</v>
      </c>
      <c r="P26" s="270" t="str">
        <f t="shared" si="6"/>
        <v>--</v>
      </c>
      <c r="Q26" s="271" t="str">
        <f t="shared" si="7"/>
        <v>--</v>
      </c>
      <c r="R26" s="272" t="str">
        <f t="shared" si="8"/>
        <v>--</v>
      </c>
      <c r="S26" s="273" t="str">
        <f t="shared" si="9"/>
        <v>--</v>
      </c>
      <c r="T26" s="274" t="str">
        <f t="shared" si="10"/>
        <v>--</v>
      </c>
      <c r="U26" s="275" t="str">
        <f t="shared" si="11"/>
        <v>--</v>
      </c>
      <c r="V26" s="276" t="str">
        <f t="shared" si="12"/>
        <v>--</v>
      </c>
      <c r="W26" s="277" t="str">
        <f t="shared" si="13"/>
        <v>--</v>
      </c>
      <c r="X26" s="278" t="str">
        <f t="shared" si="14"/>
        <v>--</v>
      </c>
      <c r="Y26" s="133">
        <f t="shared" si="15"/>
      </c>
      <c r="Z26" s="134">
        <f t="shared" si="16"/>
      </c>
      <c r="AA26" s="135"/>
    </row>
    <row r="27" spans="2:27" ht="16.5" customHeight="1">
      <c r="B27" s="82"/>
      <c r="C27" s="124"/>
      <c r="D27" s="124"/>
      <c r="E27" s="125"/>
      <c r="F27" s="126"/>
      <c r="G27" s="127">
        <f t="shared" si="0"/>
        <v>0</v>
      </c>
      <c r="H27" s="128"/>
      <c r="I27" s="128"/>
      <c r="J27" s="129">
        <f t="shared" si="1"/>
      </c>
      <c r="K27" s="130">
        <f t="shared" si="2"/>
      </c>
      <c r="L27" s="131"/>
      <c r="M27" s="131">
        <f t="shared" si="3"/>
      </c>
      <c r="N27" s="132">
        <f t="shared" si="4"/>
      </c>
      <c r="O27" s="269" t="str">
        <f t="shared" si="5"/>
        <v>--</v>
      </c>
      <c r="P27" s="270" t="str">
        <f t="shared" si="6"/>
        <v>--</v>
      </c>
      <c r="Q27" s="271" t="str">
        <f t="shared" si="7"/>
        <v>--</v>
      </c>
      <c r="R27" s="272" t="str">
        <f t="shared" si="8"/>
        <v>--</v>
      </c>
      <c r="S27" s="273" t="str">
        <f t="shared" si="9"/>
        <v>--</v>
      </c>
      <c r="T27" s="274" t="str">
        <f t="shared" si="10"/>
        <v>--</v>
      </c>
      <c r="U27" s="275" t="str">
        <f t="shared" si="11"/>
        <v>--</v>
      </c>
      <c r="V27" s="276" t="str">
        <f t="shared" si="12"/>
        <v>--</v>
      </c>
      <c r="W27" s="277" t="str">
        <f t="shared" si="13"/>
        <v>--</v>
      </c>
      <c r="X27" s="278" t="str">
        <f t="shared" si="14"/>
        <v>--</v>
      </c>
      <c r="Y27" s="133">
        <f t="shared" si="15"/>
      </c>
      <c r="Z27" s="134">
        <f t="shared" si="16"/>
      </c>
      <c r="AA27" s="135"/>
    </row>
    <row r="28" spans="2:27" ht="16.5" customHeight="1">
      <c r="B28" s="82"/>
      <c r="C28" s="124"/>
      <c r="D28" s="136"/>
      <c r="E28" s="125"/>
      <c r="F28" s="126"/>
      <c r="G28" s="127">
        <f t="shared" si="0"/>
        <v>0</v>
      </c>
      <c r="H28" s="128"/>
      <c r="I28" s="128"/>
      <c r="J28" s="129">
        <f t="shared" si="1"/>
      </c>
      <c r="K28" s="130">
        <f t="shared" si="2"/>
      </c>
      <c r="L28" s="131"/>
      <c r="M28" s="131">
        <f t="shared" si="3"/>
      </c>
      <c r="N28" s="132">
        <f t="shared" si="4"/>
      </c>
      <c r="O28" s="269" t="str">
        <f t="shared" si="5"/>
        <v>--</v>
      </c>
      <c r="P28" s="270" t="str">
        <f t="shared" si="6"/>
        <v>--</v>
      </c>
      <c r="Q28" s="271" t="str">
        <f t="shared" si="7"/>
        <v>--</v>
      </c>
      <c r="R28" s="272" t="str">
        <f t="shared" si="8"/>
        <v>--</v>
      </c>
      <c r="S28" s="273" t="str">
        <f t="shared" si="9"/>
        <v>--</v>
      </c>
      <c r="T28" s="274" t="str">
        <f t="shared" si="10"/>
        <v>--</v>
      </c>
      <c r="U28" s="275" t="str">
        <f t="shared" si="11"/>
        <v>--</v>
      </c>
      <c r="V28" s="276" t="str">
        <f t="shared" si="12"/>
        <v>--</v>
      </c>
      <c r="W28" s="277" t="str">
        <f t="shared" si="13"/>
        <v>--</v>
      </c>
      <c r="X28" s="278" t="str">
        <f t="shared" si="14"/>
        <v>--</v>
      </c>
      <c r="Y28" s="133">
        <f t="shared" si="15"/>
      </c>
      <c r="Z28" s="134">
        <f t="shared" si="16"/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4"/>
      </c>
      <c r="O29" s="269" t="str">
        <f t="shared" si="5"/>
        <v>--</v>
      </c>
      <c r="P29" s="270" t="str">
        <f t="shared" si="6"/>
        <v>--</v>
      </c>
      <c r="Q29" s="271" t="str">
        <f t="shared" si="7"/>
        <v>--</v>
      </c>
      <c r="R29" s="272" t="str">
        <f t="shared" si="8"/>
        <v>--</v>
      </c>
      <c r="S29" s="273" t="str">
        <f t="shared" si="9"/>
        <v>--</v>
      </c>
      <c r="T29" s="274" t="str">
        <f t="shared" si="10"/>
        <v>--</v>
      </c>
      <c r="U29" s="275" t="str">
        <f t="shared" si="11"/>
        <v>--</v>
      </c>
      <c r="V29" s="276" t="str">
        <f t="shared" si="12"/>
        <v>--</v>
      </c>
      <c r="W29" s="277" t="str">
        <f t="shared" si="13"/>
        <v>--</v>
      </c>
      <c r="X29" s="278" t="str">
        <f t="shared" si="14"/>
        <v>--</v>
      </c>
      <c r="Y29" s="133">
        <f t="shared" si="15"/>
      </c>
      <c r="Z29" s="134">
        <f t="shared" si="16"/>
      </c>
      <c r="AA29" s="135"/>
    </row>
    <row r="30" spans="2:27" ht="16.5" customHeight="1">
      <c r="B30" s="82"/>
      <c r="C30" s="124"/>
      <c r="D30" s="136"/>
      <c r="E30" s="125"/>
      <c r="F30" s="126"/>
      <c r="G30" s="127"/>
      <c r="H30" s="128"/>
      <c r="I30" s="128"/>
      <c r="J30" s="129"/>
      <c r="K30" s="130"/>
      <c r="L30" s="131"/>
      <c r="M30" s="131"/>
      <c r="N30" s="132"/>
      <c r="O30" s="269"/>
      <c r="P30" s="270"/>
      <c r="Q30" s="271"/>
      <c r="R30" s="272"/>
      <c r="S30" s="273"/>
      <c r="T30" s="274"/>
      <c r="U30" s="275"/>
      <c r="V30" s="276"/>
      <c r="W30" s="277"/>
      <c r="X30" s="278"/>
      <c r="Y30" s="133"/>
      <c r="Z30" s="134"/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4"/>
      </c>
      <c r="O31" s="269" t="str">
        <f t="shared" si="5"/>
        <v>--</v>
      </c>
      <c r="P31" s="270" t="str">
        <f t="shared" si="6"/>
        <v>--</v>
      </c>
      <c r="Q31" s="271" t="str">
        <f t="shared" si="7"/>
        <v>--</v>
      </c>
      <c r="R31" s="272" t="str">
        <f t="shared" si="8"/>
        <v>--</v>
      </c>
      <c r="S31" s="273" t="str">
        <f t="shared" si="9"/>
        <v>--</v>
      </c>
      <c r="T31" s="274" t="str">
        <f t="shared" si="10"/>
        <v>--</v>
      </c>
      <c r="U31" s="275" t="str">
        <f t="shared" si="11"/>
        <v>--</v>
      </c>
      <c r="V31" s="276" t="str">
        <f t="shared" si="12"/>
        <v>--</v>
      </c>
      <c r="W31" s="277" t="str">
        <f t="shared" si="13"/>
        <v>--</v>
      </c>
      <c r="X31" s="278" t="str">
        <f t="shared" si="14"/>
        <v>--</v>
      </c>
      <c r="Y31" s="133">
        <f t="shared" si="15"/>
      </c>
      <c r="Z31" s="134">
        <f t="shared" si="16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4"/>
      </c>
      <c r="O32" s="269" t="str">
        <f t="shared" si="5"/>
        <v>--</v>
      </c>
      <c r="P32" s="270" t="str">
        <f t="shared" si="6"/>
        <v>--</v>
      </c>
      <c r="Q32" s="271" t="str">
        <f t="shared" si="7"/>
        <v>--</v>
      </c>
      <c r="R32" s="272" t="str">
        <f t="shared" si="8"/>
        <v>--</v>
      </c>
      <c r="S32" s="273" t="str">
        <f t="shared" si="9"/>
        <v>--</v>
      </c>
      <c r="T32" s="274" t="str">
        <f t="shared" si="10"/>
        <v>--</v>
      </c>
      <c r="U32" s="275" t="str">
        <f t="shared" si="11"/>
        <v>--</v>
      </c>
      <c r="V32" s="276" t="str">
        <f t="shared" si="12"/>
        <v>--</v>
      </c>
      <c r="W32" s="277" t="str">
        <f t="shared" si="13"/>
        <v>--</v>
      </c>
      <c r="X32" s="278" t="str">
        <f t="shared" si="14"/>
        <v>--</v>
      </c>
      <c r="Y32" s="133">
        <f t="shared" si="15"/>
      </c>
      <c r="Z32" s="134">
        <f t="shared" si="16"/>
      </c>
      <c r="AA32" s="135"/>
    </row>
    <row r="33" spans="2:27" ht="16.5" customHeight="1">
      <c r="B33" s="82"/>
      <c r="C33" s="124"/>
      <c r="D33" s="136"/>
      <c r="E33" s="125"/>
      <c r="F33" s="126"/>
      <c r="G33" s="127">
        <f t="shared" si="0"/>
        <v>0</v>
      </c>
      <c r="H33" s="128"/>
      <c r="I33" s="128"/>
      <c r="J33" s="129">
        <f t="shared" si="1"/>
      </c>
      <c r="K33" s="130">
        <f t="shared" si="2"/>
      </c>
      <c r="L33" s="131"/>
      <c r="M33" s="131">
        <f t="shared" si="3"/>
      </c>
      <c r="N33" s="132">
        <f t="shared" si="4"/>
      </c>
      <c r="O33" s="269" t="str">
        <f t="shared" si="5"/>
        <v>--</v>
      </c>
      <c r="P33" s="270" t="str">
        <f t="shared" si="6"/>
        <v>--</v>
      </c>
      <c r="Q33" s="271" t="str">
        <f t="shared" si="7"/>
        <v>--</v>
      </c>
      <c r="R33" s="272" t="str">
        <f t="shared" si="8"/>
        <v>--</v>
      </c>
      <c r="S33" s="273" t="str">
        <f t="shared" si="9"/>
        <v>--</v>
      </c>
      <c r="T33" s="274" t="str">
        <f t="shared" si="10"/>
        <v>--</v>
      </c>
      <c r="U33" s="275" t="str">
        <f t="shared" si="11"/>
        <v>--</v>
      </c>
      <c r="V33" s="276" t="str">
        <f t="shared" si="12"/>
        <v>--</v>
      </c>
      <c r="W33" s="277" t="str">
        <f t="shared" si="13"/>
        <v>--</v>
      </c>
      <c r="X33" s="278" t="str">
        <f t="shared" si="14"/>
        <v>--</v>
      </c>
      <c r="Y33" s="133">
        <f t="shared" si="15"/>
      </c>
      <c r="Z33" s="134">
        <f t="shared" si="16"/>
      </c>
      <c r="AA33" s="135"/>
    </row>
    <row r="34" spans="2:27" ht="16.5" customHeight="1">
      <c r="B34" s="82"/>
      <c r="C34" s="124"/>
      <c r="D34" s="136"/>
      <c r="E34" s="125"/>
      <c r="F34" s="126"/>
      <c r="G34" s="127">
        <f t="shared" si="0"/>
        <v>0</v>
      </c>
      <c r="H34" s="128"/>
      <c r="I34" s="128"/>
      <c r="J34" s="129">
        <f t="shared" si="1"/>
      </c>
      <c r="K34" s="130">
        <f t="shared" si="2"/>
      </c>
      <c r="L34" s="131"/>
      <c r="M34" s="131">
        <f t="shared" si="3"/>
      </c>
      <c r="N34" s="132">
        <f t="shared" si="4"/>
      </c>
      <c r="O34" s="269" t="str">
        <f t="shared" si="5"/>
        <v>--</v>
      </c>
      <c r="P34" s="270" t="str">
        <f t="shared" si="6"/>
        <v>--</v>
      </c>
      <c r="Q34" s="271" t="str">
        <f t="shared" si="7"/>
        <v>--</v>
      </c>
      <c r="R34" s="272" t="str">
        <f t="shared" si="8"/>
        <v>--</v>
      </c>
      <c r="S34" s="273" t="str">
        <f t="shared" si="9"/>
        <v>--</v>
      </c>
      <c r="T34" s="274" t="str">
        <f t="shared" si="10"/>
        <v>--</v>
      </c>
      <c r="U34" s="275" t="str">
        <f t="shared" si="11"/>
        <v>--</v>
      </c>
      <c r="V34" s="276" t="str">
        <f t="shared" si="12"/>
        <v>--</v>
      </c>
      <c r="W34" s="277" t="str">
        <f t="shared" si="13"/>
        <v>--</v>
      </c>
      <c r="X34" s="278" t="str">
        <f t="shared" si="14"/>
        <v>--</v>
      </c>
      <c r="Y34" s="133">
        <f t="shared" si="15"/>
      </c>
      <c r="Z34" s="134">
        <f t="shared" si="16"/>
      </c>
      <c r="AA34" s="135"/>
    </row>
    <row r="35" spans="2:27" ht="16.5" customHeight="1">
      <c r="B35" s="82"/>
      <c r="C35" s="124"/>
      <c r="D35" s="136"/>
      <c r="E35" s="125"/>
      <c r="F35" s="126"/>
      <c r="G35" s="127">
        <f t="shared" si="0"/>
        <v>0</v>
      </c>
      <c r="H35" s="128"/>
      <c r="I35" s="128"/>
      <c r="J35" s="129">
        <f t="shared" si="1"/>
      </c>
      <c r="K35" s="130">
        <f t="shared" si="2"/>
      </c>
      <c r="L35" s="131"/>
      <c r="M35" s="131">
        <f t="shared" si="3"/>
      </c>
      <c r="N35" s="132">
        <f t="shared" si="4"/>
      </c>
      <c r="O35" s="269" t="str">
        <f t="shared" si="5"/>
        <v>--</v>
      </c>
      <c r="P35" s="270" t="str">
        <f t="shared" si="6"/>
        <v>--</v>
      </c>
      <c r="Q35" s="271" t="str">
        <f t="shared" si="7"/>
        <v>--</v>
      </c>
      <c r="R35" s="272" t="str">
        <f t="shared" si="8"/>
        <v>--</v>
      </c>
      <c r="S35" s="273" t="str">
        <f t="shared" si="9"/>
        <v>--</v>
      </c>
      <c r="T35" s="274" t="str">
        <f t="shared" si="10"/>
        <v>--</v>
      </c>
      <c r="U35" s="275" t="str">
        <f t="shared" si="11"/>
        <v>--</v>
      </c>
      <c r="V35" s="276" t="str">
        <f t="shared" si="12"/>
        <v>--</v>
      </c>
      <c r="W35" s="277" t="str">
        <f t="shared" si="13"/>
        <v>--</v>
      </c>
      <c r="X35" s="278" t="str">
        <f t="shared" si="14"/>
        <v>--</v>
      </c>
      <c r="Y35" s="133">
        <f t="shared" si="15"/>
      </c>
      <c r="Z35" s="134">
        <f t="shared" si="16"/>
      </c>
      <c r="AA35" s="135"/>
    </row>
    <row r="36" spans="2:27" ht="16.5" customHeight="1">
      <c r="B36" s="82"/>
      <c r="C36" s="124"/>
      <c r="D36" s="136"/>
      <c r="E36" s="125"/>
      <c r="F36" s="126"/>
      <c r="G36" s="127">
        <f t="shared" si="0"/>
        <v>0</v>
      </c>
      <c r="H36" s="128"/>
      <c r="I36" s="128"/>
      <c r="J36" s="129">
        <f t="shared" si="1"/>
      </c>
      <c r="K36" s="130">
        <f t="shared" si="2"/>
      </c>
      <c r="L36" s="131"/>
      <c r="M36" s="131">
        <f t="shared" si="3"/>
      </c>
      <c r="N36" s="132">
        <f t="shared" si="4"/>
      </c>
      <c r="O36" s="269" t="str">
        <f t="shared" si="5"/>
        <v>--</v>
      </c>
      <c r="P36" s="270" t="str">
        <f t="shared" si="6"/>
        <v>--</v>
      </c>
      <c r="Q36" s="271" t="str">
        <f t="shared" si="7"/>
        <v>--</v>
      </c>
      <c r="R36" s="272" t="str">
        <f t="shared" si="8"/>
        <v>--</v>
      </c>
      <c r="S36" s="273" t="str">
        <f t="shared" si="9"/>
        <v>--</v>
      </c>
      <c r="T36" s="274" t="str">
        <f t="shared" si="10"/>
        <v>--</v>
      </c>
      <c r="U36" s="275" t="str">
        <f t="shared" si="11"/>
        <v>--</v>
      </c>
      <c r="V36" s="276" t="str">
        <f t="shared" si="12"/>
        <v>--</v>
      </c>
      <c r="W36" s="277" t="str">
        <f t="shared" si="13"/>
        <v>--</v>
      </c>
      <c r="X36" s="278" t="str">
        <f t="shared" si="14"/>
        <v>--</v>
      </c>
      <c r="Y36" s="133">
        <f t="shared" si="15"/>
      </c>
      <c r="Z36" s="134">
        <f t="shared" si="16"/>
      </c>
      <c r="AA36" s="135"/>
    </row>
    <row r="37" spans="2:27" ht="16.5" customHeight="1">
      <c r="B37" s="82"/>
      <c r="C37" s="124"/>
      <c r="D37" s="136"/>
      <c r="E37" s="125"/>
      <c r="F37" s="126"/>
      <c r="G37" s="127">
        <f t="shared" si="0"/>
        <v>0</v>
      </c>
      <c r="H37" s="128"/>
      <c r="I37" s="128"/>
      <c r="J37" s="129">
        <f t="shared" si="1"/>
      </c>
      <c r="K37" s="130">
        <f t="shared" si="2"/>
      </c>
      <c r="L37" s="131"/>
      <c r="M37" s="131">
        <f t="shared" si="3"/>
      </c>
      <c r="N37" s="132">
        <f t="shared" si="4"/>
      </c>
      <c r="O37" s="269" t="str">
        <f t="shared" si="5"/>
        <v>--</v>
      </c>
      <c r="P37" s="270" t="str">
        <f t="shared" si="6"/>
        <v>--</v>
      </c>
      <c r="Q37" s="271" t="str">
        <f t="shared" si="7"/>
        <v>--</v>
      </c>
      <c r="R37" s="272" t="str">
        <f t="shared" si="8"/>
        <v>--</v>
      </c>
      <c r="S37" s="273" t="str">
        <f t="shared" si="9"/>
        <v>--</v>
      </c>
      <c r="T37" s="274" t="str">
        <f t="shared" si="10"/>
        <v>--</v>
      </c>
      <c r="U37" s="275" t="str">
        <f t="shared" si="11"/>
        <v>--</v>
      </c>
      <c r="V37" s="276" t="str">
        <f t="shared" si="12"/>
        <v>--</v>
      </c>
      <c r="W37" s="277" t="str">
        <f t="shared" si="13"/>
        <v>--</v>
      </c>
      <c r="X37" s="278" t="str">
        <f t="shared" si="14"/>
        <v>--</v>
      </c>
      <c r="Y37" s="133">
        <f t="shared" si="15"/>
      </c>
      <c r="Z37" s="134">
        <f t="shared" si="16"/>
      </c>
      <c r="AA37" s="135"/>
    </row>
    <row r="38" spans="2:27" ht="16.5" customHeight="1">
      <c r="B38" s="82"/>
      <c r="C38" s="124"/>
      <c r="D38" s="136"/>
      <c r="E38" s="125"/>
      <c r="F38" s="126"/>
      <c r="G38" s="127">
        <f t="shared" si="0"/>
        <v>0</v>
      </c>
      <c r="H38" s="128"/>
      <c r="I38" s="128"/>
      <c r="J38" s="129">
        <f t="shared" si="1"/>
      </c>
      <c r="K38" s="130">
        <f t="shared" si="2"/>
      </c>
      <c r="L38" s="131"/>
      <c r="M38" s="131">
        <f t="shared" si="3"/>
      </c>
      <c r="N38" s="132">
        <f t="shared" si="4"/>
      </c>
      <c r="O38" s="269" t="str">
        <f t="shared" si="5"/>
        <v>--</v>
      </c>
      <c r="P38" s="270" t="str">
        <f t="shared" si="6"/>
        <v>--</v>
      </c>
      <c r="Q38" s="271" t="str">
        <f t="shared" si="7"/>
        <v>--</v>
      </c>
      <c r="R38" s="272" t="str">
        <f t="shared" si="8"/>
        <v>--</v>
      </c>
      <c r="S38" s="273" t="str">
        <f t="shared" si="9"/>
        <v>--</v>
      </c>
      <c r="T38" s="274" t="str">
        <f t="shared" si="10"/>
        <v>--</v>
      </c>
      <c r="U38" s="275" t="str">
        <f t="shared" si="11"/>
        <v>--</v>
      </c>
      <c r="V38" s="276" t="str">
        <f t="shared" si="12"/>
        <v>--</v>
      </c>
      <c r="W38" s="277" t="str">
        <f t="shared" si="13"/>
        <v>--</v>
      </c>
      <c r="X38" s="278" t="str">
        <f t="shared" si="14"/>
        <v>--</v>
      </c>
      <c r="Y38" s="133">
        <f t="shared" si="15"/>
      </c>
      <c r="Z38" s="134">
        <f t="shared" si="16"/>
      </c>
      <c r="AA38" s="135"/>
    </row>
    <row r="39" spans="2:27" ht="16.5" customHeight="1" thickBot="1">
      <c r="B39" s="82"/>
      <c r="C39" s="137"/>
      <c r="D39" s="138"/>
      <c r="E39" s="137"/>
      <c r="F39" s="139"/>
      <c r="G39" s="140"/>
      <c r="H39" s="141"/>
      <c r="I39" s="141"/>
      <c r="J39" s="142"/>
      <c r="K39" s="142"/>
      <c r="L39" s="141"/>
      <c r="M39" s="141"/>
      <c r="N39" s="143"/>
      <c r="O39" s="279"/>
      <c r="P39" s="280"/>
      <c r="Q39" s="281"/>
      <c r="R39" s="282"/>
      <c r="S39" s="283"/>
      <c r="T39" s="284"/>
      <c r="U39" s="285"/>
      <c r="V39" s="286"/>
      <c r="W39" s="287"/>
      <c r="X39" s="288"/>
      <c r="Y39" s="144"/>
      <c r="Z39" s="145"/>
      <c r="AA39" s="135"/>
    </row>
    <row r="40" spans="2:27" ht="16.5" customHeight="1" thickBot="1" thickTop="1">
      <c r="B40" s="82"/>
      <c r="C40" s="267" t="s">
        <v>82</v>
      </c>
      <c r="D40" s="146" t="s">
        <v>97</v>
      </c>
      <c r="E40" s="93"/>
      <c r="F40" s="147"/>
      <c r="G40" s="148"/>
      <c r="H40" s="148"/>
      <c r="I40" s="148"/>
      <c r="J40" s="148"/>
      <c r="K40" s="148"/>
      <c r="L40" s="148"/>
      <c r="M40" s="148"/>
      <c r="N40" s="149"/>
      <c r="O40" s="150"/>
      <c r="P40" s="150"/>
      <c r="Q40" s="151"/>
      <c r="R40" s="151"/>
      <c r="S40" s="152"/>
      <c r="T40" s="151"/>
      <c r="U40" s="151"/>
      <c r="V40" s="152"/>
      <c r="W40" s="152"/>
      <c r="X40" s="152"/>
      <c r="Y40" s="153"/>
      <c r="Z40" s="429">
        <f>ROUND(SUM(Z17:Z39),2)</f>
        <v>33.29</v>
      </c>
      <c r="AA40" s="135"/>
    </row>
    <row r="41" spans="2:27" s="154" customFormat="1" ht="9.75" thickTop="1">
      <c r="B41" s="155"/>
      <c r="C41" s="268"/>
      <c r="D41" s="156"/>
      <c r="AA41" s="157"/>
    </row>
    <row r="42" spans="2:27" ht="16.5" customHeight="1" thickBot="1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60"/>
    </row>
    <row r="43" ht="13.5" thickTop="1"/>
    <row r="52" ht="12.75">
      <c r="H52" s="161"/>
    </row>
    <row r="53" ht="12.75">
      <c r="H53" s="161"/>
    </row>
    <row r="54" ht="12.75">
      <c r="H54" s="161"/>
    </row>
    <row r="55" spans="8:9" ht="12.75">
      <c r="H55" s="162"/>
      <c r="I55" s="163"/>
    </row>
    <row r="56" ht="12.75">
      <c r="H56" s="16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46"/>
  <sheetViews>
    <sheetView zoomScale="75" zoomScaleNormal="75" workbookViewId="0" topLeftCell="A1">
      <selection activeCell="AA22" sqref="AA22:AA25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6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6" width="10.421875" style="76" bestFit="1" customWidth="1"/>
    <col min="17" max="17" width="12.28125" style="76" hidden="1" customWidth="1"/>
    <col min="18" max="18" width="13.421875" style="76" hidden="1" customWidth="1"/>
    <col min="19" max="20" width="8.421875" style="76" hidden="1" customWidth="1"/>
    <col min="21" max="22" width="9.57421875" style="76" hidden="1" customWidth="1"/>
    <col min="23" max="23" width="12.28125" style="76" hidden="1" customWidth="1"/>
    <col min="24" max="24" width="13.421875" style="76" hidden="1" customWidth="1"/>
    <col min="25" max="25" width="9.28125" style="76" hidden="1" customWidth="1"/>
    <col min="26" max="27" width="15.7109375" style="76" customWidth="1"/>
    <col min="28" max="28" width="21.421875" style="76" customWidth="1"/>
    <col min="29" max="16384" width="11.421875" style="76" customWidth="1"/>
  </cols>
  <sheetData>
    <row r="1" spans="2:28" s="73" customFormat="1" ht="26.25">
      <c r="B1" s="74"/>
      <c r="AB1" s="228"/>
    </row>
    <row r="2" spans="2:28" s="73" customFormat="1" ht="26.25">
      <c r="B2" s="229" t="str">
        <f>+'tot-0904'!B2</f>
        <v>ANEXO I al Memorandum D.T.E.E. N° 829 /2010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ht="12.75">
      <c r="B3" s="77"/>
    </row>
    <row r="4" spans="1:3" s="78" customFormat="1" ht="11.25">
      <c r="A4" s="10" t="s">
        <v>27</v>
      </c>
      <c r="B4" s="230"/>
      <c r="C4" s="289"/>
    </row>
    <row r="5" spans="1:3" s="78" customFormat="1" ht="11.25">
      <c r="A5" s="10" t="s">
        <v>28</v>
      </c>
      <c r="B5" s="230"/>
      <c r="C5" s="289"/>
    </row>
    <row r="6" ht="13.5" thickBot="1"/>
    <row r="7" spans="2:28" ht="13.5" thickTop="1"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</row>
    <row r="8" spans="2:28" s="293" customFormat="1" ht="20.25">
      <c r="B8" s="294"/>
      <c r="C8" s="164"/>
      <c r="D8" s="84" t="s">
        <v>114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295"/>
    </row>
    <row r="9" spans="2:28" ht="12.75">
      <c r="B9" s="296"/>
      <c r="C9" s="165"/>
      <c r="D9" s="165"/>
      <c r="E9" s="297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298"/>
    </row>
    <row r="10" spans="2:28" s="293" customFormat="1" ht="20.25">
      <c r="B10" s="294"/>
      <c r="C10" s="164"/>
      <c r="D10" s="84" t="s">
        <v>58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295"/>
    </row>
    <row r="11" spans="2:28" ht="12.75">
      <c r="B11" s="296"/>
      <c r="C11" s="165"/>
      <c r="D11" s="297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298"/>
    </row>
    <row r="12" spans="2:28" s="293" customFormat="1" ht="20.25">
      <c r="B12" s="294"/>
      <c r="C12" s="164"/>
      <c r="D12" s="299" t="s">
        <v>59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295"/>
    </row>
    <row r="13" spans="2:28" ht="12.75">
      <c r="B13" s="296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298"/>
    </row>
    <row r="14" spans="2:28" s="88" customFormat="1" ht="19.5">
      <c r="B14" s="300" t="str">
        <f>+'tot-0904'!B14</f>
        <v>Desde el 01 al 30 de abril de 2009</v>
      </c>
      <c r="C14" s="301"/>
      <c r="D14" s="302"/>
      <c r="E14" s="302"/>
      <c r="F14" s="302"/>
      <c r="G14" s="302"/>
      <c r="H14" s="302"/>
      <c r="I14" s="90"/>
      <c r="J14" s="302"/>
      <c r="K14" s="302"/>
      <c r="L14" s="302"/>
      <c r="M14" s="302"/>
      <c r="N14" s="302"/>
      <c r="O14" s="302"/>
      <c r="P14" s="165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3"/>
    </row>
    <row r="15" spans="2:28" ht="16.5" thickBot="1">
      <c r="B15" s="296"/>
      <c r="C15" s="165"/>
      <c r="D15" s="165"/>
      <c r="E15" s="165"/>
      <c r="F15" s="165"/>
      <c r="G15" s="207"/>
      <c r="H15" s="165"/>
      <c r="I15" s="304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298"/>
    </row>
    <row r="16" spans="2:28" ht="14.25" thickBot="1" thickTop="1">
      <c r="B16" s="296"/>
      <c r="C16" s="305"/>
      <c r="D16" s="166" t="s">
        <v>60</v>
      </c>
      <c r="E16" s="167"/>
      <c r="F16" s="306"/>
      <c r="G16" s="307">
        <v>0.479</v>
      </c>
      <c r="H16" s="305"/>
      <c r="I16" s="305"/>
      <c r="J16" s="308"/>
      <c r="K16" s="308"/>
      <c r="L16" s="308"/>
      <c r="M16" s="309"/>
      <c r="N16" s="309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298"/>
    </row>
    <row r="17" spans="2:28" ht="14.25" thickBot="1" thickTop="1">
      <c r="B17" s="296"/>
      <c r="C17" s="305"/>
      <c r="D17" s="168" t="s">
        <v>61</v>
      </c>
      <c r="E17" s="169"/>
      <c r="F17" s="169"/>
      <c r="G17" s="310">
        <f>30*'tot-0904'!B13</f>
        <v>30</v>
      </c>
      <c r="H17" s="305"/>
      <c r="I17" s="100" t="str">
        <f>IF(G17=30," ",IF(G17=60,"    Coeficiente duplicado por tasa de falla &gt;4 Sal. x año/100 km.","   REVISAR COEFICIENTE"))</f>
        <v> </v>
      </c>
      <c r="J17" s="305"/>
      <c r="K17" s="305"/>
      <c r="L17" s="305"/>
      <c r="M17" s="305"/>
      <c r="N17" s="305"/>
      <c r="O17" s="305" t="s">
        <v>62</v>
      </c>
      <c r="P17" s="305"/>
      <c r="Q17" s="305"/>
      <c r="R17" s="305"/>
      <c r="S17" s="305"/>
      <c r="T17" s="311"/>
      <c r="U17" s="305"/>
      <c r="V17" s="311"/>
      <c r="W17" s="311"/>
      <c r="X17" s="311"/>
      <c r="Y17" s="311"/>
      <c r="Z17" s="311"/>
      <c r="AA17" s="305"/>
      <c r="AB17" s="298"/>
    </row>
    <row r="18" spans="2:28" ht="16.5" customHeight="1" thickBot="1" thickTop="1">
      <c r="B18" s="296"/>
      <c r="C18" s="305"/>
      <c r="D18" s="305"/>
      <c r="E18" s="305"/>
      <c r="F18" s="305"/>
      <c r="G18" s="170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298"/>
    </row>
    <row r="19" spans="2:28" s="315" customFormat="1" ht="34.5" customHeight="1" thickBot="1" thickTop="1">
      <c r="B19" s="312"/>
      <c r="C19" s="172" t="s">
        <v>40</v>
      </c>
      <c r="D19" s="171" t="s">
        <v>63</v>
      </c>
      <c r="E19" s="172" t="s">
        <v>64</v>
      </c>
      <c r="F19" s="173" t="s">
        <v>65</v>
      </c>
      <c r="G19" s="171" t="s">
        <v>66</v>
      </c>
      <c r="H19" s="110" t="s">
        <v>43</v>
      </c>
      <c r="I19" s="171" t="s">
        <v>44</v>
      </c>
      <c r="J19" s="171" t="s">
        <v>45</v>
      </c>
      <c r="K19" s="171" t="s">
        <v>67</v>
      </c>
      <c r="L19" s="171" t="s">
        <v>68</v>
      </c>
      <c r="M19" s="112" t="s">
        <v>81</v>
      </c>
      <c r="N19" s="175" t="s">
        <v>49</v>
      </c>
      <c r="O19" s="174" t="s">
        <v>48</v>
      </c>
      <c r="P19" s="384" t="s">
        <v>91</v>
      </c>
      <c r="Q19" s="379" t="s">
        <v>90</v>
      </c>
      <c r="R19" s="420" t="s">
        <v>50</v>
      </c>
      <c r="S19" s="415" t="s">
        <v>51</v>
      </c>
      <c r="T19" s="405" t="s">
        <v>69</v>
      </c>
      <c r="U19" s="406"/>
      <c r="V19" s="397" t="s">
        <v>70</v>
      </c>
      <c r="W19" s="398"/>
      <c r="X19" s="313" t="s">
        <v>71</v>
      </c>
      <c r="Y19" s="424" t="s">
        <v>72</v>
      </c>
      <c r="Z19" s="171" t="s">
        <v>73</v>
      </c>
      <c r="AA19" s="171" t="s">
        <v>57</v>
      </c>
      <c r="AB19" s="314"/>
    </row>
    <row r="20" spans="2:28" ht="16.5" customHeight="1" hidden="1" thickTop="1">
      <c r="B20" s="296"/>
      <c r="C20" s="316"/>
      <c r="D20" s="316"/>
      <c r="E20" s="316"/>
      <c r="F20" s="316"/>
      <c r="G20" s="317"/>
      <c r="H20" s="176"/>
      <c r="I20" s="316"/>
      <c r="J20" s="316"/>
      <c r="K20" s="316"/>
      <c r="L20" s="316"/>
      <c r="M20" s="316"/>
      <c r="N20" s="316"/>
      <c r="O20" s="316"/>
      <c r="P20" s="385"/>
      <c r="Q20" s="380"/>
      <c r="R20" s="421"/>
      <c r="S20" s="416"/>
      <c r="T20" s="407"/>
      <c r="U20" s="408"/>
      <c r="V20" s="399"/>
      <c r="W20" s="400"/>
      <c r="X20" s="318"/>
      <c r="Y20" s="425"/>
      <c r="Z20" s="316"/>
      <c r="AA20" s="250"/>
      <c r="AB20" s="85"/>
    </row>
    <row r="21" spans="2:28" ht="16.5" customHeight="1" thickTop="1">
      <c r="B21" s="296"/>
      <c r="C21" s="177"/>
      <c r="D21" s="177"/>
      <c r="E21" s="177"/>
      <c r="F21" s="177"/>
      <c r="G21" s="177"/>
      <c r="H21" s="178"/>
      <c r="I21" s="177"/>
      <c r="J21" s="179"/>
      <c r="K21" s="319"/>
      <c r="L21" s="319"/>
      <c r="M21" s="179"/>
      <c r="N21" s="179"/>
      <c r="O21" s="179"/>
      <c r="P21" s="386"/>
      <c r="Q21" s="381"/>
      <c r="R21" s="422"/>
      <c r="S21" s="417"/>
      <c r="T21" s="409"/>
      <c r="U21" s="410"/>
      <c r="V21" s="401"/>
      <c r="W21" s="402"/>
      <c r="X21" s="320"/>
      <c r="Y21" s="426"/>
      <c r="Z21" s="319"/>
      <c r="AA21" s="319"/>
      <c r="AB21" s="85"/>
    </row>
    <row r="22" spans="2:28" ht="16.5" customHeight="1">
      <c r="B22" s="296"/>
      <c r="C22" s="177">
        <v>3</v>
      </c>
      <c r="D22" s="389" t="s">
        <v>7</v>
      </c>
      <c r="E22" s="389" t="s">
        <v>6</v>
      </c>
      <c r="F22" s="389">
        <v>15</v>
      </c>
      <c r="G22" s="389" t="s">
        <v>4</v>
      </c>
      <c r="H22" s="184">
        <f aca="true" t="shared" si="0" ref="H22:H42">F22*$G$16</f>
        <v>7.185</v>
      </c>
      <c r="I22" s="185">
        <v>39916.3875</v>
      </c>
      <c r="J22" s="185">
        <v>39916.43263888889</v>
      </c>
      <c r="K22" s="186">
        <f aca="true" t="shared" si="1" ref="K22:K42">IF(I22="","",(J22-I22)*24)</f>
        <v>1.0833333333721384</v>
      </c>
      <c r="L22" s="187">
        <f aca="true" t="shared" si="2" ref="L22:L42">IF(J22="","",ROUND((J22-I22)*24*60,0))</f>
        <v>65</v>
      </c>
      <c r="M22" s="188" t="s">
        <v>93</v>
      </c>
      <c r="N22" s="188" t="str">
        <f aca="true" t="shared" si="3" ref="N22:N42">IF(M22="","",IF(OR(M22="P",M22="RP"),"--","NO"))</f>
        <v>--</v>
      </c>
      <c r="O22" s="189" t="str">
        <f aca="true" t="shared" si="4" ref="O22:O42">IF(D22="","","--")</f>
        <v>--</v>
      </c>
      <c r="P22" s="387" t="s">
        <v>94</v>
      </c>
      <c r="Q22" s="382">
        <f aca="true" t="shared" si="5" ref="Q22:Q42">$G$17*IF(P22="SI",1,0.1)*IF(OR(M22="P",M22="RP"),0.1,1)</f>
        <v>0.30000000000000004</v>
      </c>
      <c r="R22" s="393">
        <f aca="true" t="shared" si="6" ref="R22:R42">IF(M22="P",H22*Q22*ROUND(L22/60,2),"--")</f>
        <v>2.327940000000001</v>
      </c>
      <c r="S22" s="418" t="str">
        <f aca="true" t="shared" si="7" ref="S22:S42">IF(M22="RP",H22*Q22*O22/100*ROUND(L22/60,2),"--")</f>
        <v>--</v>
      </c>
      <c r="T22" s="411" t="str">
        <f aca="true" t="shared" si="8" ref="T22:T42">IF(AND(M22="F",N22="NO"),H22*Q22,"--")</f>
        <v>--</v>
      </c>
      <c r="U22" s="412" t="str">
        <f aca="true" t="shared" si="9" ref="U22:U42">IF(M22="F",H22*Q22*ROUND(L22/60,2),"--")</f>
        <v>--</v>
      </c>
      <c r="V22" s="394" t="str">
        <f aca="true" t="shared" si="10" ref="V22:V42">IF(AND(M22="R",N22="NO"),H22*Q22*O22/100,"--")</f>
        <v>--</v>
      </c>
      <c r="W22" s="395" t="str">
        <f aca="true" t="shared" si="11" ref="W22:W42">IF(M22="R",H22*Q22*ROUND(L22/60,2)*O22/100,"--")</f>
        <v>--</v>
      </c>
      <c r="X22" s="396" t="str">
        <f aca="true" t="shared" si="12" ref="X22:X42">IF(M22="RF",H22*Q22*ROUND(L22/60,2),"--")</f>
        <v>--</v>
      </c>
      <c r="Y22" s="427" t="str">
        <f aca="true" t="shared" si="13" ref="Y22:Y42">IF(M22="RR",H22*Q22*ROUND(L22/60,2)*O22/100,"--")</f>
        <v>--</v>
      </c>
      <c r="Z22" s="321" t="str">
        <f aca="true" t="shared" si="14" ref="Z22:Z42">IF(D22="","","SI")</f>
        <v>SI</v>
      </c>
      <c r="AA22" s="392">
        <f aca="true" t="shared" si="15" ref="AA22:AA42">IF(D22="","",SUM(R22:Y22)*IF(Z22="SI",1,2))</f>
        <v>2.327940000000001</v>
      </c>
      <c r="AB22" s="135"/>
    </row>
    <row r="23" spans="2:28" ht="16.5" customHeight="1">
      <c r="B23" s="296"/>
      <c r="C23" s="177">
        <v>4</v>
      </c>
      <c r="D23" s="389" t="s">
        <v>15</v>
      </c>
      <c r="E23" s="389" t="s">
        <v>6</v>
      </c>
      <c r="F23" s="389">
        <v>15</v>
      </c>
      <c r="G23" s="389" t="s">
        <v>99</v>
      </c>
      <c r="H23" s="184">
        <f>F23*$G$16</f>
        <v>7.185</v>
      </c>
      <c r="I23" s="185">
        <v>39922.33819444444</v>
      </c>
      <c r="J23" s="185">
        <v>39922.56597222222</v>
      </c>
      <c r="K23" s="186">
        <f>IF(I23="","",(J23-I23)*24)</f>
        <v>5.466666666674428</v>
      </c>
      <c r="L23" s="187">
        <f>IF(J23="","",ROUND((J23-I23)*24*60,0))</f>
        <v>328</v>
      </c>
      <c r="M23" s="188" t="s">
        <v>93</v>
      </c>
      <c r="N23" s="188" t="str">
        <f t="shared" si="3"/>
        <v>--</v>
      </c>
      <c r="O23" s="189" t="str">
        <f t="shared" si="4"/>
        <v>--</v>
      </c>
      <c r="P23" s="387" t="s">
        <v>94</v>
      </c>
      <c r="Q23" s="382">
        <f>$G$17*IF(P23="SI",1,0.1)*IF(OR(M23="P",M23="RP"),0.1,1)</f>
        <v>0.30000000000000004</v>
      </c>
      <c r="R23" s="393">
        <f>IF(M23="P",H23*Q23*ROUND(L23/60,2),"--")</f>
        <v>11.790585000000002</v>
      </c>
      <c r="S23" s="418" t="str">
        <f>IF(M23="RP",H23*Q23*O23/100*ROUND(L23/60,2),"--")</f>
        <v>--</v>
      </c>
      <c r="T23" s="411" t="str">
        <f>IF(AND(M23="F",N23="NO"),H23*Q23,"--")</f>
        <v>--</v>
      </c>
      <c r="U23" s="412" t="str">
        <f>IF(M23="F",H23*Q23*ROUND(L23/60,2),"--")</f>
        <v>--</v>
      </c>
      <c r="V23" s="394" t="str">
        <f>IF(AND(M23="R",N23="NO"),H23*Q23*O23/100,"--")</f>
        <v>--</v>
      </c>
      <c r="W23" s="395" t="str">
        <f>IF(M23="R",H23*Q23*ROUND(L23/60,2)*O23/100,"--")</f>
        <v>--</v>
      </c>
      <c r="X23" s="396" t="str">
        <f>IF(M23="RF",H23*Q23*ROUND(L23/60,2),"--")</f>
        <v>--</v>
      </c>
      <c r="Y23" s="427" t="str">
        <f>IF(M23="RR",H23*Q23*ROUND(L23/60,2)*O23/100,"--")</f>
        <v>--</v>
      </c>
      <c r="Z23" s="321" t="str">
        <f>IF(D23="","","SI")</f>
        <v>SI</v>
      </c>
      <c r="AA23" s="392">
        <f>IF(D23="","",SUM(R23:Y23)*IF(Z23="SI",1,2))</f>
        <v>11.790585000000002</v>
      </c>
      <c r="AB23" s="135"/>
    </row>
    <row r="24" spans="2:28" ht="16.5" customHeight="1">
      <c r="B24" s="296"/>
      <c r="C24" s="177">
        <v>5</v>
      </c>
      <c r="D24" s="389" t="s">
        <v>8</v>
      </c>
      <c r="E24" s="389" t="s">
        <v>5</v>
      </c>
      <c r="F24" s="389">
        <v>15</v>
      </c>
      <c r="G24" s="389" t="s">
        <v>4</v>
      </c>
      <c r="H24" s="184">
        <f t="shared" si="0"/>
        <v>7.185</v>
      </c>
      <c r="I24" s="185">
        <v>39925.399305555555</v>
      </c>
      <c r="J24" s="185">
        <v>39925.60138888889</v>
      </c>
      <c r="K24" s="186">
        <f t="shared" si="1"/>
        <v>4.850000000093132</v>
      </c>
      <c r="L24" s="187">
        <f t="shared" si="2"/>
        <v>291</v>
      </c>
      <c r="M24" s="188" t="s">
        <v>95</v>
      </c>
      <c r="N24" s="188" t="str">
        <f t="shared" si="3"/>
        <v>--</v>
      </c>
      <c r="O24" s="189">
        <v>60</v>
      </c>
      <c r="P24" s="387" t="s">
        <v>94</v>
      </c>
      <c r="Q24" s="382">
        <f t="shared" si="5"/>
        <v>0.30000000000000004</v>
      </c>
      <c r="R24" s="393" t="str">
        <f t="shared" si="6"/>
        <v>--</v>
      </c>
      <c r="S24" s="418">
        <f t="shared" si="7"/>
        <v>6.272505</v>
      </c>
      <c r="T24" s="411" t="str">
        <f t="shared" si="8"/>
        <v>--</v>
      </c>
      <c r="U24" s="412" t="str">
        <f t="shared" si="9"/>
        <v>--</v>
      </c>
      <c r="V24" s="394" t="str">
        <f t="shared" si="10"/>
        <v>--</v>
      </c>
      <c r="W24" s="395" t="str">
        <f t="shared" si="11"/>
        <v>--</v>
      </c>
      <c r="X24" s="396" t="str">
        <f t="shared" si="12"/>
        <v>--</v>
      </c>
      <c r="Y24" s="427" t="str">
        <f t="shared" si="13"/>
        <v>--</v>
      </c>
      <c r="Z24" s="321" t="str">
        <f t="shared" si="14"/>
        <v>SI</v>
      </c>
      <c r="AA24" s="392">
        <f t="shared" si="15"/>
        <v>6.272505</v>
      </c>
      <c r="AB24" s="135"/>
    </row>
    <row r="25" spans="2:28" ht="16.5" customHeight="1">
      <c r="B25" s="296"/>
      <c r="C25" s="177">
        <v>6</v>
      </c>
      <c r="D25" s="389" t="s">
        <v>85</v>
      </c>
      <c r="E25" s="389" t="s">
        <v>9</v>
      </c>
      <c r="F25" s="389">
        <v>40</v>
      </c>
      <c r="G25" s="389" t="s">
        <v>4</v>
      </c>
      <c r="H25" s="184">
        <f t="shared" si="0"/>
        <v>19.16</v>
      </c>
      <c r="I25" s="185">
        <v>39928.51666666667</v>
      </c>
      <c r="J25" s="185">
        <v>39929.47708333333</v>
      </c>
      <c r="K25" s="186">
        <f t="shared" si="1"/>
        <v>23.049999999871943</v>
      </c>
      <c r="L25" s="187">
        <f t="shared" si="2"/>
        <v>1383</v>
      </c>
      <c r="M25" s="188" t="s">
        <v>96</v>
      </c>
      <c r="N25" s="188" t="str">
        <f t="shared" si="3"/>
        <v>NO</v>
      </c>
      <c r="O25" s="189" t="str">
        <f t="shared" si="4"/>
        <v>--</v>
      </c>
      <c r="P25" s="387" t="s">
        <v>94</v>
      </c>
      <c r="Q25" s="382">
        <f t="shared" si="5"/>
        <v>3</v>
      </c>
      <c r="R25" s="393" t="str">
        <f t="shared" si="6"/>
        <v>--</v>
      </c>
      <c r="S25" s="418" t="str">
        <f t="shared" si="7"/>
        <v>--</v>
      </c>
      <c r="T25" s="411">
        <f t="shared" si="8"/>
        <v>57.480000000000004</v>
      </c>
      <c r="U25" s="412">
        <f t="shared" si="9"/>
        <v>1324.9140000000002</v>
      </c>
      <c r="V25" s="394" t="str">
        <f t="shared" si="10"/>
        <v>--</v>
      </c>
      <c r="W25" s="395" t="str">
        <f t="shared" si="11"/>
        <v>--</v>
      </c>
      <c r="X25" s="396" t="str">
        <f t="shared" si="12"/>
        <v>--</v>
      </c>
      <c r="Y25" s="427" t="str">
        <f t="shared" si="13"/>
        <v>--</v>
      </c>
      <c r="Z25" s="321" t="str">
        <f t="shared" si="14"/>
        <v>SI</v>
      </c>
      <c r="AA25" s="392">
        <f t="shared" si="15"/>
        <v>1382.3940000000002</v>
      </c>
      <c r="AB25" s="135"/>
    </row>
    <row r="26" spans="2:28" ht="16.5" customHeight="1">
      <c r="B26" s="296"/>
      <c r="C26" s="177"/>
      <c r="D26" s="389"/>
      <c r="E26" s="389"/>
      <c r="F26" s="389"/>
      <c r="G26" s="389"/>
      <c r="H26" s="184">
        <f t="shared" si="0"/>
        <v>0</v>
      </c>
      <c r="I26" s="185"/>
      <c r="J26" s="185"/>
      <c r="K26" s="186">
        <f t="shared" si="1"/>
      </c>
      <c r="L26" s="187">
        <f t="shared" si="2"/>
      </c>
      <c r="M26" s="188"/>
      <c r="N26" s="188">
        <f t="shared" si="3"/>
      </c>
      <c r="O26" s="189">
        <f t="shared" si="4"/>
      </c>
      <c r="P26" s="387"/>
      <c r="Q26" s="382">
        <f t="shared" si="5"/>
        <v>3</v>
      </c>
      <c r="R26" s="393" t="str">
        <f t="shared" si="6"/>
        <v>--</v>
      </c>
      <c r="S26" s="418" t="str">
        <f t="shared" si="7"/>
        <v>--</v>
      </c>
      <c r="T26" s="411" t="str">
        <f t="shared" si="8"/>
        <v>--</v>
      </c>
      <c r="U26" s="412" t="str">
        <f t="shared" si="9"/>
        <v>--</v>
      </c>
      <c r="V26" s="394" t="str">
        <f t="shared" si="10"/>
        <v>--</v>
      </c>
      <c r="W26" s="395" t="str">
        <f t="shared" si="11"/>
        <v>--</v>
      </c>
      <c r="X26" s="396" t="str">
        <f t="shared" si="12"/>
        <v>--</v>
      </c>
      <c r="Y26" s="427" t="str">
        <f t="shared" si="13"/>
        <v>--</v>
      </c>
      <c r="Z26" s="321">
        <f t="shared" si="14"/>
      </c>
      <c r="AA26" s="392">
        <f t="shared" si="15"/>
      </c>
      <c r="AB26" s="135"/>
    </row>
    <row r="27" spans="2:28" ht="16.5" customHeight="1">
      <c r="B27" s="296"/>
      <c r="C27" s="177"/>
      <c r="D27" s="390"/>
      <c r="E27" s="181"/>
      <c r="F27" s="181"/>
      <c r="G27" s="391"/>
      <c r="H27" s="184">
        <f t="shared" si="0"/>
        <v>0</v>
      </c>
      <c r="I27" s="185"/>
      <c r="J27" s="185"/>
      <c r="K27" s="186">
        <f t="shared" si="1"/>
      </c>
      <c r="L27" s="187">
        <f t="shared" si="2"/>
      </c>
      <c r="M27" s="188"/>
      <c r="N27" s="188">
        <f t="shared" si="3"/>
      </c>
      <c r="O27" s="189">
        <f t="shared" si="4"/>
      </c>
      <c r="P27" s="387"/>
      <c r="Q27" s="382">
        <f t="shared" si="5"/>
        <v>3</v>
      </c>
      <c r="R27" s="393" t="str">
        <f t="shared" si="6"/>
        <v>--</v>
      </c>
      <c r="S27" s="418" t="str">
        <f t="shared" si="7"/>
        <v>--</v>
      </c>
      <c r="T27" s="411" t="str">
        <f t="shared" si="8"/>
        <v>--</v>
      </c>
      <c r="U27" s="412" t="str">
        <f t="shared" si="9"/>
        <v>--</v>
      </c>
      <c r="V27" s="394" t="str">
        <f t="shared" si="10"/>
        <v>--</v>
      </c>
      <c r="W27" s="395" t="str">
        <f t="shared" si="11"/>
        <v>--</v>
      </c>
      <c r="X27" s="396" t="str">
        <f t="shared" si="12"/>
        <v>--</v>
      </c>
      <c r="Y27" s="427" t="str">
        <f t="shared" si="13"/>
        <v>--</v>
      </c>
      <c r="Z27" s="321">
        <f t="shared" si="14"/>
      </c>
      <c r="AA27" s="392">
        <f t="shared" si="15"/>
      </c>
      <c r="AB27" s="135"/>
    </row>
    <row r="28" spans="2:28" ht="16.5" customHeight="1">
      <c r="B28" s="296"/>
      <c r="C28" s="177"/>
      <c r="D28" s="180"/>
      <c r="E28" s="181"/>
      <c r="F28" s="181"/>
      <c r="G28" s="183"/>
      <c r="H28" s="184">
        <f t="shared" si="0"/>
        <v>0</v>
      </c>
      <c r="I28" s="185"/>
      <c r="J28" s="185"/>
      <c r="K28" s="186">
        <f t="shared" si="1"/>
      </c>
      <c r="L28" s="187">
        <f t="shared" si="2"/>
      </c>
      <c r="M28" s="188"/>
      <c r="N28" s="188">
        <f t="shared" si="3"/>
      </c>
      <c r="O28" s="189">
        <f t="shared" si="4"/>
      </c>
      <c r="P28" s="387"/>
      <c r="Q28" s="382">
        <f t="shared" si="5"/>
        <v>3</v>
      </c>
      <c r="R28" s="393" t="str">
        <f t="shared" si="6"/>
        <v>--</v>
      </c>
      <c r="S28" s="418" t="str">
        <f t="shared" si="7"/>
        <v>--</v>
      </c>
      <c r="T28" s="411" t="str">
        <f t="shared" si="8"/>
        <v>--</v>
      </c>
      <c r="U28" s="412" t="str">
        <f t="shared" si="9"/>
        <v>--</v>
      </c>
      <c r="V28" s="394" t="str">
        <f t="shared" si="10"/>
        <v>--</v>
      </c>
      <c r="W28" s="395" t="str">
        <f t="shared" si="11"/>
        <v>--</v>
      </c>
      <c r="X28" s="396" t="str">
        <f t="shared" si="12"/>
        <v>--</v>
      </c>
      <c r="Y28" s="427" t="str">
        <f t="shared" si="13"/>
        <v>--</v>
      </c>
      <c r="Z28" s="321">
        <f t="shared" si="14"/>
      </c>
      <c r="AA28" s="392">
        <f t="shared" si="15"/>
      </c>
      <c r="AB28" s="135"/>
    </row>
    <row r="29" spans="2:28" ht="16.5" customHeight="1">
      <c r="B29" s="296"/>
      <c r="C29" s="177"/>
      <c r="D29" s="180"/>
      <c r="E29" s="181"/>
      <c r="F29" s="181"/>
      <c r="G29" s="183"/>
      <c r="H29" s="184">
        <f t="shared" si="0"/>
        <v>0</v>
      </c>
      <c r="I29" s="185"/>
      <c r="J29" s="185"/>
      <c r="K29" s="186">
        <f t="shared" si="1"/>
      </c>
      <c r="L29" s="187">
        <f t="shared" si="2"/>
      </c>
      <c r="M29" s="188"/>
      <c r="N29" s="188">
        <f t="shared" si="3"/>
      </c>
      <c r="O29" s="189">
        <f t="shared" si="4"/>
      </c>
      <c r="P29" s="387"/>
      <c r="Q29" s="382">
        <f t="shared" si="5"/>
        <v>3</v>
      </c>
      <c r="R29" s="393" t="str">
        <f t="shared" si="6"/>
        <v>--</v>
      </c>
      <c r="S29" s="418" t="str">
        <f t="shared" si="7"/>
        <v>--</v>
      </c>
      <c r="T29" s="411" t="str">
        <f t="shared" si="8"/>
        <v>--</v>
      </c>
      <c r="U29" s="412" t="str">
        <f t="shared" si="9"/>
        <v>--</v>
      </c>
      <c r="V29" s="394" t="str">
        <f t="shared" si="10"/>
        <v>--</v>
      </c>
      <c r="W29" s="395" t="str">
        <f t="shared" si="11"/>
        <v>--</v>
      </c>
      <c r="X29" s="396" t="str">
        <f t="shared" si="12"/>
        <v>--</v>
      </c>
      <c r="Y29" s="427" t="str">
        <f t="shared" si="13"/>
        <v>--</v>
      </c>
      <c r="Z29" s="321">
        <f t="shared" si="14"/>
      </c>
      <c r="AA29" s="392">
        <f t="shared" si="15"/>
      </c>
      <c r="AB29" s="135"/>
    </row>
    <row r="30" spans="2:28" ht="16.5" customHeight="1">
      <c r="B30" s="296"/>
      <c r="C30" s="177"/>
      <c r="D30" s="180"/>
      <c r="E30" s="181"/>
      <c r="F30" s="193"/>
      <c r="G30" s="194"/>
      <c r="H30" s="184">
        <f t="shared" si="0"/>
        <v>0</v>
      </c>
      <c r="I30" s="185"/>
      <c r="J30" s="185"/>
      <c r="K30" s="186">
        <f t="shared" si="1"/>
      </c>
      <c r="L30" s="187">
        <f t="shared" si="2"/>
      </c>
      <c r="M30" s="188"/>
      <c r="N30" s="188">
        <f t="shared" si="3"/>
      </c>
      <c r="O30" s="189">
        <f t="shared" si="4"/>
      </c>
      <c r="P30" s="387"/>
      <c r="Q30" s="382">
        <f t="shared" si="5"/>
        <v>3</v>
      </c>
      <c r="R30" s="393" t="str">
        <f t="shared" si="6"/>
        <v>--</v>
      </c>
      <c r="S30" s="418" t="str">
        <f t="shared" si="7"/>
        <v>--</v>
      </c>
      <c r="T30" s="411" t="str">
        <f t="shared" si="8"/>
        <v>--</v>
      </c>
      <c r="U30" s="412" t="str">
        <f t="shared" si="9"/>
        <v>--</v>
      </c>
      <c r="V30" s="394" t="str">
        <f t="shared" si="10"/>
        <v>--</v>
      </c>
      <c r="W30" s="395" t="str">
        <f t="shared" si="11"/>
        <v>--</v>
      </c>
      <c r="X30" s="396" t="str">
        <f t="shared" si="12"/>
        <v>--</v>
      </c>
      <c r="Y30" s="427" t="str">
        <f t="shared" si="13"/>
        <v>--</v>
      </c>
      <c r="Z30" s="321">
        <f t="shared" si="14"/>
      </c>
      <c r="AA30" s="392">
        <f t="shared" si="15"/>
      </c>
      <c r="AB30" s="135"/>
    </row>
    <row r="31" spans="2:28" ht="16.5" customHeight="1">
      <c r="B31" s="296"/>
      <c r="C31" s="177"/>
      <c r="D31" s="180"/>
      <c r="E31" s="181"/>
      <c r="F31" s="193"/>
      <c r="G31" s="194"/>
      <c r="H31" s="184">
        <f t="shared" si="0"/>
        <v>0</v>
      </c>
      <c r="I31" s="185"/>
      <c r="J31" s="185"/>
      <c r="K31" s="186">
        <f t="shared" si="1"/>
      </c>
      <c r="L31" s="187">
        <f t="shared" si="2"/>
      </c>
      <c r="M31" s="188"/>
      <c r="N31" s="188">
        <f t="shared" si="3"/>
      </c>
      <c r="O31" s="189">
        <f t="shared" si="4"/>
      </c>
      <c r="P31" s="387"/>
      <c r="Q31" s="382">
        <f t="shared" si="5"/>
        <v>3</v>
      </c>
      <c r="R31" s="393" t="str">
        <f t="shared" si="6"/>
        <v>--</v>
      </c>
      <c r="S31" s="418" t="str">
        <f t="shared" si="7"/>
        <v>--</v>
      </c>
      <c r="T31" s="411" t="str">
        <f t="shared" si="8"/>
        <v>--</v>
      </c>
      <c r="U31" s="412" t="str">
        <f t="shared" si="9"/>
        <v>--</v>
      </c>
      <c r="V31" s="394" t="str">
        <f t="shared" si="10"/>
        <v>--</v>
      </c>
      <c r="W31" s="395" t="str">
        <f t="shared" si="11"/>
        <v>--</v>
      </c>
      <c r="X31" s="396" t="str">
        <f t="shared" si="12"/>
        <v>--</v>
      </c>
      <c r="Y31" s="427" t="str">
        <f t="shared" si="13"/>
        <v>--</v>
      </c>
      <c r="Z31" s="321">
        <f t="shared" si="14"/>
      </c>
      <c r="AA31" s="392">
        <f t="shared" si="15"/>
      </c>
      <c r="AB31" s="135"/>
    </row>
    <row r="32" spans="2:28" ht="16.5" customHeight="1">
      <c r="B32" s="296"/>
      <c r="C32" s="177"/>
      <c r="D32" s="180"/>
      <c r="E32" s="181"/>
      <c r="F32" s="193"/>
      <c r="G32" s="194"/>
      <c r="H32" s="184">
        <f t="shared" si="0"/>
        <v>0</v>
      </c>
      <c r="I32" s="185"/>
      <c r="J32" s="185"/>
      <c r="K32" s="186">
        <f t="shared" si="1"/>
      </c>
      <c r="L32" s="187">
        <f t="shared" si="2"/>
      </c>
      <c r="M32" s="188"/>
      <c r="N32" s="188">
        <f t="shared" si="3"/>
      </c>
      <c r="O32" s="189">
        <f t="shared" si="4"/>
      </c>
      <c r="P32" s="387"/>
      <c r="Q32" s="382">
        <f t="shared" si="5"/>
        <v>3</v>
      </c>
      <c r="R32" s="393" t="str">
        <f t="shared" si="6"/>
        <v>--</v>
      </c>
      <c r="S32" s="418" t="str">
        <f t="shared" si="7"/>
        <v>--</v>
      </c>
      <c r="T32" s="411" t="str">
        <f t="shared" si="8"/>
        <v>--</v>
      </c>
      <c r="U32" s="412" t="str">
        <f t="shared" si="9"/>
        <v>--</v>
      </c>
      <c r="V32" s="394" t="str">
        <f t="shared" si="10"/>
        <v>--</v>
      </c>
      <c r="W32" s="395" t="str">
        <f t="shared" si="11"/>
        <v>--</v>
      </c>
      <c r="X32" s="396" t="str">
        <f t="shared" si="12"/>
        <v>--</v>
      </c>
      <c r="Y32" s="427" t="str">
        <f t="shared" si="13"/>
        <v>--</v>
      </c>
      <c r="Z32" s="321">
        <f t="shared" si="14"/>
      </c>
      <c r="AA32" s="392">
        <f t="shared" si="15"/>
      </c>
      <c r="AB32" s="135"/>
    </row>
    <row r="33" spans="2:28" ht="16.5" customHeight="1">
      <c r="B33" s="296"/>
      <c r="C33" s="177"/>
      <c r="D33" s="180"/>
      <c r="E33" s="181"/>
      <c r="F33" s="193"/>
      <c r="G33" s="194"/>
      <c r="H33" s="184">
        <f t="shared" si="0"/>
        <v>0</v>
      </c>
      <c r="I33" s="185"/>
      <c r="J33" s="185"/>
      <c r="K33" s="186">
        <f t="shared" si="1"/>
      </c>
      <c r="L33" s="187">
        <f t="shared" si="2"/>
      </c>
      <c r="M33" s="188"/>
      <c r="N33" s="188">
        <f t="shared" si="3"/>
      </c>
      <c r="O33" s="189">
        <f t="shared" si="4"/>
      </c>
      <c r="P33" s="387"/>
      <c r="Q33" s="382">
        <f t="shared" si="5"/>
        <v>3</v>
      </c>
      <c r="R33" s="393" t="str">
        <f t="shared" si="6"/>
        <v>--</v>
      </c>
      <c r="S33" s="418" t="str">
        <f t="shared" si="7"/>
        <v>--</v>
      </c>
      <c r="T33" s="411" t="str">
        <f t="shared" si="8"/>
        <v>--</v>
      </c>
      <c r="U33" s="412" t="str">
        <f t="shared" si="9"/>
        <v>--</v>
      </c>
      <c r="V33" s="394" t="str">
        <f t="shared" si="10"/>
        <v>--</v>
      </c>
      <c r="W33" s="395" t="str">
        <f t="shared" si="11"/>
        <v>--</v>
      </c>
      <c r="X33" s="396" t="str">
        <f t="shared" si="12"/>
        <v>--</v>
      </c>
      <c r="Y33" s="427" t="str">
        <f t="shared" si="13"/>
        <v>--</v>
      </c>
      <c r="Z33" s="321">
        <f t="shared" si="14"/>
      </c>
      <c r="AA33" s="392">
        <f t="shared" si="15"/>
      </c>
      <c r="AB33" s="135"/>
    </row>
    <row r="34" spans="2:28" ht="16.5" customHeight="1">
      <c r="B34" s="296"/>
      <c r="C34" s="177"/>
      <c r="D34" s="180"/>
      <c r="E34" s="181"/>
      <c r="F34" s="193"/>
      <c r="G34" s="194"/>
      <c r="H34" s="184">
        <f t="shared" si="0"/>
        <v>0</v>
      </c>
      <c r="I34" s="185"/>
      <c r="J34" s="185"/>
      <c r="K34" s="186">
        <f t="shared" si="1"/>
      </c>
      <c r="L34" s="187">
        <f t="shared" si="2"/>
      </c>
      <c r="M34" s="188"/>
      <c r="N34" s="188">
        <f t="shared" si="3"/>
      </c>
      <c r="O34" s="189">
        <f t="shared" si="4"/>
      </c>
      <c r="P34" s="387"/>
      <c r="Q34" s="382">
        <f t="shared" si="5"/>
        <v>3</v>
      </c>
      <c r="R34" s="393" t="str">
        <f t="shared" si="6"/>
        <v>--</v>
      </c>
      <c r="S34" s="418" t="str">
        <f t="shared" si="7"/>
        <v>--</v>
      </c>
      <c r="T34" s="411" t="str">
        <f t="shared" si="8"/>
        <v>--</v>
      </c>
      <c r="U34" s="412" t="str">
        <f t="shared" si="9"/>
        <v>--</v>
      </c>
      <c r="V34" s="394" t="str">
        <f t="shared" si="10"/>
        <v>--</v>
      </c>
      <c r="W34" s="395" t="str">
        <f t="shared" si="11"/>
        <v>--</v>
      </c>
      <c r="X34" s="396" t="str">
        <f t="shared" si="12"/>
        <v>--</v>
      </c>
      <c r="Y34" s="427" t="str">
        <f t="shared" si="13"/>
        <v>--</v>
      </c>
      <c r="Z34" s="321">
        <f t="shared" si="14"/>
      </c>
      <c r="AA34" s="392">
        <f t="shared" si="15"/>
      </c>
      <c r="AB34" s="135"/>
    </row>
    <row r="35" spans="2:28" ht="16.5" customHeight="1">
      <c r="B35" s="296"/>
      <c r="C35" s="177"/>
      <c r="D35" s="180"/>
      <c r="E35" s="181"/>
      <c r="F35" s="193"/>
      <c r="G35" s="194"/>
      <c r="H35" s="184">
        <f t="shared" si="0"/>
        <v>0</v>
      </c>
      <c r="I35" s="185"/>
      <c r="J35" s="185"/>
      <c r="K35" s="186">
        <f t="shared" si="1"/>
      </c>
      <c r="L35" s="187">
        <f t="shared" si="2"/>
      </c>
      <c r="M35" s="188"/>
      <c r="N35" s="188">
        <f t="shared" si="3"/>
      </c>
      <c r="O35" s="189">
        <f t="shared" si="4"/>
      </c>
      <c r="P35" s="387"/>
      <c r="Q35" s="382">
        <f t="shared" si="5"/>
        <v>3</v>
      </c>
      <c r="R35" s="393" t="str">
        <f t="shared" si="6"/>
        <v>--</v>
      </c>
      <c r="S35" s="418" t="str">
        <f t="shared" si="7"/>
        <v>--</v>
      </c>
      <c r="T35" s="411" t="str">
        <f t="shared" si="8"/>
        <v>--</v>
      </c>
      <c r="U35" s="412" t="str">
        <f t="shared" si="9"/>
        <v>--</v>
      </c>
      <c r="V35" s="394" t="str">
        <f t="shared" si="10"/>
        <v>--</v>
      </c>
      <c r="W35" s="395" t="str">
        <f t="shared" si="11"/>
        <v>--</v>
      </c>
      <c r="X35" s="396" t="str">
        <f t="shared" si="12"/>
        <v>--</v>
      </c>
      <c r="Y35" s="427" t="str">
        <f t="shared" si="13"/>
        <v>--</v>
      </c>
      <c r="Z35" s="321">
        <f t="shared" si="14"/>
      </c>
      <c r="AA35" s="392">
        <f t="shared" si="15"/>
      </c>
      <c r="AB35" s="135"/>
    </row>
    <row r="36" spans="2:28" ht="16.5" customHeight="1">
      <c r="B36" s="296"/>
      <c r="C36" s="177"/>
      <c r="D36" s="180"/>
      <c r="E36" s="181"/>
      <c r="F36" s="193"/>
      <c r="G36" s="194"/>
      <c r="H36" s="184">
        <f t="shared" si="0"/>
        <v>0</v>
      </c>
      <c r="I36" s="185"/>
      <c r="J36" s="185"/>
      <c r="K36" s="186">
        <f t="shared" si="1"/>
      </c>
      <c r="L36" s="187">
        <f t="shared" si="2"/>
      </c>
      <c r="M36" s="188"/>
      <c r="N36" s="188">
        <f t="shared" si="3"/>
      </c>
      <c r="O36" s="189">
        <f t="shared" si="4"/>
      </c>
      <c r="P36" s="387"/>
      <c r="Q36" s="382">
        <f t="shared" si="5"/>
        <v>3</v>
      </c>
      <c r="R36" s="393" t="str">
        <f t="shared" si="6"/>
        <v>--</v>
      </c>
      <c r="S36" s="418" t="str">
        <f t="shared" si="7"/>
        <v>--</v>
      </c>
      <c r="T36" s="411" t="str">
        <f t="shared" si="8"/>
        <v>--</v>
      </c>
      <c r="U36" s="412" t="str">
        <f t="shared" si="9"/>
        <v>--</v>
      </c>
      <c r="V36" s="394" t="str">
        <f t="shared" si="10"/>
        <v>--</v>
      </c>
      <c r="W36" s="395" t="str">
        <f t="shared" si="11"/>
        <v>--</v>
      </c>
      <c r="X36" s="396" t="str">
        <f t="shared" si="12"/>
        <v>--</v>
      </c>
      <c r="Y36" s="427" t="str">
        <f t="shared" si="13"/>
        <v>--</v>
      </c>
      <c r="Z36" s="321">
        <f t="shared" si="14"/>
      </c>
      <c r="AA36" s="392">
        <f t="shared" si="15"/>
      </c>
      <c r="AB36" s="135"/>
    </row>
    <row r="37" spans="2:28" ht="16.5" customHeight="1">
      <c r="B37" s="296"/>
      <c r="C37" s="177"/>
      <c r="D37" s="180"/>
      <c r="E37" s="181"/>
      <c r="F37" s="193"/>
      <c r="G37" s="194"/>
      <c r="H37" s="184">
        <f t="shared" si="0"/>
        <v>0</v>
      </c>
      <c r="I37" s="185"/>
      <c r="J37" s="185"/>
      <c r="K37" s="186">
        <f t="shared" si="1"/>
      </c>
      <c r="L37" s="187">
        <f t="shared" si="2"/>
      </c>
      <c r="M37" s="188"/>
      <c r="N37" s="188">
        <f t="shared" si="3"/>
      </c>
      <c r="O37" s="189">
        <f t="shared" si="4"/>
      </c>
      <c r="P37" s="387"/>
      <c r="Q37" s="382">
        <f t="shared" si="5"/>
        <v>3</v>
      </c>
      <c r="R37" s="393" t="str">
        <f t="shared" si="6"/>
        <v>--</v>
      </c>
      <c r="S37" s="418" t="str">
        <f t="shared" si="7"/>
        <v>--</v>
      </c>
      <c r="T37" s="411" t="str">
        <f t="shared" si="8"/>
        <v>--</v>
      </c>
      <c r="U37" s="412" t="str">
        <f t="shared" si="9"/>
        <v>--</v>
      </c>
      <c r="V37" s="394" t="str">
        <f t="shared" si="10"/>
        <v>--</v>
      </c>
      <c r="W37" s="395" t="str">
        <f t="shared" si="11"/>
        <v>--</v>
      </c>
      <c r="X37" s="396" t="str">
        <f t="shared" si="12"/>
        <v>--</v>
      </c>
      <c r="Y37" s="427" t="str">
        <f t="shared" si="13"/>
        <v>--</v>
      </c>
      <c r="Z37" s="321">
        <f t="shared" si="14"/>
      </c>
      <c r="AA37" s="392">
        <f t="shared" si="15"/>
      </c>
      <c r="AB37" s="135"/>
    </row>
    <row r="38" spans="2:28" ht="16.5" customHeight="1">
      <c r="B38" s="296"/>
      <c r="C38" s="177"/>
      <c r="D38" s="180"/>
      <c r="E38" s="181"/>
      <c r="F38" s="193"/>
      <c r="G38" s="194"/>
      <c r="H38" s="184">
        <f t="shared" si="0"/>
        <v>0</v>
      </c>
      <c r="I38" s="185"/>
      <c r="J38" s="185"/>
      <c r="K38" s="186">
        <f t="shared" si="1"/>
      </c>
      <c r="L38" s="187">
        <f t="shared" si="2"/>
      </c>
      <c r="M38" s="188"/>
      <c r="N38" s="188">
        <f t="shared" si="3"/>
      </c>
      <c r="O38" s="189">
        <f t="shared" si="4"/>
      </c>
      <c r="P38" s="387"/>
      <c r="Q38" s="382">
        <f t="shared" si="5"/>
        <v>3</v>
      </c>
      <c r="R38" s="393" t="str">
        <f t="shared" si="6"/>
        <v>--</v>
      </c>
      <c r="S38" s="418" t="str">
        <f t="shared" si="7"/>
        <v>--</v>
      </c>
      <c r="T38" s="411" t="str">
        <f t="shared" si="8"/>
        <v>--</v>
      </c>
      <c r="U38" s="412" t="str">
        <f t="shared" si="9"/>
        <v>--</v>
      </c>
      <c r="V38" s="394" t="str">
        <f t="shared" si="10"/>
        <v>--</v>
      </c>
      <c r="W38" s="395" t="str">
        <f t="shared" si="11"/>
        <v>--</v>
      </c>
      <c r="X38" s="396" t="str">
        <f t="shared" si="12"/>
        <v>--</v>
      </c>
      <c r="Y38" s="427" t="str">
        <f t="shared" si="13"/>
        <v>--</v>
      </c>
      <c r="Z38" s="321">
        <f t="shared" si="14"/>
      </c>
      <c r="AA38" s="392">
        <f t="shared" si="15"/>
      </c>
      <c r="AB38" s="135"/>
    </row>
    <row r="39" spans="2:28" ht="16.5" customHeight="1">
      <c r="B39" s="296"/>
      <c r="C39" s="177"/>
      <c r="D39" s="180"/>
      <c r="E39" s="181"/>
      <c r="F39" s="193"/>
      <c r="G39" s="194"/>
      <c r="H39" s="184">
        <f t="shared" si="0"/>
        <v>0</v>
      </c>
      <c r="I39" s="185"/>
      <c r="J39" s="185"/>
      <c r="K39" s="186">
        <f t="shared" si="1"/>
      </c>
      <c r="L39" s="187">
        <f t="shared" si="2"/>
      </c>
      <c r="M39" s="188"/>
      <c r="N39" s="188">
        <f t="shared" si="3"/>
      </c>
      <c r="O39" s="189">
        <f t="shared" si="4"/>
      </c>
      <c r="P39" s="387"/>
      <c r="Q39" s="382">
        <f t="shared" si="5"/>
        <v>3</v>
      </c>
      <c r="R39" s="393" t="str">
        <f t="shared" si="6"/>
        <v>--</v>
      </c>
      <c r="S39" s="418" t="str">
        <f t="shared" si="7"/>
        <v>--</v>
      </c>
      <c r="T39" s="411" t="str">
        <f t="shared" si="8"/>
        <v>--</v>
      </c>
      <c r="U39" s="412" t="str">
        <f t="shared" si="9"/>
        <v>--</v>
      </c>
      <c r="V39" s="394" t="str">
        <f t="shared" si="10"/>
        <v>--</v>
      </c>
      <c r="W39" s="395" t="str">
        <f t="shared" si="11"/>
        <v>--</v>
      </c>
      <c r="X39" s="396" t="str">
        <f t="shared" si="12"/>
        <v>--</v>
      </c>
      <c r="Y39" s="427" t="str">
        <f t="shared" si="13"/>
        <v>--</v>
      </c>
      <c r="Z39" s="321">
        <f t="shared" si="14"/>
      </c>
      <c r="AA39" s="392">
        <f t="shared" si="15"/>
      </c>
      <c r="AB39" s="135"/>
    </row>
    <row r="40" spans="2:28" ht="16.5" customHeight="1">
      <c r="B40" s="296"/>
      <c r="C40" s="177"/>
      <c r="D40" s="180"/>
      <c r="E40" s="181"/>
      <c r="F40" s="182"/>
      <c r="G40" s="183"/>
      <c r="H40" s="184">
        <f t="shared" si="0"/>
        <v>0</v>
      </c>
      <c r="I40" s="185"/>
      <c r="J40" s="185"/>
      <c r="K40" s="186">
        <f t="shared" si="1"/>
      </c>
      <c r="L40" s="187">
        <f t="shared" si="2"/>
      </c>
      <c r="M40" s="188"/>
      <c r="N40" s="188">
        <f t="shared" si="3"/>
      </c>
      <c r="O40" s="189">
        <f t="shared" si="4"/>
      </c>
      <c r="P40" s="387"/>
      <c r="Q40" s="382">
        <f t="shared" si="5"/>
        <v>3</v>
      </c>
      <c r="R40" s="393" t="str">
        <f t="shared" si="6"/>
        <v>--</v>
      </c>
      <c r="S40" s="418" t="str">
        <f t="shared" si="7"/>
        <v>--</v>
      </c>
      <c r="T40" s="411" t="str">
        <f t="shared" si="8"/>
        <v>--</v>
      </c>
      <c r="U40" s="412" t="str">
        <f t="shared" si="9"/>
        <v>--</v>
      </c>
      <c r="V40" s="394" t="str">
        <f t="shared" si="10"/>
        <v>--</v>
      </c>
      <c r="W40" s="395" t="str">
        <f t="shared" si="11"/>
        <v>--</v>
      </c>
      <c r="X40" s="396" t="str">
        <f t="shared" si="12"/>
        <v>--</v>
      </c>
      <c r="Y40" s="427" t="str">
        <f t="shared" si="13"/>
        <v>--</v>
      </c>
      <c r="Z40" s="321">
        <f t="shared" si="14"/>
      </c>
      <c r="AA40" s="392">
        <f t="shared" si="15"/>
      </c>
      <c r="AB40" s="135"/>
    </row>
    <row r="41" spans="2:28" ht="16.5" customHeight="1">
      <c r="B41" s="296"/>
      <c r="C41" s="177"/>
      <c r="D41" s="180"/>
      <c r="E41" s="181"/>
      <c r="F41" s="190"/>
      <c r="G41" s="183"/>
      <c r="H41" s="184">
        <f t="shared" si="0"/>
        <v>0</v>
      </c>
      <c r="I41" s="185"/>
      <c r="J41" s="185"/>
      <c r="K41" s="186">
        <f t="shared" si="1"/>
      </c>
      <c r="L41" s="187">
        <f t="shared" si="2"/>
      </c>
      <c r="M41" s="188"/>
      <c r="N41" s="188">
        <f t="shared" si="3"/>
      </c>
      <c r="O41" s="189">
        <f t="shared" si="4"/>
      </c>
      <c r="P41" s="387"/>
      <c r="Q41" s="382">
        <f t="shared" si="5"/>
        <v>3</v>
      </c>
      <c r="R41" s="393" t="str">
        <f t="shared" si="6"/>
        <v>--</v>
      </c>
      <c r="S41" s="418" t="str">
        <f t="shared" si="7"/>
        <v>--</v>
      </c>
      <c r="T41" s="411" t="str">
        <f t="shared" si="8"/>
        <v>--</v>
      </c>
      <c r="U41" s="412" t="str">
        <f t="shared" si="9"/>
        <v>--</v>
      </c>
      <c r="V41" s="394" t="str">
        <f t="shared" si="10"/>
        <v>--</v>
      </c>
      <c r="W41" s="395" t="str">
        <f t="shared" si="11"/>
        <v>--</v>
      </c>
      <c r="X41" s="396" t="str">
        <f t="shared" si="12"/>
        <v>--</v>
      </c>
      <c r="Y41" s="427" t="str">
        <f t="shared" si="13"/>
        <v>--</v>
      </c>
      <c r="Z41" s="321">
        <f t="shared" si="14"/>
      </c>
      <c r="AA41" s="392">
        <f t="shared" si="15"/>
      </c>
      <c r="AB41" s="135"/>
    </row>
    <row r="42" spans="2:28" ht="16.5" customHeight="1">
      <c r="B42" s="296"/>
      <c r="C42" s="177"/>
      <c r="D42" s="180"/>
      <c r="E42" s="181"/>
      <c r="F42" s="191"/>
      <c r="G42" s="183"/>
      <c r="H42" s="184">
        <f t="shared" si="0"/>
        <v>0</v>
      </c>
      <c r="I42" s="185"/>
      <c r="J42" s="185"/>
      <c r="K42" s="186">
        <f t="shared" si="1"/>
      </c>
      <c r="L42" s="187">
        <f t="shared" si="2"/>
      </c>
      <c r="M42" s="188"/>
      <c r="N42" s="188">
        <f t="shared" si="3"/>
      </c>
      <c r="O42" s="189">
        <f t="shared" si="4"/>
      </c>
      <c r="P42" s="387"/>
      <c r="Q42" s="382">
        <f t="shared" si="5"/>
        <v>3</v>
      </c>
      <c r="R42" s="393" t="str">
        <f t="shared" si="6"/>
        <v>--</v>
      </c>
      <c r="S42" s="418" t="str">
        <f t="shared" si="7"/>
        <v>--</v>
      </c>
      <c r="T42" s="411" t="str">
        <f t="shared" si="8"/>
        <v>--</v>
      </c>
      <c r="U42" s="412" t="str">
        <f t="shared" si="9"/>
        <v>--</v>
      </c>
      <c r="V42" s="394" t="str">
        <f t="shared" si="10"/>
        <v>--</v>
      </c>
      <c r="W42" s="395" t="str">
        <f t="shared" si="11"/>
        <v>--</v>
      </c>
      <c r="X42" s="396" t="str">
        <f t="shared" si="12"/>
        <v>--</v>
      </c>
      <c r="Y42" s="427" t="str">
        <f t="shared" si="13"/>
        <v>--</v>
      </c>
      <c r="Z42" s="321">
        <f t="shared" si="14"/>
      </c>
      <c r="AA42" s="392">
        <f t="shared" si="15"/>
      </c>
      <c r="AB42" s="135"/>
    </row>
    <row r="43" spans="2:28" ht="16.5" customHeight="1" thickBot="1">
      <c r="B43" s="296"/>
      <c r="C43" s="195"/>
      <c r="D43" s="196"/>
      <c r="E43" s="197"/>
      <c r="F43" s="196"/>
      <c r="G43" s="198"/>
      <c r="H43" s="199"/>
      <c r="I43" s="200"/>
      <c r="J43" s="200"/>
      <c r="K43" s="201"/>
      <c r="L43" s="201"/>
      <c r="M43" s="200"/>
      <c r="N43" s="200"/>
      <c r="O43" s="202"/>
      <c r="P43" s="388"/>
      <c r="Q43" s="383"/>
      <c r="R43" s="423"/>
      <c r="S43" s="419"/>
      <c r="T43" s="413"/>
      <c r="U43" s="414"/>
      <c r="V43" s="403"/>
      <c r="W43" s="404"/>
      <c r="X43" s="203"/>
      <c r="Y43" s="428"/>
      <c r="Z43" s="201"/>
      <c r="AA43" s="322"/>
      <c r="AB43" s="135"/>
    </row>
    <row r="44" spans="2:28" ht="16.5" customHeight="1" thickBot="1" thickTop="1">
      <c r="B44" s="296"/>
      <c r="C44" s="267" t="s">
        <v>82</v>
      </c>
      <c r="D44" s="146" t="s">
        <v>98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430"/>
      <c r="Z44" s="165"/>
      <c r="AA44" s="323">
        <f>ROUND(SUM(AA20:AA43),2)</f>
        <v>1402.79</v>
      </c>
      <c r="AB44" s="135"/>
    </row>
    <row r="45" spans="2:28" s="154" customFormat="1" ht="9.75" thickTop="1">
      <c r="B45" s="324"/>
      <c r="C45" s="268"/>
      <c r="D45" s="156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6"/>
      <c r="AB45" s="157"/>
    </row>
    <row r="46" spans="2:28" ht="16.5" customHeight="1" thickBot="1">
      <c r="B46" s="327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9"/>
    </row>
    <row r="47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U16381"/>
  <sheetViews>
    <sheetView zoomScale="75" zoomScaleNormal="75" workbookViewId="0" topLeftCell="A2">
      <selection activeCell="T21" sqref="T21:T39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5.7109375" style="76" customWidth="1"/>
    <col min="6" max="6" width="8.7109375" style="76" customWidth="1"/>
    <col min="7" max="7" width="7.0039062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0" width="13.140625" style="76" bestFit="1" customWidth="1"/>
    <col min="21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28"/>
    </row>
    <row r="2" spans="2:21" s="73" customFormat="1" ht="26.25">
      <c r="B2" s="229" t="str">
        <f>+'tot-0904'!B2</f>
        <v>ANEXO I al Memorandum D.T.E.E. N° 829 /2010</v>
      </c>
      <c r="C2" s="330"/>
      <c r="D2" s="330"/>
      <c r="E2" s="75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27</v>
      </c>
      <c r="B4" s="230"/>
      <c r="C4" s="331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</row>
    <row r="5" spans="1:20" s="78" customFormat="1" ht="11.25">
      <c r="A5" s="10" t="s">
        <v>28</v>
      </c>
      <c r="B5" s="230"/>
      <c r="C5" s="331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81"/>
    </row>
    <row r="8" spans="2:21" s="293" customFormat="1" ht="20.25">
      <c r="B8" s="294"/>
      <c r="C8" s="164"/>
      <c r="D8" s="84" t="s">
        <v>114</v>
      </c>
      <c r="L8" s="333"/>
      <c r="M8" s="333"/>
      <c r="N8" s="333"/>
      <c r="O8" s="164"/>
      <c r="P8" s="164"/>
      <c r="Q8" s="164"/>
      <c r="R8" s="164"/>
      <c r="S8" s="164"/>
      <c r="T8" s="164"/>
      <c r="U8" s="334"/>
    </row>
    <row r="9" spans="2:21" ht="12.75">
      <c r="B9" s="29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293" customFormat="1" ht="20.25">
      <c r="B10" s="294"/>
      <c r="C10" s="164"/>
      <c r="D10" s="86" t="s">
        <v>74</v>
      </c>
      <c r="E10" s="204"/>
      <c r="F10" s="333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34"/>
    </row>
    <row r="11" spans="2:21" ht="12.75">
      <c r="B11" s="296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0" t="str">
        <f>+'tot-0904'!B14</f>
        <v>Desde el 01 al 30 de abril de 2009</v>
      </c>
      <c r="C12" s="301"/>
      <c r="D12" s="302"/>
      <c r="E12" s="302"/>
      <c r="F12" s="302"/>
      <c r="G12" s="335"/>
      <c r="H12" s="90"/>
      <c r="I12" s="335"/>
      <c r="J12" s="335"/>
      <c r="K12" s="335"/>
      <c r="L12" s="302"/>
      <c r="M12" s="302"/>
      <c r="N12" s="302"/>
      <c r="O12" s="302"/>
      <c r="P12" s="302"/>
      <c r="Q12" s="302"/>
      <c r="R12" s="302"/>
      <c r="S12" s="302"/>
      <c r="T12" s="302"/>
      <c r="U12" s="92"/>
    </row>
    <row r="13" spans="2:21" ht="16.5" thickBot="1">
      <c r="B13" s="296"/>
      <c r="C13" s="165"/>
      <c r="D13" s="165"/>
      <c r="E13" s="165"/>
      <c r="F13" s="207"/>
      <c r="G13" s="77"/>
      <c r="H13" s="304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296"/>
      <c r="C14" s="305"/>
      <c r="D14" s="205" t="s">
        <v>75</v>
      </c>
      <c r="E14" s="206">
        <v>6.345</v>
      </c>
      <c r="F14" s="307">
        <f>50*'tot-0904'!B13</f>
        <v>50</v>
      </c>
      <c r="G14" s="336"/>
      <c r="H14" s="100" t="str">
        <f>IF(F14=50," ",IF(F14=100,"  Coeficiente duplicado por tasa de falla &gt;4 Sal. x año/100 km.","REVISAR COEFICIENTE"))</f>
        <v> </v>
      </c>
      <c r="I14" s="336"/>
      <c r="J14" s="336"/>
      <c r="K14" s="336"/>
      <c r="L14" s="336"/>
      <c r="M14" s="336"/>
      <c r="N14" s="336"/>
      <c r="O14" s="336"/>
      <c r="P14" s="336"/>
      <c r="Q14" s="305"/>
      <c r="R14" s="305"/>
      <c r="S14" s="337"/>
      <c r="T14" s="305"/>
      <c r="U14" s="85"/>
    </row>
    <row r="15" spans="2:21" ht="16.5" customHeight="1" thickBot="1" thickTop="1">
      <c r="B15" s="296"/>
      <c r="C15" s="305"/>
      <c r="D15" s="205" t="s">
        <v>76</v>
      </c>
      <c r="E15" s="206">
        <v>4.759</v>
      </c>
      <c r="F15" s="307">
        <f>25*'tot-0904'!B13</f>
        <v>25</v>
      </c>
      <c r="G15" s="336"/>
      <c r="H15" s="100" t="str">
        <f>IF(F15=25," ",IF(F15=50,"  Coeficiente duplicado por tasa de falla &gt;4 Sal. x año/100 km.","REVISAR COEFICIENTE"))</f>
        <v> </v>
      </c>
      <c r="I15" s="336"/>
      <c r="J15" s="336"/>
      <c r="K15" s="336"/>
      <c r="L15" s="336"/>
      <c r="M15" s="305"/>
      <c r="N15" s="305"/>
      <c r="O15" s="338"/>
      <c r="P15" s="170"/>
      <c r="Q15" s="305"/>
      <c r="R15" s="305"/>
      <c r="S15" s="337"/>
      <c r="T15" s="305"/>
      <c r="U15" s="85"/>
    </row>
    <row r="16" spans="2:21" ht="16.5" customHeight="1" thickBot="1" thickTop="1">
      <c r="B16" s="296"/>
      <c r="C16" s="305"/>
      <c r="D16" s="205" t="s">
        <v>77</v>
      </c>
      <c r="E16" s="339">
        <v>4.759</v>
      </c>
      <c r="F16" s="307">
        <f>20*'tot-0904'!B13</f>
        <v>20</v>
      </c>
      <c r="G16" s="336"/>
      <c r="H16" s="100" t="str">
        <f>IF(F16=20," ",IF(F16=40,"  Coeficiente duplicado por tasa de falla &gt;4 Sal. x año/100 km.","REVISAR COEFICIENTE"))</f>
        <v> </v>
      </c>
      <c r="I16" s="336"/>
      <c r="J16" s="336"/>
      <c r="K16" s="336"/>
      <c r="L16" s="336"/>
      <c r="M16" s="305"/>
      <c r="N16" s="305"/>
      <c r="O16" s="338"/>
      <c r="P16" s="170"/>
      <c r="Q16" s="305"/>
      <c r="R16" s="305"/>
      <c r="S16" s="337"/>
      <c r="T16" s="305"/>
      <c r="U16" s="85"/>
    </row>
    <row r="17" spans="2:21" ht="16.5" customHeight="1" thickBot="1" thickTop="1">
      <c r="B17" s="296"/>
      <c r="C17" s="165"/>
      <c r="D17" s="165"/>
      <c r="E17" s="165"/>
      <c r="F17" s="207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40"/>
      <c r="C18" s="172" t="s">
        <v>40</v>
      </c>
      <c r="D18" s="171" t="s">
        <v>78</v>
      </c>
      <c r="E18" s="208" t="s">
        <v>64</v>
      </c>
      <c r="F18" s="209" t="s">
        <v>41</v>
      </c>
      <c r="G18" s="210" t="s">
        <v>43</v>
      </c>
      <c r="H18" s="172" t="s">
        <v>44</v>
      </c>
      <c r="I18" s="208" t="s">
        <v>45</v>
      </c>
      <c r="J18" s="211" t="s">
        <v>67</v>
      </c>
      <c r="K18" s="211" t="s">
        <v>68</v>
      </c>
      <c r="L18" s="112" t="s">
        <v>81</v>
      </c>
      <c r="M18" s="172" t="s">
        <v>49</v>
      </c>
      <c r="N18" s="212" t="s">
        <v>79</v>
      </c>
      <c r="O18" s="341" t="s">
        <v>50</v>
      </c>
      <c r="P18" s="342" t="s">
        <v>80</v>
      </c>
      <c r="Q18" s="343"/>
      <c r="R18" s="344" t="s">
        <v>71</v>
      </c>
      <c r="S18" s="211" t="s">
        <v>56</v>
      </c>
      <c r="T18" s="171" t="s">
        <v>57</v>
      </c>
      <c r="U18" s="345"/>
    </row>
    <row r="19" spans="2:21" ht="16.5" customHeight="1" hidden="1" thickTop="1">
      <c r="B19" s="346"/>
      <c r="C19" s="347"/>
      <c r="D19" s="316"/>
      <c r="E19" s="348"/>
      <c r="F19" s="349"/>
      <c r="G19" s="350"/>
      <c r="H19" s="316"/>
      <c r="I19" s="316"/>
      <c r="J19" s="316"/>
      <c r="K19" s="316"/>
      <c r="L19" s="316"/>
      <c r="M19" s="316"/>
      <c r="N19" s="351"/>
      <c r="O19" s="352"/>
      <c r="P19" s="353"/>
      <c r="Q19" s="354"/>
      <c r="R19" s="355"/>
      <c r="S19" s="348"/>
      <c r="T19" s="250"/>
      <c r="U19" s="85"/>
    </row>
    <row r="20" spans="2:21" ht="16.5" customHeight="1" thickTop="1">
      <c r="B20" s="346"/>
      <c r="C20" s="432"/>
      <c r="D20" s="448"/>
      <c r="E20" s="433"/>
      <c r="F20" s="434"/>
      <c r="G20" s="435"/>
      <c r="H20" s="436"/>
      <c r="I20" s="437"/>
      <c r="J20" s="436"/>
      <c r="K20" s="437"/>
      <c r="L20" s="433"/>
      <c r="M20" s="436"/>
      <c r="N20" s="438"/>
      <c r="O20" s="439"/>
      <c r="P20" s="440"/>
      <c r="Q20" s="441"/>
      <c r="R20" s="442"/>
      <c r="S20" s="437"/>
      <c r="T20" s="443"/>
      <c r="U20" s="85"/>
    </row>
    <row r="21" spans="2:21" ht="16.5" customHeight="1">
      <c r="B21" s="346"/>
      <c r="C21" s="447">
        <v>7</v>
      </c>
      <c r="D21" s="445" t="s">
        <v>86</v>
      </c>
      <c r="E21" s="445" t="s">
        <v>87</v>
      </c>
      <c r="F21" s="449">
        <v>132</v>
      </c>
      <c r="G21" s="356">
        <f aca="true" t="shared" si="0" ref="G21:G40">IF(OR(F21=132,F21=66),$E$14,IF(F21=33,$E$15,$E$16))</f>
        <v>6.345</v>
      </c>
      <c r="H21" s="214">
        <v>39904.46875</v>
      </c>
      <c r="I21" s="214">
        <v>39904.60902777778</v>
      </c>
      <c r="J21" s="215">
        <f>IF(H21="","",(I21-H21)*24)</f>
        <v>3.366666666639503</v>
      </c>
      <c r="K21" s="216">
        <f>IF(I21="","",ROUND((I21-H21)*24*60,0))</f>
        <v>202</v>
      </c>
      <c r="L21" s="217" t="s">
        <v>93</v>
      </c>
      <c r="M21" s="218" t="str">
        <f aca="true" t="shared" si="1" ref="M21:M39">IF(L21="","",IF(OR(L21="P",L21="RP"),"--","NO"))</f>
        <v>--</v>
      </c>
      <c r="N21" s="357">
        <f>IF(OR(F21=132,F21=66),$F$14,IF(F21=33,$F$15,$F$16))</f>
        <v>50</v>
      </c>
      <c r="O21" s="358">
        <f>IF(L21="P",G21*N21*0.1*ROUND(K21/60,2),"--")</f>
        <v>106.91325</v>
      </c>
      <c r="P21" s="359" t="str">
        <f>IF(M21="NO",IF(L21="F",G21*N21,"--"),"--")</f>
        <v>--</v>
      </c>
      <c r="Q21" s="360" t="str">
        <f>IF(L21="F",G21*N21*ROUND(K21/60,2),"--")</f>
        <v>--</v>
      </c>
      <c r="R21" s="361" t="str">
        <f>IF(L21="RF",G21*N21*ROUND(K21/60,2),"--")</f>
        <v>--</v>
      </c>
      <c r="S21" s="362" t="str">
        <f>IF(D21="","","SI")</f>
        <v>SI</v>
      </c>
      <c r="T21" s="363">
        <f aca="true" t="shared" si="2" ref="T21:T39">IF(D21="","",IF(F21="500/220",0,IF(S21="SI",SUM(O21:R21),2*SUM(O21:R21))))</f>
        <v>106.91325</v>
      </c>
      <c r="U21" s="135"/>
    </row>
    <row r="22" spans="2:21" ht="16.5" customHeight="1">
      <c r="B22" s="346"/>
      <c r="C22" s="447">
        <v>8</v>
      </c>
      <c r="D22" s="444" t="s">
        <v>18</v>
      </c>
      <c r="E22" s="181" t="s">
        <v>23</v>
      </c>
      <c r="F22" s="450">
        <v>13.2</v>
      </c>
      <c r="G22" s="356">
        <f t="shared" si="0"/>
        <v>4.759</v>
      </c>
      <c r="H22" s="214">
        <v>39910.345138888886</v>
      </c>
      <c r="I22" s="214">
        <v>39910.42013888889</v>
      </c>
      <c r="J22" s="215">
        <f aca="true" t="shared" si="3" ref="J22:J39">IF(H22="","",(I22-H22)*24)</f>
        <v>1.8000000001047738</v>
      </c>
      <c r="K22" s="216">
        <f aca="true" t="shared" si="4" ref="K22:K39">IF(I22="","",ROUND((I22-H22)*24*60,0))</f>
        <v>108</v>
      </c>
      <c r="L22" s="217" t="s">
        <v>93</v>
      </c>
      <c r="M22" s="218" t="str">
        <f t="shared" si="1"/>
        <v>--</v>
      </c>
      <c r="N22" s="357">
        <f aca="true" t="shared" si="5" ref="N22:N39">IF(OR(F22=132,F22=66),$F$14,IF(F22=33,$F$15,$F$16))</f>
        <v>20</v>
      </c>
      <c r="O22" s="358">
        <f aca="true" t="shared" si="6" ref="O22:O40">IF(L22="P",G22*N22*0.1*ROUND(K22/60,2),"--")</f>
        <v>17.1324</v>
      </c>
      <c r="P22" s="359" t="str">
        <f aca="true" t="shared" si="7" ref="P22:P40">IF(M22="NO",IF(L22="F",G22*N22,"--"),"--")</f>
        <v>--</v>
      </c>
      <c r="Q22" s="360" t="str">
        <f aca="true" t="shared" si="8" ref="Q22:Q40">IF(L22="F",G22*N22*ROUND(K22/60,2),"--")</f>
        <v>--</v>
      </c>
      <c r="R22" s="361" t="str">
        <f aca="true" t="shared" si="9" ref="R22:R40">IF(L22="RF",G22*N22*ROUND(K22/60,2),"--")</f>
        <v>--</v>
      </c>
      <c r="S22" s="362" t="str">
        <f aca="true" t="shared" si="10" ref="S22:S39">IF(D22="","","SI")</f>
        <v>SI</v>
      </c>
      <c r="T22" s="363">
        <f t="shared" si="2"/>
        <v>17.1324</v>
      </c>
      <c r="U22" s="135"/>
    </row>
    <row r="23" spans="2:21" ht="16.5" customHeight="1">
      <c r="B23" s="346"/>
      <c r="C23" s="447">
        <v>9</v>
      </c>
      <c r="D23" s="192" t="s">
        <v>18</v>
      </c>
      <c r="E23" s="181" t="s">
        <v>26</v>
      </c>
      <c r="F23" s="450">
        <v>13.2</v>
      </c>
      <c r="G23" s="356">
        <f t="shared" si="0"/>
        <v>4.759</v>
      </c>
      <c r="H23" s="214">
        <v>39910.42361111111</v>
      </c>
      <c r="I23" s="214">
        <v>39910.51597222222</v>
      </c>
      <c r="J23" s="215">
        <f t="shared" si="3"/>
        <v>2.2166666667326353</v>
      </c>
      <c r="K23" s="216">
        <f t="shared" si="4"/>
        <v>133</v>
      </c>
      <c r="L23" s="217" t="s">
        <v>93</v>
      </c>
      <c r="M23" s="218" t="str">
        <f t="shared" si="1"/>
        <v>--</v>
      </c>
      <c r="N23" s="357">
        <f t="shared" si="5"/>
        <v>20</v>
      </c>
      <c r="O23" s="358">
        <f t="shared" si="6"/>
        <v>21.129960000000004</v>
      </c>
      <c r="P23" s="359" t="str">
        <f t="shared" si="7"/>
        <v>--</v>
      </c>
      <c r="Q23" s="360" t="str">
        <f t="shared" si="8"/>
        <v>--</v>
      </c>
      <c r="R23" s="361" t="str">
        <f t="shared" si="9"/>
        <v>--</v>
      </c>
      <c r="S23" s="362" t="str">
        <f t="shared" si="10"/>
        <v>SI</v>
      </c>
      <c r="T23" s="363">
        <f t="shared" si="2"/>
        <v>21.129960000000004</v>
      </c>
      <c r="U23" s="135"/>
    </row>
    <row r="24" spans="2:21" ht="16.5" customHeight="1">
      <c r="B24" s="346"/>
      <c r="C24" s="447">
        <v>10</v>
      </c>
      <c r="D24" s="192" t="s">
        <v>18</v>
      </c>
      <c r="E24" s="181" t="s">
        <v>24</v>
      </c>
      <c r="F24" s="450">
        <v>13.2</v>
      </c>
      <c r="G24" s="356">
        <f t="shared" si="0"/>
        <v>4.759</v>
      </c>
      <c r="H24" s="214">
        <v>39910.52222222222</v>
      </c>
      <c r="I24" s="214">
        <v>39910.64375</v>
      </c>
      <c r="J24" s="215">
        <f t="shared" si="3"/>
        <v>2.916666666744277</v>
      </c>
      <c r="K24" s="216">
        <f t="shared" si="4"/>
        <v>175</v>
      </c>
      <c r="L24" s="217" t="s">
        <v>93</v>
      </c>
      <c r="M24" s="218" t="str">
        <f t="shared" si="1"/>
        <v>--</v>
      </c>
      <c r="N24" s="357">
        <f t="shared" si="5"/>
        <v>20</v>
      </c>
      <c r="O24" s="358">
        <f t="shared" si="6"/>
        <v>27.79256</v>
      </c>
      <c r="P24" s="359" t="str">
        <f t="shared" si="7"/>
        <v>--</v>
      </c>
      <c r="Q24" s="360" t="str">
        <f t="shared" si="8"/>
        <v>--</v>
      </c>
      <c r="R24" s="361" t="str">
        <f t="shared" si="9"/>
        <v>--</v>
      </c>
      <c r="S24" s="362" t="str">
        <f t="shared" si="10"/>
        <v>SI</v>
      </c>
      <c r="T24" s="363">
        <f t="shared" si="2"/>
        <v>27.79256</v>
      </c>
      <c r="U24" s="135"/>
    </row>
    <row r="25" spans="2:21" ht="16.5" customHeight="1">
      <c r="B25" s="340"/>
      <c r="C25" s="447">
        <v>11</v>
      </c>
      <c r="D25" s="192" t="s">
        <v>18</v>
      </c>
      <c r="E25" s="181" t="s">
        <v>25</v>
      </c>
      <c r="F25" s="450">
        <v>13.2</v>
      </c>
      <c r="G25" s="356">
        <f t="shared" si="0"/>
        <v>4.759</v>
      </c>
      <c r="H25" s="214">
        <v>39910.649305555555</v>
      </c>
      <c r="I25" s="214">
        <v>39910.725694444445</v>
      </c>
      <c r="J25" s="215">
        <f t="shared" si="3"/>
        <v>1.8333333333721384</v>
      </c>
      <c r="K25" s="216">
        <f t="shared" si="4"/>
        <v>110</v>
      </c>
      <c r="L25" s="217" t="s">
        <v>93</v>
      </c>
      <c r="M25" s="218" t="str">
        <f t="shared" si="1"/>
        <v>--</v>
      </c>
      <c r="N25" s="357">
        <f t="shared" si="5"/>
        <v>20</v>
      </c>
      <c r="O25" s="358">
        <f t="shared" si="6"/>
        <v>17.41794</v>
      </c>
      <c r="P25" s="359" t="str">
        <f t="shared" si="7"/>
        <v>--</v>
      </c>
      <c r="Q25" s="360" t="str">
        <f t="shared" si="8"/>
        <v>--</v>
      </c>
      <c r="R25" s="361" t="str">
        <f t="shared" si="9"/>
        <v>--</v>
      </c>
      <c r="S25" s="362" t="str">
        <f t="shared" si="10"/>
        <v>SI</v>
      </c>
      <c r="T25" s="363">
        <f t="shared" si="2"/>
        <v>17.41794</v>
      </c>
      <c r="U25" s="135"/>
    </row>
    <row r="26" spans="2:21" ht="16.5" customHeight="1">
      <c r="B26" s="346"/>
      <c r="C26" s="447">
        <v>12</v>
      </c>
      <c r="D26" s="192" t="s">
        <v>12</v>
      </c>
      <c r="E26" s="181" t="s">
        <v>13</v>
      </c>
      <c r="F26" s="450">
        <v>132</v>
      </c>
      <c r="G26" s="356">
        <f t="shared" si="0"/>
        <v>6.345</v>
      </c>
      <c r="H26" s="214">
        <v>39916.38611111111</v>
      </c>
      <c r="I26" s="214">
        <v>39916.43402777778</v>
      </c>
      <c r="J26" s="215">
        <f t="shared" si="3"/>
        <v>1.1500000000814907</v>
      </c>
      <c r="K26" s="216">
        <f t="shared" si="4"/>
        <v>69</v>
      </c>
      <c r="L26" s="217" t="s">
        <v>93</v>
      </c>
      <c r="M26" s="218" t="str">
        <f>IF(L26="","",IF(OR(L26="P",L26="RP"),"--","NO"))</f>
        <v>--</v>
      </c>
      <c r="N26" s="357">
        <f t="shared" si="5"/>
        <v>50</v>
      </c>
      <c r="O26" s="358">
        <f>IF(L26="P",G26*N26*0.1*ROUND(K26/60,2),"--")</f>
        <v>36.48375</v>
      </c>
      <c r="P26" s="359" t="str">
        <f>IF(M26="NO",IF(L26="F",G26*N26,"--"),"--")</f>
        <v>--</v>
      </c>
      <c r="Q26" s="360" t="str">
        <f>IF(L26="F",G26*N26*ROUND(K26/60,2),"--")</f>
        <v>--</v>
      </c>
      <c r="R26" s="361" t="str">
        <f>IF(L26="RF",G26*N26*ROUND(K26/60,2),"--")</f>
        <v>--</v>
      </c>
      <c r="S26" s="362" t="str">
        <f t="shared" si="10"/>
        <v>SI</v>
      </c>
      <c r="T26" s="363">
        <f t="shared" si="2"/>
        <v>36.48375</v>
      </c>
      <c r="U26" s="135"/>
    </row>
    <row r="27" spans="2:21" ht="16.5" customHeight="1">
      <c r="B27" s="346"/>
      <c r="C27" s="447">
        <v>13</v>
      </c>
      <c r="D27" s="192" t="s">
        <v>12</v>
      </c>
      <c r="E27" s="181" t="s">
        <v>17</v>
      </c>
      <c r="F27" s="450">
        <v>13.2</v>
      </c>
      <c r="G27" s="356">
        <f t="shared" si="0"/>
        <v>4.759</v>
      </c>
      <c r="H27" s="214">
        <v>39916.3875</v>
      </c>
      <c r="I27" s="214">
        <v>39916.43263888889</v>
      </c>
      <c r="J27" s="215">
        <f t="shared" si="3"/>
        <v>1.0833333333721384</v>
      </c>
      <c r="K27" s="216">
        <f t="shared" si="4"/>
        <v>65</v>
      </c>
      <c r="L27" s="217" t="s">
        <v>93</v>
      </c>
      <c r="M27" s="218" t="str">
        <f>IF(L27="","",IF(OR(L27="P",L27="RP"),"--","NO"))</f>
        <v>--</v>
      </c>
      <c r="N27" s="357">
        <f t="shared" si="5"/>
        <v>20</v>
      </c>
      <c r="O27" s="358">
        <f>IF(L27="P",G27*N27*0.1*ROUND(K27/60,2),"--")</f>
        <v>10.279440000000001</v>
      </c>
      <c r="P27" s="359" t="str">
        <f>IF(M27="NO",IF(L27="F",G27*N27,"--"),"--")</f>
        <v>--</v>
      </c>
      <c r="Q27" s="360" t="str">
        <f>IF(L27="F",G27*N27*ROUND(K27/60,2),"--")</f>
        <v>--</v>
      </c>
      <c r="R27" s="361" t="str">
        <f>IF(L27="RF",G27*N27*ROUND(K27/60,2),"--")</f>
        <v>--</v>
      </c>
      <c r="S27" s="362" t="str">
        <f t="shared" si="10"/>
        <v>SI</v>
      </c>
      <c r="T27" s="363">
        <f t="shared" si="2"/>
        <v>10.279440000000001</v>
      </c>
      <c r="U27" s="135"/>
    </row>
    <row r="28" spans="2:21" ht="16.5" customHeight="1">
      <c r="B28" s="346"/>
      <c r="C28" s="447">
        <v>14</v>
      </c>
      <c r="D28" s="192" t="s">
        <v>12</v>
      </c>
      <c r="E28" s="181" t="s">
        <v>88</v>
      </c>
      <c r="F28" s="450">
        <v>13.2</v>
      </c>
      <c r="G28" s="356">
        <f t="shared" si="0"/>
        <v>4.759</v>
      </c>
      <c r="H28" s="214">
        <v>39916.3875</v>
      </c>
      <c r="I28" s="214">
        <v>39916.43263888889</v>
      </c>
      <c r="J28" s="215">
        <f t="shared" si="3"/>
        <v>1.0833333333721384</v>
      </c>
      <c r="K28" s="216">
        <f t="shared" si="4"/>
        <v>65</v>
      </c>
      <c r="L28" s="217" t="s">
        <v>93</v>
      </c>
      <c r="M28" s="218" t="str">
        <f t="shared" si="1"/>
        <v>--</v>
      </c>
      <c r="N28" s="357">
        <f t="shared" si="5"/>
        <v>20</v>
      </c>
      <c r="O28" s="358">
        <f t="shared" si="6"/>
        <v>10.279440000000001</v>
      </c>
      <c r="P28" s="359" t="str">
        <f t="shared" si="7"/>
        <v>--</v>
      </c>
      <c r="Q28" s="360" t="str">
        <f t="shared" si="8"/>
        <v>--</v>
      </c>
      <c r="R28" s="361" t="str">
        <f t="shared" si="9"/>
        <v>--</v>
      </c>
      <c r="S28" s="362" t="str">
        <f t="shared" si="10"/>
        <v>SI</v>
      </c>
      <c r="T28" s="363">
        <f t="shared" si="2"/>
        <v>10.279440000000001</v>
      </c>
      <c r="U28" s="135"/>
    </row>
    <row r="29" spans="2:21" ht="16.5" customHeight="1">
      <c r="B29" s="346"/>
      <c r="C29" s="447">
        <v>15</v>
      </c>
      <c r="D29" s="192" t="s">
        <v>12</v>
      </c>
      <c r="E29" s="181" t="s">
        <v>14</v>
      </c>
      <c r="F29" s="450">
        <v>33</v>
      </c>
      <c r="G29" s="356">
        <f t="shared" si="0"/>
        <v>4.759</v>
      </c>
      <c r="H29" s="214">
        <v>39916.3875</v>
      </c>
      <c r="I29" s="214">
        <v>39916.43263888889</v>
      </c>
      <c r="J29" s="215">
        <f t="shared" si="3"/>
        <v>1.0833333333721384</v>
      </c>
      <c r="K29" s="216">
        <f t="shared" si="4"/>
        <v>65</v>
      </c>
      <c r="L29" s="217" t="s">
        <v>93</v>
      </c>
      <c r="M29" s="218" t="str">
        <f>IF(L29="","",IF(OR(L29="P",L29="RP"),"--","NO"))</f>
        <v>--</v>
      </c>
      <c r="N29" s="357">
        <f t="shared" si="5"/>
        <v>25</v>
      </c>
      <c r="O29" s="358">
        <f>IF(L29="P",G29*N29*0.1*ROUND(K29/60,2),"--")</f>
        <v>12.849300000000001</v>
      </c>
      <c r="P29" s="359" t="str">
        <f>IF(M29="NO",IF(L29="F",G29*N29,"--"),"--")</f>
        <v>--</v>
      </c>
      <c r="Q29" s="360" t="str">
        <f>IF(L29="F",G29*N29*ROUND(K29/60,2),"--")</f>
        <v>--</v>
      </c>
      <c r="R29" s="361" t="str">
        <f>IF(L29="RF",G29*N29*ROUND(K29/60,2),"--")</f>
        <v>--</v>
      </c>
      <c r="S29" s="362" t="str">
        <f t="shared" si="10"/>
        <v>SI</v>
      </c>
      <c r="T29" s="363">
        <f t="shared" si="2"/>
        <v>12.849300000000001</v>
      </c>
      <c r="U29" s="135"/>
    </row>
    <row r="30" spans="2:21" ht="16.5" customHeight="1">
      <c r="B30" s="346"/>
      <c r="C30" s="447">
        <v>16</v>
      </c>
      <c r="D30" s="192" t="s">
        <v>12</v>
      </c>
      <c r="E30" s="181" t="s">
        <v>17</v>
      </c>
      <c r="F30" s="219">
        <v>33</v>
      </c>
      <c r="G30" s="356">
        <f t="shared" si="0"/>
        <v>4.759</v>
      </c>
      <c r="H30" s="214">
        <v>39916.3875</v>
      </c>
      <c r="I30" s="214">
        <v>39916.43263888889</v>
      </c>
      <c r="J30" s="215">
        <f t="shared" si="3"/>
        <v>1.0833333333721384</v>
      </c>
      <c r="K30" s="216">
        <f t="shared" si="4"/>
        <v>65</v>
      </c>
      <c r="L30" s="217" t="s">
        <v>93</v>
      </c>
      <c r="M30" s="218" t="str">
        <f>IF(L30="","",IF(OR(L30="P",L30="RP"),"--","NO"))</f>
        <v>--</v>
      </c>
      <c r="N30" s="357">
        <f t="shared" si="5"/>
        <v>25</v>
      </c>
      <c r="O30" s="358">
        <f>IF(L30="P",G30*N30*0.1*ROUND(K30/60,2),"--")</f>
        <v>12.849300000000001</v>
      </c>
      <c r="P30" s="359" t="str">
        <f>IF(M30="NO",IF(L30="F",G30*N30,"--"),"--")</f>
        <v>--</v>
      </c>
      <c r="Q30" s="360" t="str">
        <f>IF(L30="F",G30*N30*ROUND(K30/60,2),"--")</f>
        <v>--</v>
      </c>
      <c r="R30" s="361" t="str">
        <f>IF(L30="RF",G30*N30*ROUND(K30/60,2),"--")</f>
        <v>--</v>
      </c>
      <c r="S30" s="362" t="str">
        <f t="shared" si="10"/>
        <v>SI</v>
      </c>
      <c r="T30" s="363">
        <f t="shared" si="2"/>
        <v>12.849300000000001</v>
      </c>
      <c r="U30" s="135"/>
    </row>
    <row r="31" spans="2:21" ht="16.5" customHeight="1">
      <c r="B31" s="346"/>
      <c r="C31" s="447">
        <v>17</v>
      </c>
      <c r="D31" s="192" t="s">
        <v>18</v>
      </c>
      <c r="E31" s="181" t="s">
        <v>19</v>
      </c>
      <c r="F31" s="219">
        <v>33</v>
      </c>
      <c r="G31" s="356">
        <f t="shared" si="0"/>
        <v>4.759</v>
      </c>
      <c r="H31" s="214">
        <v>39918.35625</v>
      </c>
      <c r="I31" s="214">
        <v>39918.444444444445</v>
      </c>
      <c r="J31" s="215">
        <f t="shared" si="3"/>
        <v>2.1166666667559184</v>
      </c>
      <c r="K31" s="216">
        <f t="shared" si="4"/>
        <v>127</v>
      </c>
      <c r="L31" s="217" t="s">
        <v>93</v>
      </c>
      <c r="M31" s="218" t="str">
        <f t="shared" si="1"/>
        <v>--</v>
      </c>
      <c r="N31" s="357">
        <f t="shared" si="5"/>
        <v>25</v>
      </c>
      <c r="O31" s="358">
        <f t="shared" si="6"/>
        <v>25.222700000000003</v>
      </c>
      <c r="P31" s="359" t="str">
        <f t="shared" si="7"/>
        <v>--</v>
      </c>
      <c r="Q31" s="360" t="str">
        <f t="shared" si="8"/>
        <v>--</v>
      </c>
      <c r="R31" s="361" t="str">
        <f t="shared" si="9"/>
        <v>--</v>
      </c>
      <c r="S31" s="362" t="str">
        <f t="shared" si="10"/>
        <v>SI</v>
      </c>
      <c r="T31" s="363">
        <f t="shared" si="2"/>
        <v>25.222700000000003</v>
      </c>
      <c r="U31" s="135"/>
    </row>
    <row r="32" spans="2:21" ht="16.5" customHeight="1">
      <c r="B32" s="346"/>
      <c r="C32" s="447">
        <v>18</v>
      </c>
      <c r="D32" s="192" t="s">
        <v>18</v>
      </c>
      <c r="E32" s="181" t="s">
        <v>20</v>
      </c>
      <c r="F32" s="219">
        <v>33</v>
      </c>
      <c r="G32" s="356">
        <f t="shared" si="0"/>
        <v>4.759</v>
      </c>
      <c r="H32" s="214">
        <v>39918.524305555555</v>
      </c>
      <c r="I32" s="214">
        <v>39918.65069444444</v>
      </c>
      <c r="J32" s="215">
        <f t="shared" si="3"/>
        <v>3.0333333332673647</v>
      </c>
      <c r="K32" s="216">
        <f t="shared" si="4"/>
        <v>182</v>
      </c>
      <c r="L32" s="217" t="s">
        <v>93</v>
      </c>
      <c r="M32" s="218" t="str">
        <f t="shared" si="1"/>
        <v>--</v>
      </c>
      <c r="N32" s="357">
        <f t="shared" si="5"/>
        <v>25</v>
      </c>
      <c r="O32" s="358">
        <f t="shared" si="6"/>
        <v>36.049425</v>
      </c>
      <c r="P32" s="359" t="str">
        <f t="shared" si="7"/>
        <v>--</v>
      </c>
      <c r="Q32" s="360" t="str">
        <f t="shared" si="8"/>
        <v>--</v>
      </c>
      <c r="R32" s="361" t="str">
        <f t="shared" si="9"/>
        <v>--</v>
      </c>
      <c r="S32" s="362" t="str">
        <f t="shared" si="10"/>
        <v>SI</v>
      </c>
      <c r="T32" s="363">
        <f t="shared" si="2"/>
        <v>36.049425</v>
      </c>
      <c r="U32" s="135"/>
    </row>
    <row r="33" spans="2:21" ht="16.5" customHeight="1">
      <c r="B33" s="346"/>
      <c r="C33" s="447">
        <v>19</v>
      </c>
      <c r="D33" s="192" t="s">
        <v>18</v>
      </c>
      <c r="E33" s="181" t="s">
        <v>22</v>
      </c>
      <c r="F33" s="219">
        <v>33</v>
      </c>
      <c r="G33" s="356">
        <f t="shared" si="0"/>
        <v>4.759</v>
      </c>
      <c r="H33" s="214">
        <v>39919.35902777778</v>
      </c>
      <c r="I33" s="214">
        <v>39919.49930555555</v>
      </c>
      <c r="J33" s="215">
        <f t="shared" si="3"/>
        <v>3.366666666639503</v>
      </c>
      <c r="K33" s="216">
        <f t="shared" si="4"/>
        <v>202</v>
      </c>
      <c r="L33" s="217" t="s">
        <v>93</v>
      </c>
      <c r="M33" s="218" t="str">
        <f t="shared" si="1"/>
        <v>--</v>
      </c>
      <c r="N33" s="357">
        <f t="shared" si="5"/>
        <v>25</v>
      </c>
      <c r="O33" s="358">
        <f t="shared" si="6"/>
        <v>40.094575000000006</v>
      </c>
      <c r="P33" s="359" t="str">
        <f t="shared" si="7"/>
        <v>--</v>
      </c>
      <c r="Q33" s="360" t="str">
        <f t="shared" si="8"/>
        <v>--</v>
      </c>
      <c r="R33" s="361" t="str">
        <f t="shared" si="9"/>
        <v>--</v>
      </c>
      <c r="S33" s="362" t="str">
        <f t="shared" si="10"/>
        <v>SI</v>
      </c>
      <c r="T33" s="363">
        <f t="shared" si="2"/>
        <v>40.094575000000006</v>
      </c>
      <c r="U33" s="135"/>
    </row>
    <row r="34" spans="2:21" ht="16.5" customHeight="1">
      <c r="B34" s="346"/>
      <c r="C34" s="447">
        <v>20</v>
      </c>
      <c r="D34" s="192" t="s">
        <v>15</v>
      </c>
      <c r="E34" s="181" t="s">
        <v>16</v>
      </c>
      <c r="F34" s="219">
        <v>13.2</v>
      </c>
      <c r="G34" s="356">
        <f t="shared" si="0"/>
        <v>4.759</v>
      </c>
      <c r="H34" s="214">
        <v>39922.33819444444</v>
      </c>
      <c r="I34" s="214">
        <v>39922.56597222222</v>
      </c>
      <c r="J34" s="215">
        <f t="shared" si="3"/>
        <v>5.466666666674428</v>
      </c>
      <c r="K34" s="216">
        <f t="shared" si="4"/>
        <v>328</v>
      </c>
      <c r="L34" s="217" t="s">
        <v>93</v>
      </c>
      <c r="M34" s="218" t="str">
        <f t="shared" si="1"/>
        <v>--</v>
      </c>
      <c r="N34" s="357">
        <f t="shared" si="5"/>
        <v>20</v>
      </c>
      <c r="O34" s="358">
        <f t="shared" si="6"/>
        <v>52.06346</v>
      </c>
      <c r="P34" s="359" t="str">
        <f t="shared" si="7"/>
        <v>--</v>
      </c>
      <c r="Q34" s="360" t="str">
        <f t="shared" si="8"/>
        <v>--</v>
      </c>
      <c r="R34" s="361" t="str">
        <f t="shared" si="9"/>
        <v>--</v>
      </c>
      <c r="S34" s="362" t="str">
        <f t="shared" si="10"/>
        <v>SI</v>
      </c>
      <c r="T34" s="363">
        <f t="shared" si="2"/>
        <v>52.06346</v>
      </c>
      <c r="U34" s="135"/>
    </row>
    <row r="35" spans="2:21" ht="16.5" customHeight="1">
      <c r="B35" s="346"/>
      <c r="C35" s="447">
        <v>21</v>
      </c>
      <c r="D35" s="192" t="s">
        <v>18</v>
      </c>
      <c r="E35" s="181" t="s">
        <v>89</v>
      </c>
      <c r="F35" s="219">
        <v>33</v>
      </c>
      <c r="G35" s="356">
        <f t="shared" si="0"/>
        <v>4.759</v>
      </c>
      <c r="H35" s="214">
        <v>39924.461805555555</v>
      </c>
      <c r="I35" s="214">
        <v>39924.57986111111</v>
      </c>
      <c r="J35" s="215">
        <f t="shared" si="3"/>
        <v>2.833333333313931</v>
      </c>
      <c r="K35" s="216">
        <f t="shared" si="4"/>
        <v>170</v>
      </c>
      <c r="L35" s="217" t="s">
        <v>93</v>
      </c>
      <c r="M35" s="218" t="str">
        <f t="shared" si="1"/>
        <v>--</v>
      </c>
      <c r="N35" s="357">
        <f t="shared" si="5"/>
        <v>25</v>
      </c>
      <c r="O35" s="358">
        <f t="shared" si="6"/>
        <v>33.669925000000006</v>
      </c>
      <c r="P35" s="359" t="str">
        <f t="shared" si="7"/>
        <v>--</v>
      </c>
      <c r="Q35" s="360" t="str">
        <f t="shared" si="8"/>
        <v>--</v>
      </c>
      <c r="R35" s="361" t="str">
        <f t="shared" si="9"/>
        <v>--</v>
      </c>
      <c r="S35" s="362" t="str">
        <f t="shared" si="10"/>
        <v>SI</v>
      </c>
      <c r="T35" s="363">
        <f t="shared" si="2"/>
        <v>33.669925000000006</v>
      </c>
      <c r="U35" s="135"/>
    </row>
    <row r="36" spans="2:21" ht="16.5" customHeight="1">
      <c r="B36" s="346"/>
      <c r="C36" s="447">
        <v>22</v>
      </c>
      <c r="D36" s="192" t="s">
        <v>18</v>
      </c>
      <c r="E36" s="181" t="s">
        <v>83</v>
      </c>
      <c r="F36" s="219">
        <v>33</v>
      </c>
      <c r="G36" s="356">
        <f t="shared" si="0"/>
        <v>4.759</v>
      </c>
      <c r="H36" s="214">
        <v>39924.59097222222</v>
      </c>
      <c r="I36" s="214">
        <v>39924.711805555555</v>
      </c>
      <c r="J36" s="215">
        <f t="shared" si="3"/>
        <v>2.900000000023283</v>
      </c>
      <c r="K36" s="216">
        <f t="shared" si="4"/>
        <v>174</v>
      </c>
      <c r="L36" s="217" t="s">
        <v>93</v>
      </c>
      <c r="M36" s="218" t="str">
        <f t="shared" si="1"/>
        <v>--</v>
      </c>
      <c r="N36" s="357">
        <f t="shared" si="5"/>
        <v>25</v>
      </c>
      <c r="O36" s="358">
        <f t="shared" si="6"/>
        <v>34.50275</v>
      </c>
      <c r="P36" s="359" t="str">
        <f t="shared" si="7"/>
        <v>--</v>
      </c>
      <c r="Q36" s="360" t="str">
        <f t="shared" si="8"/>
        <v>--</v>
      </c>
      <c r="R36" s="361" t="str">
        <f t="shared" si="9"/>
        <v>--</v>
      </c>
      <c r="S36" s="362" t="str">
        <f t="shared" si="10"/>
        <v>SI</v>
      </c>
      <c r="T36" s="363">
        <f t="shared" si="2"/>
        <v>34.50275</v>
      </c>
      <c r="U36" s="135"/>
    </row>
    <row r="37" spans="2:21" ht="16.5" customHeight="1">
      <c r="B37" s="346"/>
      <c r="C37" s="447">
        <v>23</v>
      </c>
      <c r="D37" s="192" t="s">
        <v>18</v>
      </c>
      <c r="E37" s="181" t="s">
        <v>84</v>
      </c>
      <c r="F37" s="219">
        <v>33</v>
      </c>
      <c r="G37" s="356">
        <f t="shared" si="0"/>
        <v>4.759</v>
      </c>
      <c r="H37" s="214">
        <v>39925.34722222222</v>
      </c>
      <c r="I37" s="214">
        <v>39925.46041666667</v>
      </c>
      <c r="J37" s="215">
        <f t="shared" si="3"/>
        <v>2.716666666790843</v>
      </c>
      <c r="K37" s="216">
        <f t="shared" si="4"/>
        <v>163</v>
      </c>
      <c r="L37" s="217" t="s">
        <v>93</v>
      </c>
      <c r="M37" s="218" t="str">
        <f t="shared" si="1"/>
        <v>--</v>
      </c>
      <c r="N37" s="357">
        <f t="shared" si="5"/>
        <v>25</v>
      </c>
      <c r="O37" s="358">
        <f t="shared" si="6"/>
        <v>32.361200000000004</v>
      </c>
      <c r="P37" s="359" t="str">
        <f t="shared" si="7"/>
        <v>--</v>
      </c>
      <c r="Q37" s="360" t="str">
        <f t="shared" si="8"/>
        <v>--</v>
      </c>
      <c r="R37" s="361" t="str">
        <f t="shared" si="9"/>
        <v>--</v>
      </c>
      <c r="S37" s="362" t="str">
        <f t="shared" si="10"/>
        <v>SI</v>
      </c>
      <c r="T37" s="363">
        <f t="shared" si="2"/>
        <v>32.361200000000004</v>
      </c>
      <c r="U37" s="135"/>
    </row>
    <row r="38" spans="2:21" ht="16.5" customHeight="1">
      <c r="B38" s="346"/>
      <c r="C38" s="447">
        <v>24</v>
      </c>
      <c r="D38" s="192" t="s">
        <v>18</v>
      </c>
      <c r="E38" s="181" t="s">
        <v>21</v>
      </c>
      <c r="F38" s="219">
        <v>33</v>
      </c>
      <c r="G38" s="356">
        <f t="shared" si="0"/>
        <v>4.759</v>
      </c>
      <c r="H38" s="214">
        <v>39925.604166666664</v>
      </c>
      <c r="I38" s="214">
        <v>39925.72986111111</v>
      </c>
      <c r="J38" s="215">
        <f t="shared" si="3"/>
        <v>3.016666666720994</v>
      </c>
      <c r="K38" s="216">
        <f t="shared" si="4"/>
        <v>181</v>
      </c>
      <c r="L38" s="217" t="s">
        <v>93</v>
      </c>
      <c r="M38" s="218" t="str">
        <f t="shared" si="1"/>
        <v>--</v>
      </c>
      <c r="N38" s="357">
        <f t="shared" si="5"/>
        <v>25</v>
      </c>
      <c r="O38" s="358">
        <f t="shared" si="6"/>
        <v>35.93045</v>
      </c>
      <c r="P38" s="359" t="str">
        <f t="shared" si="7"/>
        <v>--</v>
      </c>
      <c r="Q38" s="360" t="str">
        <f t="shared" si="8"/>
        <v>--</v>
      </c>
      <c r="R38" s="361" t="str">
        <f t="shared" si="9"/>
        <v>--</v>
      </c>
      <c r="S38" s="362" t="str">
        <f t="shared" si="10"/>
        <v>SI</v>
      </c>
      <c r="T38" s="363">
        <f t="shared" si="2"/>
        <v>35.93045</v>
      </c>
      <c r="U38" s="135"/>
    </row>
    <row r="39" spans="2:21" ht="16.5" customHeight="1">
      <c r="B39" s="346"/>
      <c r="C39" s="447">
        <v>25</v>
      </c>
      <c r="D39" s="192" t="s">
        <v>10</v>
      </c>
      <c r="E39" s="181" t="s">
        <v>11</v>
      </c>
      <c r="F39" s="219">
        <v>132</v>
      </c>
      <c r="G39" s="356">
        <f t="shared" si="0"/>
        <v>6.345</v>
      </c>
      <c r="H39" s="214">
        <v>39927.39027777778</v>
      </c>
      <c r="I39" s="214">
        <v>39927.60833333333</v>
      </c>
      <c r="J39" s="215">
        <f t="shared" si="3"/>
        <v>5.233333333279006</v>
      </c>
      <c r="K39" s="216">
        <f t="shared" si="4"/>
        <v>314</v>
      </c>
      <c r="L39" s="217" t="s">
        <v>93</v>
      </c>
      <c r="M39" s="218" t="str">
        <f t="shared" si="1"/>
        <v>--</v>
      </c>
      <c r="N39" s="357">
        <f t="shared" si="5"/>
        <v>50</v>
      </c>
      <c r="O39" s="358">
        <f t="shared" si="6"/>
        <v>165.92175000000003</v>
      </c>
      <c r="P39" s="359" t="str">
        <f t="shared" si="7"/>
        <v>--</v>
      </c>
      <c r="Q39" s="360" t="str">
        <f t="shared" si="8"/>
        <v>--</v>
      </c>
      <c r="R39" s="361" t="str">
        <f t="shared" si="9"/>
        <v>--</v>
      </c>
      <c r="S39" s="362" t="str">
        <f t="shared" si="10"/>
        <v>SI</v>
      </c>
      <c r="T39" s="363">
        <f t="shared" si="2"/>
        <v>165.92175000000003</v>
      </c>
      <c r="U39" s="135"/>
    </row>
    <row r="40" spans="2:21" ht="16.5" customHeight="1">
      <c r="B40" s="346"/>
      <c r="C40" s="213"/>
      <c r="D40" s="446"/>
      <c r="E40" s="446"/>
      <c r="F40" s="446"/>
      <c r="G40" s="356">
        <f t="shared" si="0"/>
        <v>4.759</v>
      </c>
      <c r="H40" s="214"/>
      <c r="I40" s="214"/>
      <c r="J40" s="215"/>
      <c r="K40" s="216"/>
      <c r="L40" s="217"/>
      <c r="M40" s="218"/>
      <c r="N40" s="357" t="e">
        <f>IF(OR(#REF!=132,#REF!=66),$F$14,IF(#REF!=33,$F$15,$F$16))</f>
        <v>#REF!</v>
      </c>
      <c r="O40" s="358" t="str">
        <f t="shared" si="6"/>
        <v>--</v>
      </c>
      <c r="P40" s="359" t="str">
        <f t="shared" si="7"/>
        <v>--</v>
      </c>
      <c r="Q40" s="360" t="str">
        <f t="shared" si="8"/>
        <v>--</v>
      </c>
      <c r="R40" s="361" t="str">
        <f t="shared" si="9"/>
        <v>--</v>
      </c>
      <c r="S40" s="362"/>
      <c r="T40" s="363"/>
      <c r="U40" s="135"/>
    </row>
    <row r="41" spans="2:21" ht="16.5" customHeight="1" thickBot="1">
      <c r="B41" s="346"/>
      <c r="C41" s="220"/>
      <c r="D41" s="221"/>
      <c r="E41" s="222"/>
      <c r="F41" s="222"/>
      <c r="G41" s="364"/>
      <c r="H41" s="222"/>
      <c r="I41" s="223"/>
      <c r="J41" s="224"/>
      <c r="K41" s="224"/>
      <c r="L41" s="223"/>
      <c r="M41" s="225"/>
      <c r="N41" s="365"/>
      <c r="O41" s="366"/>
      <c r="P41" s="367"/>
      <c r="Q41" s="368"/>
      <c r="R41" s="369"/>
      <c r="S41" s="370"/>
      <c r="T41" s="371"/>
      <c r="U41" s="135"/>
    </row>
    <row r="42" spans="2:21" ht="16.5" customHeight="1" thickBot="1" thickTop="1">
      <c r="B42" s="296"/>
      <c r="C42" s="267" t="s">
        <v>82</v>
      </c>
      <c r="D42" s="146" t="s">
        <v>97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372"/>
      <c r="P42" s="373"/>
      <c r="Q42" s="373"/>
      <c r="R42" s="373"/>
      <c r="S42" s="374"/>
      <c r="T42" s="431">
        <f>ROUND(SUM(T19:T41),2)</f>
        <v>728.94</v>
      </c>
      <c r="U42" s="375"/>
    </row>
    <row r="43" spans="2:21" s="154" customFormat="1" ht="9.75" thickTop="1">
      <c r="B43" s="324"/>
      <c r="C43" s="268"/>
      <c r="D43" s="156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76"/>
      <c r="P43" s="376"/>
      <c r="Q43" s="376"/>
      <c r="R43" s="376"/>
      <c r="S43" s="376"/>
      <c r="T43" s="326"/>
      <c r="U43" s="157"/>
    </row>
    <row r="44" spans="2:21" ht="16.5" customHeight="1" thickBot="1">
      <c r="B44" s="327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160"/>
    </row>
    <row r="45" ht="13.5" thickTop="1"/>
    <row r="16381" ht="12.75">
      <c r="D16381" s="22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55"/>
  <sheetViews>
    <sheetView zoomScale="80" zoomScaleNormal="80" workbookViewId="0" topLeftCell="C1">
      <selection activeCell="S7" sqref="S7"/>
    </sheetView>
  </sheetViews>
  <sheetFormatPr defaultColWidth="11.421875" defaultRowHeight="12.75"/>
  <cols>
    <col min="1" max="1" width="20.7109375" style="451" customWidth="1"/>
    <col min="2" max="2" width="15.7109375" style="451" customWidth="1"/>
    <col min="3" max="3" width="5.7109375" style="451" customWidth="1"/>
    <col min="4" max="4" width="45.7109375" style="451" customWidth="1"/>
    <col min="5" max="5" width="7.7109375" style="451" customWidth="1"/>
    <col min="6" max="20" width="10.7109375" style="451" customWidth="1"/>
    <col min="21" max="21" width="15.7109375" style="451" customWidth="1"/>
    <col min="22" max="16384" width="11.421875" style="451" customWidth="1"/>
  </cols>
  <sheetData>
    <row r="1" ht="43.5" customHeight="1">
      <c r="U1" s="452"/>
    </row>
    <row r="2" spans="2:21" s="453" customFormat="1" ht="26.25">
      <c r="B2" s="454" t="str">
        <f>'tot-0904'!B2</f>
        <v>ANEXO I al Memorandum D.T.E.E. N° 829 /2010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</row>
    <row r="3" spans="1:2" s="455" customFormat="1" ht="10.5">
      <c r="A3" s="567" t="s">
        <v>27</v>
      </c>
      <c r="B3" s="567"/>
    </row>
    <row r="4" spans="1:4" s="455" customFormat="1" ht="11.25">
      <c r="A4" s="456" t="s">
        <v>28</v>
      </c>
      <c r="B4" s="457"/>
      <c r="D4" s="458"/>
    </row>
    <row r="5" spans="1:4" ht="18.75" customHeight="1">
      <c r="A5" s="459"/>
      <c r="D5" s="460"/>
    </row>
    <row r="6" spans="1:21" ht="26.25">
      <c r="A6" s="459"/>
      <c r="B6" s="461" t="s">
        <v>101</v>
      </c>
      <c r="C6" s="462"/>
      <c r="D6" s="460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4" ht="18.75" customHeight="1">
      <c r="A7" s="459"/>
      <c r="B7" s="461"/>
      <c r="D7" s="460"/>
    </row>
    <row r="8" spans="1:21" ht="26.25">
      <c r="A8" s="459"/>
      <c r="B8" s="461" t="s">
        <v>102</v>
      </c>
      <c r="C8" s="462"/>
      <c r="D8" s="460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</row>
    <row r="9" spans="1:4" ht="18.75" customHeight="1">
      <c r="A9" s="459"/>
      <c r="D9" s="460"/>
    </row>
    <row r="10" spans="1:21" ht="26.25">
      <c r="A10" s="459"/>
      <c r="B10" s="461" t="s">
        <v>103</v>
      </c>
      <c r="C10" s="462"/>
      <c r="D10" s="460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</row>
    <row r="11" ht="18.75" customHeight="1" thickBot="1"/>
    <row r="12" spans="2:21" ht="18.75" customHeight="1" thickTop="1">
      <c r="B12" s="463"/>
      <c r="C12" s="464"/>
      <c r="D12" s="465"/>
      <c r="E12" s="465"/>
      <c r="F12" s="465"/>
      <c r="G12" s="465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6"/>
    </row>
    <row r="13" spans="2:21" ht="19.5">
      <c r="B13" s="467" t="s">
        <v>104</v>
      </c>
      <c r="C13" s="462"/>
      <c r="D13" s="468"/>
      <c r="E13" s="468"/>
      <c r="F13" s="468"/>
      <c r="G13" s="468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70"/>
    </row>
    <row r="14" spans="2:21" ht="18.75" customHeight="1" thickBot="1">
      <c r="B14" s="471"/>
      <c r="C14" s="472"/>
      <c r="D14" s="473"/>
      <c r="E14" s="473"/>
      <c r="F14" s="474"/>
      <c r="G14" s="474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6"/>
    </row>
    <row r="15" spans="1:21" s="486" customFormat="1" ht="34.5" customHeight="1" thickBot="1" thickTop="1">
      <c r="A15" s="477"/>
      <c r="B15" s="478"/>
      <c r="C15" s="479"/>
      <c r="D15" s="480" t="s">
        <v>1</v>
      </c>
      <c r="E15" s="481" t="s">
        <v>105</v>
      </c>
      <c r="F15" s="482" t="s">
        <v>42</v>
      </c>
      <c r="G15" s="483" t="s">
        <v>106</v>
      </c>
      <c r="H15" s="484">
        <v>39539</v>
      </c>
      <c r="I15" s="484">
        <v>39569</v>
      </c>
      <c r="J15" s="484">
        <v>39600</v>
      </c>
      <c r="K15" s="484">
        <v>39630</v>
      </c>
      <c r="L15" s="484">
        <v>39661</v>
      </c>
      <c r="M15" s="484">
        <v>39692</v>
      </c>
      <c r="N15" s="484">
        <v>39722</v>
      </c>
      <c r="O15" s="484">
        <v>39753</v>
      </c>
      <c r="P15" s="484">
        <v>39783</v>
      </c>
      <c r="Q15" s="484">
        <v>39814</v>
      </c>
      <c r="R15" s="484">
        <v>39845</v>
      </c>
      <c r="S15" s="484">
        <v>39873</v>
      </c>
      <c r="T15" s="484">
        <v>39904</v>
      </c>
      <c r="U15" s="485"/>
    </row>
    <row r="16" spans="1:21" s="486" customFormat="1" ht="34.5" customHeight="1" hidden="1">
      <c r="A16" s="477"/>
      <c r="B16" s="478"/>
      <c r="C16" s="487"/>
      <c r="D16" s="488"/>
      <c r="E16" s="489"/>
      <c r="F16" s="490"/>
      <c r="G16" s="491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85"/>
    </row>
    <row r="17" spans="1:21" s="486" customFormat="1" ht="34.5" customHeight="1" hidden="1">
      <c r="A17" s="477"/>
      <c r="B17" s="478"/>
      <c r="C17" s="487"/>
      <c r="D17" s="488"/>
      <c r="E17" s="489"/>
      <c r="F17" s="490"/>
      <c r="G17" s="491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85"/>
    </row>
    <row r="18" spans="2:21" ht="15" customHeight="1" thickTop="1">
      <c r="B18" s="471"/>
      <c r="C18" s="493"/>
      <c r="D18" s="494"/>
      <c r="E18" s="494"/>
      <c r="F18" s="495"/>
      <c r="G18" s="496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8"/>
      <c r="U18" s="476"/>
    </row>
    <row r="19" spans="2:21" ht="15" customHeight="1">
      <c r="B19" s="471"/>
      <c r="C19" s="499">
        <f>'[1]TASA DE FALLA'!C19</f>
        <v>1</v>
      </c>
      <c r="D19" s="499" t="str">
        <f>'[1]TASA DE FALLA'!D19</f>
        <v>ARROYITO - CHARROYITO 1</v>
      </c>
      <c r="E19" s="499">
        <f>'[1]TASA DE FALLA'!E19</f>
        <v>132</v>
      </c>
      <c r="F19" s="499">
        <f>'[1]TASA DE FALLA'!F19</f>
        <v>1</v>
      </c>
      <c r="G19" s="499" t="str">
        <f>'[1]TASA DE FALLA'!G19</f>
        <v>L</v>
      </c>
      <c r="H19" s="500">
        <f>IF('[1]TASA DE FALLA'!FX19=0,"",'[1]TASA DE FALLA'!FX19)</f>
      </c>
      <c r="I19" s="500">
        <f>IF('[1]TASA DE FALLA'!FY19=0,"",'[1]TASA DE FALLA'!FY19)</f>
      </c>
      <c r="J19" s="500">
        <f>IF('[1]TASA DE FALLA'!FZ19=0,"",'[1]TASA DE FALLA'!FZ19)</f>
      </c>
      <c r="K19" s="500">
        <f>IF('[1]TASA DE FALLA'!GA19=0,"",'[1]TASA DE FALLA'!GA19)</f>
      </c>
      <c r="L19" s="500">
        <f>IF('[1]TASA DE FALLA'!GB19=0,"",'[1]TASA DE FALLA'!GB19)</f>
      </c>
      <c r="M19" s="500">
        <f>IF('[1]TASA DE FALLA'!GC19=0,"",'[1]TASA DE FALLA'!GC19)</f>
      </c>
      <c r="N19" s="500">
        <f>IF('[1]TASA DE FALLA'!GD19=0,"",'[1]TASA DE FALLA'!GD19)</f>
      </c>
      <c r="O19" s="500">
        <f>IF('[1]TASA DE FALLA'!GE19=0,"",'[1]TASA DE FALLA'!GE19)</f>
      </c>
      <c r="P19" s="500">
        <f>IF('[1]TASA DE FALLA'!GF19=0,"",'[1]TASA DE FALLA'!GF19)</f>
      </c>
      <c r="Q19" s="500">
        <f>IF('[1]TASA DE FALLA'!GG19=0,"",'[1]TASA DE FALLA'!GG19)</f>
      </c>
      <c r="R19" s="500">
        <f>IF('[1]TASA DE FALLA'!GH19=0,"",'[1]TASA DE FALLA'!GH19)</f>
      </c>
      <c r="S19" s="500">
        <f>IF('[1]TASA DE FALLA'!GI19=0,"",'[1]TASA DE FALLA'!GI19)</f>
      </c>
      <c r="T19" s="501"/>
      <c r="U19" s="502"/>
    </row>
    <row r="20" spans="2:21" ht="15" customHeight="1">
      <c r="B20" s="471"/>
      <c r="C20" s="503">
        <f>'[1]TASA DE FALLA'!C20</f>
        <v>2</v>
      </c>
      <c r="D20" s="503" t="str">
        <f>'[1]TASA DE FALLA'!D20</f>
        <v>ARROYITO - CHARROYITO 2</v>
      </c>
      <c r="E20" s="503">
        <f>'[1]TASA DE FALLA'!E20</f>
        <v>132</v>
      </c>
      <c r="F20" s="503">
        <f>'[1]TASA DE FALLA'!F20</f>
        <v>1</v>
      </c>
      <c r="G20" s="503" t="str">
        <f>'[1]TASA DE FALLA'!G20</f>
        <v>L</v>
      </c>
      <c r="H20" s="500">
        <f>IF('[1]TASA DE FALLA'!FX20=0,"",'[1]TASA DE FALLA'!FX20)</f>
      </c>
      <c r="I20" s="500">
        <f>IF('[1]TASA DE FALLA'!FY20=0,"",'[1]TASA DE FALLA'!FY20)</f>
      </c>
      <c r="J20" s="500">
        <f>IF('[1]TASA DE FALLA'!FZ20=0,"",'[1]TASA DE FALLA'!FZ20)</f>
      </c>
      <c r="K20" s="500">
        <f>IF('[1]TASA DE FALLA'!GA20=0,"",'[1]TASA DE FALLA'!GA20)</f>
      </c>
      <c r="L20" s="500">
        <f>IF('[1]TASA DE FALLA'!GB20=0,"",'[1]TASA DE FALLA'!GB20)</f>
      </c>
      <c r="M20" s="500">
        <f>IF('[1]TASA DE FALLA'!GC20=0,"",'[1]TASA DE FALLA'!GC20)</f>
      </c>
      <c r="N20" s="500">
        <f>IF('[1]TASA DE FALLA'!GD20=0,"",'[1]TASA DE FALLA'!GD20)</f>
      </c>
      <c r="O20" s="500">
        <f>IF('[1]TASA DE FALLA'!GE20=0,"",'[1]TASA DE FALLA'!GE20)</f>
      </c>
      <c r="P20" s="500">
        <f>IF('[1]TASA DE FALLA'!GF20=0,"",'[1]TASA DE FALLA'!GF20)</f>
      </c>
      <c r="Q20" s="500">
        <f>IF('[1]TASA DE FALLA'!GG20=0,"",'[1]TASA DE FALLA'!GG20)</f>
      </c>
      <c r="R20" s="500">
        <f>IF('[1]TASA DE FALLA'!GH20=0,"",'[1]TASA DE FALLA'!GH20)</f>
      </c>
      <c r="S20" s="500">
        <f>IF('[1]TASA DE FALLA'!GI20=0,"",'[1]TASA DE FALLA'!GI20)</f>
      </c>
      <c r="T20" s="504"/>
      <c r="U20" s="502"/>
    </row>
    <row r="21" spans="2:21" ht="15" customHeight="1">
      <c r="B21" s="471"/>
      <c r="C21" s="499">
        <f>'[1]TASA DE FALLA'!C21</f>
        <v>3</v>
      </c>
      <c r="D21" s="499" t="str">
        <f>'[1]TASA DE FALLA'!D21</f>
        <v>ARROYITO - CHARROYITO 3</v>
      </c>
      <c r="E21" s="499">
        <f>'[1]TASA DE FALLA'!E21</f>
        <v>132</v>
      </c>
      <c r="F21" s="499">
        <f>'[1]TASA DE FALLA'!F21</f>
        <v>1</v>
      </c>
      <c r="G21" s="499" t="str">
        <f>'[1]TASA DE FALLA'!G21</f>
        <v>L</v>
      </c>
      <c r="H21" s="500">
        <f>IF('[1]TASA DE FALLA'!FX21=0,"",'[1]TASA DE FALLA'!FX21)</f>
      </c>
      <c r="I21" s="500">
        <f>IF('[1]TASA DE FALLA'!FY21=0,"",'[1]TASA DE FALLA'!FY21)</f>
      </c>
      <c r="J21" s="500">
        <f>IF('[1]TASA DE FALLA'!FZ21=0,"",'[1]TASA DE FALLA'!FZ21)</f>
      </c>
      <c r="K21" s="500">
        <f>IF('[1]TASA DE FALLA'!GA21=0,"",'[1]TASA DE FALLA'!GA21)</f>
      </c>
      <c r="L21" s="500">
        <f>IF('[1]TASA DE FALLA'!GB21=0,"",'[1]TASA DE FALLA'!GB21)</f>
      </c>
      <c r="M21" s="500">
        <f>IF('[1]TASA DE FALLA'!GC21=0,"",'[1]TASA DE FALLA'!GC21)</f>
      </c>
      <c r="N21" s="500">
        <f>IF('[1]TASA DE FALLA'!GD21=0,"",'[1]TASA DE FALLA'!GD21)</f>
      </c>
      <c r="O21" s="500">
        <f>IF('[1]TASA DE FALLA'!GE21=0,"",'[1]TASA DE FALLA'!GE21)</f>
      </c>
      <c r="P21" s="500">
        <f>IF('[1]TASA DE FALLA'!GF21=0,"",'[1]TASA DE FALLA'!GF21)</f>
      </c>
      <c r="Q21" s="500">
        <f>IF('[1]TASA DE FALLA'!GG21=0,"",'[1]TASA DE FALLA'!GG21)</f>
      </c>
      <c r="R21" s="500">
        <f>IF('[1]TASA DE FALLA'!GH21=0,"",'[1]TASA DE FALLA'!GH21)</f>
      </c>
      <c r="S21" s="500">
        <f>IF('[1]TASA DE FALLA'!GI21=0,"",'[1]TASA DE FALLA'!GI21)</f>
      </c>
      <c r="T21" s="504"/>
      <c r="U21" s="502"/>
    </row>
    <row r="22" spans="2:21" ht="15" customHeight="1">
      <c r="B22" s="471"/>
      <c r="C22" s="503">
        <f>'[1]TASA DE FALLA'!C22</f>
        <v>4</v>
      </c>
      <c r="D22" s="503" t="str">
        <f>'[1]TASA DE FALLA'!D22</f>
        <v>ARROYITO - CHOCON 1</v>
      </c>
      <c r="E22" s="503">
        <f>'[1]TASA DE FALLA'!E22</f>
        <v>132</v>
      </c>
      <c r="F22" s="503">
        <f>'[1]TASA DE FALLA'!F22</f>
        <v>25</v>
      </c>
      <c r="G22" s="503" t="str">
        <f>'[1]TASA DE FALLA'!G22</f>
        <v>L</v>
      </c>
      <c r="H22" s="500">
        <f>IF('[1]TASA DE FALLA'!FX22=0,"",'[1]TASA DE FALLA'!FX22)</f>
      </c>
      <c r="I22" s="500">
        <f>IF('[1]TASA DE FALLA'!FY22=0,"",'[1]TASA DE FALLA'!FY22)</f>
      </c>
      <c r="J22" s="500">
        <f>IF('[1]TASA DE FALLA'!FZ22=0,"",'[1]TASA DE FALLA'!FZ22)</f>
      </c>
      <c r="K22" s="500">
        <f>IF('[1]TASA DE FALLA'!GA22=0,"",'[1]TASA DE FALLA'!GA22)</f>
      </c>
      <c r="L22" s="500">
        <f>IF('[1]TASA DE FALLA'!GB22=0,"",'[1]TASA DE FALLA'!GB22)</f>
      </c>
      <c r="M22" s="500">
        <f>IF('[1]TASA DE FALLA'!GC22=0,"",'[1]TASA DE FALLA'!GC22)</f>
      </c>
      <c r="N22" s="500">
        <f>IF('[1]TASA DE FALLA'!GD22=0,"",'[1]TASA DE FALLA'!GD22)</f>
        <v>1</v>
      </c>
      <c r="O22" s="500">
        <f>IF('[1]TASA DE FALLA'!GE22=0,"",'[1]TASA DE FALLA'!GE22)</f>
      </c>
      <c r="P22" s="500">
        <f>IF('[1]TASA DE FALLA'!GF22=0,"",'[1]TASA DE FALLA'!GF22)</f>
      </c>
      <c r="Q22" s="500">
        <f>IF('[1]TASA DE FALLA'!GG22=0,"",'[1]TASA DE FALLA'!GG22)</f>
        <v>1</v>
      </c>
      <c r="R22" s="500">
        <f>IF('[1]TASA DE FALLA'!GH22=0,"",'[1]TASA DE FALLA'!GH22)</f>
      </c>
      <c r="S22" s="500">
        <f>IF('[1]TASA DE FALLA'!GI22=0,"",'[1]TASA DE FALLA'!GI22)</f>
      </c>
      <c r="T22" s="504"/>
      <c r="U22" s="502"/>
    </row>
    <row r="23" spans="2:21" ht="15" customHeight="1">
      <c r="B23" s="471"/>
      <c r="C23" s="499">
        <f>'[1]TASA DE FALLA'!C23</f>
        <v>5</v>
      </c>
      <c r="D23" s="499" t="str">
        <f>'[1]TASA DE FALLA'!D23</f>
        <v>ARROYITO - CHOCON 2</v>
      </c>
      <c r="E23" s="499">
        <f>'[1]TASA DE FALLA'!E23</f>
        <v>132</v>
      </c>
      <c r="F23" s="499">
        <f>'[1]TASA DE FALLA'!F23</f>
        <v>25</v>
      </c>
      <c r="G23" s="499" t="str">
        <f>'[1]TASA DE FALLA'!G23</f>
        <v>L</v>
      </c>
      <c r="H23" s="500">
        <f>IF('[1]TASA DE FALLA'!FX23=0,"",'[1]TASA DE FALLA'!FX23)</f>
      </c>
      <c r="I23" s="500">
        <f>IF('[1]TASA DE FALLA'!FY23=0,"",'[1]TASA DE FALLA'!FY23)</f>
      </c>
      <c r="J23" s="500">
        <f>IF('[1]TASA DE FALLA'!FZ23=0,"",'[1]TASA DE FALLA'!FZ23)</f>
      </c>
      <c r="K23" s="500">
        <f>IF('[1]TASA DE FALLA'!GA23=0,"",'[1]TASA DE FALLA'!GA23)</f>
      </c>
      <c r="L23" s="500">
        <f>IF('[1]TASA DE FALLA'!GB23=0,"",'[1]TASA DE FALLA'!GB23)</f>
      </c>
      <c r="M23" s="500">
        <f>IF('[1]TASA DE FALLA'!GC23=0,"",'[1]TASA DE FALLA'!GC23)</f>
      </c>
      <c r="N23" s="500">
        <f>IF('[1]TASA DE FALLA'!GD23=0,"",'[1]TASA DE FALLA'!GD23)</f>
      </c>
      <c r="O23" s="500">
        <f>IF('[1]TASA DE FALLA'!GE23=0,"",'[1]TASA DE FALLA'!GE23)</f>
      </c>
      <c r="P23" s="500">
        <f>IF('[1]TASA DE FALLA'!GF23=0,"",'[1]TASA DE FALLA'!GF23)</f>
      </c>
      <c r="Q23" s="500">
        <f>IF('[1]TASA DE FALLA'!GG23=0,"",'[1]TASA DE FALLA'!GG23)</f>
        <v>1</v>
      </c>
      <c r="R23" s="500">
        <f>IF('[1]TASA DE FALLA'!GH23=0,"",'[1]TASA DE FALLA'!GH23)</f>
      </c>
      <c r="S23" s="500">
        <f>IF('[1]TASA DE FALLA'!GI23=0,"",'[1]TASA DE FALLA'!GI23)</f>
      </c>
      <c r="T23" s="504"/>
      <c r="U23" s="502"/>
    </row>
    <row r="24" spans="2:21" ht="15" customHeight="1">
      <c r="B24" s="471"/>
      <c r="C24" s="503">
        <f>'[1]TASA DE FALLA'!C24</f>
        <v>6</v>
      </c>
      <c r="D24" s="503" t="str">
        <f>'[1]TASA DE FALLA'!D24</f>
        <v>ARROYITO - PIAP 1</v>
      </c>
      <c r="E24" s="503">
        <f>'[1]TASA DE FALLA'!E24</f>
        <v>132</v>
      </c>
      <c r="F24" s="503">
        <f>'[1]TASA DE FALLA'!F24</f>
        <v>2</v>
      </c>
      <c r="G24" s="503" t="str">
        <f>'[1]TASA DE FALLA'!G24</f>
        <v>L</v>
      </c>
      <c r="H24" s="500">
        <f>IF('[1]TASA DE FALLA'!FX24=0,"",'[1]TASA DE FALLA'!FX24)</f>
      </c>
      <c r="I24" s="500">
        <f>IF('[1]TASA DE FALLA'!FY24=0,"",'[1]TASA DE FALLA'!FY24)</f>
      </c>
      <c r="J24" s="500">
        <f>IF('[1]TASA DE FALLA'!FZ24=0,"",'[1]TASA DE FALLA'!FZ24)</f>
      </c>
      <c r="K24" s="500">
        <f>IF('[1]TASA DE FALLA'!GA24=0,"",'[1]TASA DE FALLA'!GA24)</f>
      </c>
      <c r="L24" s="500">
        <f>IF('[1]TASA DE FALLA'!GB24=0,"",'[1]TASA DE FALLA'!GB24)</f>
      </c>
      <c r="M24" s="500">
        <f>IF('[1]TASA DE FALLA'!GC24=0,"",'[1]TASA DE FALLA'!GC24)</f>
      </c>
      <c r="N24" s="500">
        <f>IF('[1]TASA DE FALLA'!GD24=0,"",'[1]TASA DE FALLA'!GD24)</f>
      </c>
      <c r="O24" s="500">
        <f>IF('[1]TASA DE FALLA'!GE24=0,"",'[1]TASA DE FALLA'!GE24)</f>
      </c>
      <c r="P24" s="500">
        <f>IF('[1]TASA DE FALLA'!GF24=0,"",'[1]TASA DE FALLA'!GF24)</f>
      </c>
      <c r="Q24" s="500">
        <f>IF('[1]TASA DE FALLA'!GG24=0,"",'[1]TASA DE FALLA'!GG24)</f>
      </c>
      <c r="R24" s="500">
        <f>IF('[1]TASA DE FALLA'!GH24=0,"",'[1]TASA DE FALLA'!GH24)</f>
      </c>
      <c r="S24" s="500">
        <f>IF('[1]TASA DE FALLA'!GI24=0,"",'[1]TASA DE FALLA'!GI24)</f>
      </c>
      <c r="T24" s="504"/>
      <c r="U24" s="502"/>
    </row>
    <row r="25" spans="2:21" ht="15" customHeight="1">
      <c r="B25" s="471"/>
      <c r="C25" s="499">
        <f>'[1]TASA DE FALLA'!C25</f>
        <v>7</v>
      </c>
      <c r="D25" s="499" t="str">
        <f>'[1]TASA DE FALLA'!D25</f>
        <v>ARROYITO - PIAP 2</v>
      </c>
      <c r="E25" s="499">
        <f>'[1]TASA DE FALLA'!E25</f>
        <v>132</v>
      </c>
      <c r="F25" s="499">
        <f>'[1]TASA DE FALLA'!F25</f>
        <v>2</v>
      </c>
      <c r="G25" s="499" t="str">
        <f>'[1]TASA DE FALLA'!G25</f>
        <v>L</v>
      </c>
      <c r="H25" s="500">
        <f>IF('[1]TASA DE FALLA'!FX25=0,"",'[1]TASA DE FALLA'!FX25)</f>
      </c>
      <c r="I25" s="500">
        <f>IF('[1]TASA DE FALLA'!FY25=0,"",'[1]TASA DE FALLA'!FY25)</f>
      </c>
      <c r="J25" s="500">
        <f>IF('[1]TASA DE FALLA'!FZ25=0,"",'[1]TASA DE FALLA'!FZ25)</f>
      </c>
      <c r="K25" s="500">
        <f>IF('[1]TASA DE FALLA'!GA25=0,"",'[1]TASA DE FALLA'!GA25)</f>
      </c>
      <c r="L25" s="500">
        <f>IF('[1]TASA DE FALLA'!GB25=0,"",'[1]TASA DE FALLA'!GB25)</f>
      </c>
      <c r="M25" s="500">
        <f>IF('[1]TASA DE FALLA'!GC25=0,"",'[1]TASA DE FALLA'!GC25)</f>
      </c>
      <c r="N25" s="500">
        <f>IF('[1]TASA DE FALLA'!GD25=0,"",'[1]TASA DE FALLA'!GD25)</f>
      </c>
      <c r="O25" s="500">
        <f>IF('[1]TASA DE FALLA'!GE25=0,"",'[1]TASA DE FALLA'!GE25)</f>
      </c>
      <c r="P25" s="500">
        <f>IF('[1]TASA DE FALLA'!GF25=0,"",'[1]TASA DE FALLA'!GF25)</f>
      </c>
      <c r="Q25" s="500">
        <f>IF('[1]TASA DE FALLA'!GG25=0,"",'[1]TASA DE FALLA'!GG25)</f>
      </c>
      <c r="R25" s="500">
        <f>IF('[1]TASA DE FALLA'!GH25=0,"",'[1]TASA DE FALLA'!GH25)</f>
      </c>
      <c r="S25" s="500">
        <f>IF('[1]TASA DE FALLA'!GI25=0,"",'[1]TASA DE FALLA'!GI25)</f>
      </c>
      <c r="T25" s="504"/>
      <c r="U25" s="502"/>
    </row>
    <row r="26" spans="2:21" ht="15" customHeight="1">
      <c r="B26" s="471"/>
      <c r="C26" s="503">
        <f>'[1]TASA DE FALLA'!C26</f>
        <v>8</v>
      </c>
      <c r="D26" s="503" t="str">
        <f>'[1]TASA DE FALLA'!D26</f>
        <v>ALTO VALLE - CENTENARIO</v>
      </c>
      <c r="E26" s="503">
        <f>'[1]TASA DE FALLA'!E26</f>
        <v>132</v>
      </c>
      <c r="F26" s="503">
        <f>'[1]TASA DE FALLA'!F26</f>
        <v>17</v>
      </c>
      <c r="G26" s="503" t="str">
        <f>'[1]TASA DE FALLA'!G26</f>
        <v>L</v>
      </c>
      <c r="H26" s="500">
        <f>IF('[1]TASA DE FALLA'!FX26=0,"",'[1]TASA DE FALLA'!FX26)</f>
      </c>
      <c r="I26" s="500">
        <f>IF('[1]TASA DE FALLA'!FY26=0,"",'[1]TASA DE FALLA'!FY26)</f>
      </c>
      <c r="J26" s="500">
        <f>IF('[1]TASA DE FALLA'!FZ26=0,"",'[1]TASA DE FALLA'!FZ26)</f>
      </c>
      <c r="K26" s="500">
        <f>IF('[1]TASA DE FALLA'!GA26=0,"",'[1]TASA DE FALLA'!GA26)</f>
      </c>
      <c r="L26" s="500">
        <f>IF('[1]TASA DE FALLA'!GB26=0,"",'[1]TASA DE FALLA'!GB26)</f>
      </c>
      <c r="M26" s="500">
        <f>IF('[1]TASA DE FALLA'!GC26=0,"",'[1]TASA DE FALLA'!GC26)</f>
      </c>
      <c r="N26" s="500">
        <f>IF('[1]TASA DE FALLA'!GD26=0,"",'[1]TASA DE FALLA'!GD26)</f>
      </c>
      <c r="O26" s="500">
        <f>IF('[1]TASA DE FALLA'!GE26=0,"",'[1]TASA DE FALLA'!GE26)</f>
        <v>1</v>
      </c>
      <c r="P26" s="500">
        <f>IF('[1]TASA DE FALLA'!GF26=0,"",'[1]TASA DE FALLA'!GF26)</f>
      </c>
      <c r="Q26" s="500">
        <f>IF('[1]TASA DE FALLA'!GG26=0,"",'[1]TASA DE FALLA'!GG26)</f>
      </c>
      <c r="R26" s="500">
        <f>IF('[1]TASA DE FALLA'!GH26=0,"",'[1]TASA DE FALLA'!GH26)</f>
      </c>
      <c r="S26" s="500">
        <f>IF('[1]TASA DE FALLA'!GI26=0,"",'[1]TASA DE FALLA'!GI26)</f>
      </c>
      <c r="T26" s="504"/>
      <c r="U26" s="502"/>
    </row>
    <row r="27" spans="2:21" ht="15" customHeight="1">
      <c r="B27" s="471"/>
      <c r="C27" s="499">
        <f>'[1]TASA DE FALLA'!C27</f>
        <v>10</v>
      </c>
      <c r="D27" s="499" t="str">
        <f>'[1]TASA DE FALLA'!D27</f>
        <v>ALTO VALLE - COLONIA VALENTINA - ARROYITO</v>
      </c>
      <c r="E27" s="499">
        <f>'[1]TASA DE FALLA'!E27</f>
        <v>132</v>
      </c>
      <c r="F27" s="499">
        <f>'[1]TASA DE FALLA'!F27</f>
        <v>58.9</v>
      </c>
      <c r="G27" s="499" t="str">
        <f>'[1]TASA DE FALLA'!G27</f>
        <v>L</v>
      </c>
      <c r="H27" s="500">
        <f>IF('[1]TASA DE FALLA'!FX27=0,"",'[1]TASA DE FALLA'!FX27)</f>
      </c>
      <c r="I27" s="500">
        <f>IF('[1]TASA DE FALLA'!FY27=0,"",'[1]TASA DE FALLA'!FY27)</f>
      </c>
      <c r="J27" s="500">
        <f>IF('[1]TASA DE FALLA'!FZ27=0,"",'[1]TASA DE FALLA'!FZ27)</f>
      </c>
      <c r="K27" s="500">
        <f>IF('[1]TASA DE FALLA'!GA27=0,"",'[1]TASA DE FALLA'!GA27)</f>
      </c>
      <c r="L27" s="500">
        <f>IF('[1]TASA DE FALLA'!GB27=0,"",'[1]TASA DE FALLA'!GB27)</f>
      </c>
      <c r="M27" s="500">
        <f>IF('[1]TASA DE FALLA'!GC27=0,"",'[1]TASA DE FALLA'!GC27)</f>
      </c>
      <c r="N27" s="500">
        <f>IF('[1]TASA DE FALLA'!GD27=0,"",'[1]TASA DE FALLA'!GD27)</f>
        <v>1</v>
      </c>
      <c r="O27" s="500">
        <f>IF('[1]TASA DE FALLA'!GE27=0,"",'[1]TASA DE FALLA'!GE27)</f>
        <v>1</v>
      </c>
      <c r="P27" s="500">
        <f>IF('[1]TASA DE FALLA'!GF27=0,"",'[1]TASA DE FALLA'!GF27)</f>
      </c>
      <c r="Q27" s="500">
        <f>IF('[1]TASA DE FALLA'!GG27=0,"",'[1]TASA DE FALLA'!GG27)</f>
        <v>1</v>
      </c>
      <c r="R27" s="500">
        <f>IF('[1]TASA DE FALLA'!GH27=0,"",'[1]TASA DE FALLA'!GH27)</f>
      </c>
      <c r="S27" s="500">
        <f>IF('[1]TASA DE FALLA'!GI27=0,"",'[1]TASA DE FALLA'!GI27)</f>
      </c>
      <c r="T27" s="504"/>
      <c r="U27" s="502"/>
    </row>
    <row r="28" spans="2:21" ht="15" customHeight="1">
      <c r="B28" s="471"/>
      <c r="C28" s="503">
        <f>'[1]TASA DE FALLA'!C28</f>
        <v>11</v>
      </c>
      <c r="D28" s="503" t="str">
        <f>'[1]TASA DE FALLA'!D28</f>
        <v>CHOCON OESTE - CHOCON</v>
      </c>
      <c r="E28" s="503">
        <f>'[1]TASA DE FALLA'!E28</f>
        <v>132</v>
      </c>
      <c r="F28" s="503">
        <f>'[1]TASA DE FALLA'!F28</f>
        <v>3.5</v>
      </c>
      <c r="G28" s="503" t="str">
        <f>'[1]TASA DE FALLA'!G28</f>
        <v>L</v>
      </c>
      <c r="H28" s="500">
        <f>IF('[1]TASA DE FALLA'!FX28=0,"",'[1]TASA DE FALLA'!FX28)</f>
      </c>
      <c r="I28" s="500">
        <f>IF('[1]TASA DE FALLA'!FY28=0,"",'[1]TASA DE FALLA'!FY28)</f>
      </c>
      <c r="J28" s="500">
        <f>IF('[1]TASA DE FALLA'!FZ28=0,"",'[1]TASA DE FALLA'!FZ28)</f>
      </c>
      <c r="K28" s="500">
        <f>IF('[1]TASA DE FALLA'!GA28=0,"",'[1]TASA DE FALLA'!GA28)</f>
      </c>
      <c r="L28" s="500">
        <f>IF('[1]TASA DE FALLA'!GB28=0,"",'[1]TASA DE FALLA'!GB28)</f>
      </c>
      <c r="M28" s="500">
        <f>IF('[1]TASA DE FALLA'!GC28=0,"",'[1]TASA DE FALLA'!GC28)</f>
      </c>
      <c r="N28" s="500">
        <f>IF('[1]TASA DE FALLA'!GD28=0,"",'[1]TASA DE FALLA'!GD28)</f>
      </c>
      <c r="O28" s="500">
        <f>IF('[1]TASA DE FALLA'!GE28=0,"",'[1]TASA DE FALLA'!GE28)</f>
      </c>
      <c r="P28" s="500">
        <f>IF('[1]TASA DE FALLA'!GF28=0,"",'[1]TASA DE FALLA'!GF28)</f>
      </c>
      <c r="Q28" s="500">
        <f>IF('[1]TASA DE FALLA'!GG28=0,"",'[1]TASA DE FALLA'!GG28)</f>
      </c>
      <c r="R28" s="500">
        <f>IF('[1]TASA DE FALLA'!GH28=0,"",'[1]TASA DE FALLA'!GH28)</f>
      </c>
      <c r="S28" s="500">
        <f>IF('[1]TASA DE FALLA'!GI28=0,"",'[1]TASA DE FALLA'!GI28)</f>
      </c>
      <c r="T28" s="504"/>
      <c r="U28" s="502"/>
    </row>
    <row r="29" spans="2:21" ht="15" customHeight="1">
      <c r="B29" s="471"/>
      <c r="C29" s="499">
        <f>'[1]TASA DE FALLA'!C29</f>
        <v>18</v>
      </c>
      <c r="D29" s="499" t="str">
        <f>'[1]TASA DE FALLA'!D29</f>
        <v>MEDANITOS - PTO. SECCIONAMIENTO</v>
      </c>
      <c r="E29" s="499">
        <f>'[1]TASA DE FALLA'!E29</f>
        <v>132</v>
      </c>
      <c r="F29" s="499">
        <f>'[1]TASA DE FALLA'!F29</f>
        <v>41</v>
      </c>
      <c r="G29" s="499" t="str">
        <f>'[1]TASA DE FALLA'!G29</f>
        <v>L</v>
      </c>
      <c r="H29" s="500">
        <f>IF('[1]TASA DE FALLA'!FX29=0,"",'[1]TASA DE FALLA'!FX29)</f>
      </c>
      <c r="I29" s="500">
        <f>IF('[1]TASA DE FALLA'!FY29=0,"",'[1]TASA DE FALLA'!FY29)</f>
      </c>
      <c r="J29" s="500">
        <f>IF('[1]TASA DE FALLA'!FZ29=0,"",'[1]TASA DE FALLA'!FZ29)</f>
      </c>
      <c r="K29" s="500">
        <f>IF('[1]TASA DE FALLA'!GA29=0,"",'[1]TASA DE FALLA'!GA29)</f>
      </c>
      <c r="L29" s="500">
        <f>IF('[1]TASA DE FALLA'!GB29=0,"",'[1]TASA DE FALLA'!GB29)</f>
      </c>
      <c r="M29" s="500">
        <f>IF('[1]TASA DE FALLA'!GC29=0,"",'[1]TASA DE FALLA'!GC29)</f>
      </c>
      <c r="N29" s="500">
        <f>IF('[1]TASA DE FALLA'!GD29=0,"",'[1]TASA DE FALLA'!GD29)</f>
      </c>
      <c r="O29" s="500">
        <f>IF('[1]TASA DE FALLA'!GE29=0,"",'[1]TASA DE FALLA'!GE29)</f>
      </c>
      <c r="P29" s="500">
        <f>IF('[1]TASA DE FALLA'!GF29=0,"",'[1]TASA DE FALLA'!GF29)</f>
      </c>
      <c r="Q29" s="500">
        <f>IF('[1]TASA DE FALLA'!GG29=0,"",'[1]TASA DE FALLA'!GG29)</f>
      </c>
      <c r="R29" s="500">
        <f>IF('[1]TASA DE FALLA'!GH29=0,"",'[1]TASA DE FALLA'!GH29)</f>
      </c>
      <c r="S29" s="500">
        <f>IF('[1]TASA DE FALLA'!GI29=0,"",'[1]TASA DE FALLA'!GI29)</f>
      </c>
      <c r="T29" s="504"/>
      <c r="U29" s="502"/>
    </row>
    <row r="30" spans="2:21" ht="15" customHeight="1">
      <c r="B30" s="471"/>
      <c r="C30" s="503">
        <f>'[1]TASA DE FALLA'!C30</f>
        <v>19</v>
      </c>
      <c r="D30" s="503" t="str">
        <f>'[1]TASA DE FALLA'!D30</f>
        <v>PIEDRA DEL AGUILA - EL CHOCON</v>
      </c>
      <c r="E30" s="503">
        <f>'[1]TASA DE FALLA'!E30</f>
        <v>132</v>
      </c>
      <c r="F30" s="503">
        <f>'[1]TASA DE FALLA'!F30</f>
        <v>170</v>
      </c>
      <c r="G30" s="503" t="str">
        <f>'[1]TASA DE FALLA'!G30</f>
        <v>L</v>
      </c>
      <c r="H30" s="500">
        <f>IF('[1]TASA DE FALLA'!FX30=0,"",'[1]TASA DE FALLA'!FX30)</f>
      </c>
      <c r="I30" s="500">
        <f>IF('[1]TASA DE FALLA'!FY30=0,"",'[1]TASA DE FALLA'!FY30)</f>
      </c>
      <c r="J30" s="500">
        <f>IF('[1]TASA DE FALLA'!FZ30=0,"",'[1]TASA DE FALLA'!FZ30)</f>
        <v>1</v>
      </c>
      <c r="K30" s="500">
        <f>IF('[1]TASA DE FALLA'!GA30=0,"",'[1]TASA DE FALLA'!GA30)</f>
      </c>
      <c r="L30" s="500">
        <f>IF('[1]TASA DE FALLA'!GB30=0,"",'[1]TASA DE FALLA'!GB30)</f>
      </c>
      <c r="M30" s="500">
        <f>IF('[1]TASA DE FALLA'!GC30=0,"",'[1]TASA DE FALLA'!GC30)</f>
      </c>
      <c r="N30" s="500">
        <f>IF('[1]TASA DE FALLA'!GD30=0,"",'[1]TASA DE FALLA'!GD30)</f>
      </c>
      <c r="O30" s="500">
        <f>IF('[1]TASA DE FALLA'!GE30=0,"",'[1]TASA DE FALLA'!GE30)</f>
      </c>
      <c r="P30" s="500">
        <f>IF('[1]TASA DE FALLA'!GF30=0,"",'[1]TASA DE FALLA'!GF30)</f>
      </c>
      <c r="Q30" s="500">
        <f>IF('[1]TASA DE FALLA'!GG30=0,"",'[1]TASA DE FALLA'!GG30)</f>
      </c>
      <c r="R30" s="500">
        <f>IF('[1]TASA DE FALLA'!GH30=0,"",'[1]TASA DE FALLA'!GH30)</f>
      </c>
      <c r="S30" s="500">
        <f>IF('[1]TASA DE FALLA'!GI30=0,"",'[1]TASA DE FALLA'!GI30)</f>
      </c>
      <c r="T30" s="504"/>
      <c r="U30" s="502"/>
    </row>
    <row r="31" spans="2:21" ht="15" customHeight="1">
      <c r="B31" s="471"/>
      <c r="C31" s="499">
        <f>'[1]TASA DE FALLA'!C31</f>
        <v>20</v>
      </c>
      <c r="D31" s="499" t="str">
        <f>'[1]TASA DE FALLA'!D31</f>
        <v>PLAYA PLANICIE BANDERITA - PCIE. BANDERITA</v>
      </c>
      <c r="E31" s="499">
        <f>'[1]TASA DE FALLA'!E31</f>
        <v>132</v>
      </c>
      <c r="F31" s="499">
        <f>'[1]TASA DE FALLA'!F31</f>
        <v>1.5</v>
      </c>
      <c r="G31" s="499" t="str">
        <f>'[1]TASA DE FALLA'!G31</f>
        <v>L</v>
      </c>
      <c r="H31" s="500">
        <f>IF('[1]TASA DE FALLA'!FX31=0,"",'[1]TASA DE FALLA'!FX31)</f>
      </c>
      <c r="I31" s="500">
        <f>IF('[1]TASA DE FALLA'!FY31=0,"",'[1]TASA DE FALLA'!FY31)</f>
      </c>
      <c r="J31" s="500">
        <f>IF('[1]TASA DE FALLA'!FZ31=0,"",'[1]TASA DE FALLA'!FZ31)</f>
      </c>
      <c r="K31" s="500">
        <f>IF('[1]TASA DE FALLA'!GA31=0,"",'[1]TASA DE FALLA'!GA31)</f>
      </c>
      <c r="L31" s="500">
        <f>IF('[1]TASA DE FALLA'!GB31=0,"",'[1]TASA DE FALLA'!GB31)</f>
      </c>
      <c r="M31" s="500">
        <f>IF('[1]TASA DE FALLA'!GC31=0,"",'[1]TASA DE FALLA'!GC31)</f>
      </c>
      <c r="N31" s="500">
        <f>IF('[1]TASA DE FALLA'!GD31=0,"",'[1]TASA DE FALLA'!GD31)</f>
      </c>
      <c r="O31" s="500">
        <f>IF('[1]TASA DE FALLA'!GE31=0,"",'[1]TASA DE FALLA'!GE31)</f>
      </c>
      <c r="P31" s="500">
        <f>IF('[1]TASA DE FALLA'!GF31=0,"",'[1]TASA DE FALLA'!GF31)</f>
      </c>
      <c r="Q31" s="500">
        <f>IF('[1]TASA DE FALLA'!GG31=0,"",'[1]TASA DE FALLA'!GG31)</f>
      </c>
      <c r="R31" s="500">
        <f>IF('[1]TASA DE FALLA'!GH31=0,"",'[1]TASA DE FALLA'!GH31)</f>
      </c>
      <c r="S31" s="500">
        <f>IF('[1]TASA DE FALLA'!GI31=0,"",'[1]TASA DE FALLA'!GI31)</f>
      </c>
      <c r="T31" s="504"/>
      <c r="U31" s="502"/>
    </row>
    <row r="32" spans="2:21" ht="15" customHeight="1">
      <c r="B32" s="471"/>
      <c r="C32" s="503">
        <f>'[1]TASA DE FALLA'!C32</f>
        <v>21</v>
      </c>
      <c r="D32" s="503" t="str">
        <f>'[1]TASA DE FALLA'!D32</f>
        <v>PTO. SECCIONAMIENTO - PTO. HERNANDEZ</v>
      </c>
      <c r="E32" s="503">
        <f>'[1]TASA DE FALLA'!E32</f>
        <v>132</v>
      </c>
      <c r="F32" s="503">
        <f>'[1]TASA DE FALLA'!F32</f>
        <v>89</v>
      </c>
      <c r="G32" s="503" t="str">
        <f>'[1]TASA DE FALLA'!G32</f>
        <v>L</v>
      </c>
      <c r="H32" s="500">
        <f>IF('[1]TASA DE FALLA'!FX32=0,"",'[1]TASA DE FALLA'!FX32)</f>
      </c>
      <c r="I32" s="500">
        <f>IF('[1]TASA DE FALLA'!FY32=0,"",'[1]TASA DE FALLA'!FY32)</f>
      </c>
      <c r="J32" s="500">
        <f>IF('[1]TASA DE FALLA'!FZ32=0,"",'[1]TASA DE FALLA'!FZ32)</f>
      </c>
      <c r="K32" s="500">
        <f>IF('[1]TASA DE FALLA'!GA32=0,"",'[1]TASA DE FALLA'!GA32)</f>
        <v>1</v>
      </c>
      <c r="L32" s="500">
        <f>IF('[1]TASA DE FALLA'!GB32=0,"",'[1]TASA DE FALLA'!GB32)</f>
      </c>
      <c r="M32" s="500">
        <f>IF('[1]TASA DE FALLA'!GC32=0,"",'[1]TASA DE FALLA'!GC32)</f>
      </c>
      <c r="N32" s="500">
        <f>IF('[1]TASA DE FALLA'!GD32=0,"",'[1]TASA DE FALLA'!GD32)</f>
        <v>1</v>
      </c>
      <c r="O32" s="500">
        <f>IF('[1]TASA DE FALLA'!GE32=0,"",'[1]TASA DE FALLA'!GE32)</f>
      </c>
      <c r="P32" s="500">
        <f>IF('[1]TASA DE FALLA'!GF32=0,"",'[1]TASA DE FALLA'!GF32)</f>
      </c>
      <c r="Q32" s="500">
        <f>IF('[1]TASA DE FALLA'!GG32=0,"",'[1]TASA DE FALLA'!GG32)</f>
        <v>1</v>
      </c>
      <c r="R32" s="500">
        <f>IF('[1]TASA DE FALLA'!GH32=0,"",'[1]TASA DE FALLA'!GH32)</f>
        <v>1</v>
      </c>
      <c r="S32" s="500">
        <f>IF('[1]TASA DE FALLA'!GI32=0,"",'[1]TASA DE FALLA'!GI32)</f>
      </c>
      <c r="T32" s="504"/>
      <c r="U32" s="502"/>
    </row>
    <row r="33" spans="2:21" ht="15" customHeight="1">
      <c r="B33" s="471"/>
      <c r="C33" s="499">
        <f>'[1]TASA DE FALLA'!C33</f>
        <v>22</v>
      </c>
      <c r="D33" s="499" t="str">
        <f>'[1]TASA DE FALLA'!D33</f>
        <v>PTO. SECCIONAMIENTO - SEÑAL PICADA</v>
      </c>
      <c r="E33" s="499">
        <f>'[1]TASA DE FALLA'!E33</f>
        <v>132</v>
      </c>
      <c r="F33" s="499">
        <f>'[1]TASA DE FALLA'!F33</f>
        <v>18</v>
      </c>
      <c r="G33" s="499" t="str">
        <f>'[1]TASA DE FALLA'!G33</f>
        <v>L</v>
      </c>
      <c r="H33" s="500">
        <f>IF('[1]TASA DE FALLA'!FX33=0,"",'[1]TASA DE FALLA'!FX33)</f>
      </c>
      <c r="I33" s="500">
        <f>IF('[1]TASA DE FALLA'!FY33=0,"",'[1]TASA DE FALLA'!FY33)</f>
      </c>
      <c r="J33" s="500">
        <f>IF('[1]TASA DE FALLA'!FZ33=0,"",'[1]TASA DE FALLA'!FZ33)</f>
      </c>
      <c r="K33" s="500">
        <f>IF('[1]TASA DE FALLA'!GA33=0,"",'[1]TASA DE FALLA'!GA33)</f>
      </c>
      <c r="L33" s="500">
        <f>IF('[1]TASA DE FALLA'!GB33=0,"",'[1]TASA DE FALLA'!GB33)</f>
      </c>
      <c r="M33" s="500">
        <f>IF('[1]TASA DE FALLA'!GC33=0,"",'[1]TASA DE FALLA'!GC33)</f>
      </c>
      <c r="N33" s="500">
        <f>IF('[1]TASA DE FALLA'!GD33=0,"",'[1]TASA DE FALLA'!GD33)</f>
      </c>
      <c r="O33" s="500">
        <f>IF('[1]TASA DE FALLA'!GE33=0,"",'[1]TASA DE FALLA'!GE33)</f>
      </c>
      <c r="P33" s="500">
        <f>IF('[1]TASA DE FALLA'!GF33=0,"",'[1]TASA DE FALLA'!GF33)</f>
      </c>
      <c r="Q33" s="500">
        <f>IF('[1]TASA DE FALLA'!GG33=0,"",'[1]TASA DE FALLA'!GG33)</f>
      </c>
      <c r="R33" s="500">
        <f>IF('[1]TASA DE FALLA'!GH33=0,"",'[1]TASA DE FALLA'!GH33)</f>
      </c>
      <c r="S33" s="500">
        <f>IF('[1]TASA DE FALLA'!GI33=0,"",'[1]TASA DE FALLA'!GI33)</f>
      </c>
      <c r="T33" s="504"/>
      <c r="U33" s="502"/>
    </row>
    <row r="34" spans="2:21" ht="15" customHeight="1">
      <c r="B34" s="471"/>
      <c r="C34" s="503">
        <f>'[1]TASA DE FALLA'!C34</f>
        <v>29</v>
      </c>
      <c r="D34" s="503" t="str">
        <f>'[1]TASA DE FALLA'!D34</f>
        <v>PUESTO HERNANDEZ - CHIUHIDO II</v>
      </c>
      <c r="E34" s="503">
        <f>'[1]TASA DE FALLA'!E34</f>
        <v>132</v>
      </c>
      <c r="F34" s="503">
        <f>'[1]TASA DE FALLA'!F34</f>
        <v>19.5</v>
      </c>
      <c r="G34" s="503" t="str">
        <f>'[1]TASA DE FALLA'!G34</f>
        <v>L</v>
      </c>
      <c r="H34" s="500">
        <f>IF('[1]TASA DE FALLA'!FX34=0,"",'[1]TASA DE FALLA'!FX34)</f>
      </c>
      <c r="I34" s="500">
        <f>IF('[1]TASA DE FALLA'!FY34=0,"",'[1]TASA DE FALLA'!FY34)</f>
      </c>
      <c r="J34" s="500">
        <f>IF('[1]TASA DE FALLA'!FZ34=0,"",'[1]TASA DE FALLA'!FZ34)</f>
      </c>
      <c r="K34" s="500">
        <f>IF('[1]TASA DE FALLA'!GA34=0,"",'[1]TASA DE FALLA'!GA34)</f>
      </c>
      <c r="L34" s="500">
        <f>IF('[1]TASA DE FALLA'!GB34=0,"",'[1]TASA DE FALLA'!GB34)</f>
      </c>
      <c r="M34" s="500">
        <f>IF('[1]TASA DE FALLA'!GC34=0,"",'[1]TASA DE FALLA'!GC34)</f>
      </c>
      <c r="N34" s="500">
        <f>IF('[1]TASA DE FALLA'!GD34=0,"",'[1]TASA DE FALLA'!GD34)</f>
      </c>
      <c r="O34" s="500">
        <f>IF('[1]TASA DE FALLA'!GE34=0,"",'[1]TASA DE FALLA'!GE34)</f>
      </c>
      <c r="P34" s="500">
        <f>IF('[1]TASA DE FALLA'!GF34=0,"",'[1]TASA DE FALLA'!GF34)</f>
      </c>
      <c r="Q34" s="500">
        <f>IF('[1]TASA DE FALLA'!GG34=0,"",'[1]TASA DE FALLA'!GG34)</f>
      </c>
      <c r="R34" s="500">
        <f>IF('[1]TASA DE FALLA'!GH34=0,"",'[1]TASA DE FALLA'!GH34)</f>
      </c>
      <c r="S34" s="500">
        <f>IF('[1]TASA DE FALLA'!GI34=0,"",'[1]TASA DE FALLA'!GI34)</f>
      </c>
      <c r="T34" s="504"/>
      <c r="U34" s="502"/>
    </row>
    <row r="35" spans="2:21" ht="15" customHeight="1">
      <c r="B35" s="471"/>
      <c r="C35" s="499">
        <f>'[1]TASA DE FALLA'!C35</f>
        <v>30</v>
      </c>
      <c r="D35" s="499" t="str">
        <f>'[1]TASA DE FALLA'!D35</f>
        <v>CHIUHIDO II - EL TRAPIAL</v>
      </c>
      <c r="E35" s="499">
        <f>'[1]TASA DE FALLA'!E35</f>
        <v>132</v>
      </c>
      <c r="F35" s="499">
        <f>'[1]TASA DE FALLA'!F35</f>
        <v>4.9</v>
      </c>
      <c r="G35" s="499" t="str">
        <f>'[1]TASA DE FALLA'!G35</f>
        <v>L</v>
      </c>
      <c r="H35" s="500">
        <f>IF('[1]TASA DE FALLA'!FX35=0,"",'[1]TASA DE FALLA'!FX35)</f>
      </c>
      <c r="I35" s="500">
        <f>IF('[1]TASA DE FALLA'!FY35=0,"",'[1]TASA DE FALLA'!FY35)</f>
      </c>
      <c r="J35" s="500">
        <f>IF('[1]TASA DE FALLA'!FZ35=0,"",'[1]TASA DE FALLA'!FZ35)</f>
        <v>1</v>
      </c>
      <c r="K35" s="500">
        <f>IF('[1]TASA DE FALLA'!GA35=0,"",'[1]TASA DE FALLA'!GA35)</f>
      </c>
      <c r="L35" s="500">
        <f>IF('[1]TASA DE FALLA'!GB35=0,"",'[1]TASA DE FALLA'!GB35)</f>
      </c>
      <c r="M35" s="500">
        <f>IF('[1]TASA DE FALLA'!GC35=0,"",'[1]TASA DE FALLA'!GC35)</f>
      </c>
      <c r="N35" s="500">
        <f>IF('[1]TASA DE FALLA'!GD35=0,"",'[1]TASA DE FALLA'!GD35)</f>
      </c>
      <c r="O35" s="500">
        <f>IF('[1]TASA DE FALLA'!GE35=0,"",'[1]TASA DE FALLA'!GE35)</f>
      </c>
      <c r="P35" s="500">
        <f>IF('[1]TASA DE FALLA'!GF35=0,"",'[1]TASA DE FALLA'!GF35)</f>
      </c>
      <c r="Q35" s="500">
        <f>IF('[1]TASA DE FALLA'!GG35=0,"",'[1]TASA DE FALLA'!GG35)</f>
      </c>
      <c r="R35" s="500">
        <f>IF('[1]TASA DE FALLA'!GH35=0,"",'[1]TASA DE FALLA'!GH35)</f>
      </c>
      <c r="S35" s="500">
        <f>IF('[1]TASA DE FALLA'!GI35=0,"",'[1]TASA DE FALLA'!GI35)</f>
      </c>
      <c r="T35" s="504"/>
      <c r="U35" s="502"/>
    </row>
    <row r="36" spans="2:21" ht="15" customHeight="1">
      <c r="B36" s="471"/>
      <c r="C36" s="566">
        <f>'[1]TASA DE FALLA'!C36</f>
        <v>31</v>
      </c>
      <c r="D36" s="566" t="str">
        <f>'[1]TASA DE FALLA'!D36</f>
        <v>EL TRAPIAL - LOMA DE LA LATA</v>
      </c>
      <c r="E36" s="566">
        <f>'[1]TASA DE FALLA'!E36</f>
        <v>132</v>
      </c>
      <c r="F36" s="566">
        <f>'[1]TASA DE FALLA'!F36</f>
        <v>142</v>
      </c>
      <c r="G36" s="566" t="str">
        <f>'[1]TASA DE FALLA'!G36</f>
        <v>L</v>
      </c>
      <c r="H36" s="500">
        <f>IF('[1]TASA DE FALLA'!FX36=0,"",'[1]TASA DE FALLA'!FX36)</f>
      </c>
      <c r="I36" s="500">
        <f>IF('[1]TASA DE FALLA'!FY36=0,"",'[1]TASA DE FALLA'!FY36)</f>
      </c>
      <c r="J36" s="500">
        <f>IF('[1]TASA DE FALLA'!FZ36=0,"",'[1]TASA DE FALLA'!FZ36)</f>
      </c>
      <c r="K36" s="500">
        <f>IF('[1]TASA DE FALLA'!GA36=0,"",'[1]TASA DE FALLA'!GA36)</f>
      </c>
      <c r="L36" s="500">
        <f>IF('[1]TASA DE FALLA'!GB36=0,"",'[1]TASA DE FALLA'!GB36)</f>
      </c>
      <c r="M36" s="500">
        <f>IF('[1]TASA DE FALLA'!GC36=0,"",'[1]TASA DE FALLA'!GC36)</f>
      </c>
      <c r="N36" s="500">
        <f>IF('[1]TASA DE FALLA'!GD36=0,"",'[1]TASA DE FALLA'!GD36)</f>
      </c>
      <c r="O36" s="500">
        <f>IF('[1]TASA DE FALLA'!GE36=0,"",'[1]TASA DE FALLA'!GE36)</f>
      </c>
      <c r="P36" s="500">
        <f>IF('[1]TASA DE FALLA'!GF36=0,"",'[1]TASA DE FALLA'!GF36)</f>
      </c>
      <c r="Q36" s="500">
        <f>IF('[1]TASA DE FALLA'!GG36=0,"",'[1]TASA DE FALLA'!GG36)</f>
      </c>
      <c r="R36" s="500">
        <f>IF('[1]TASA DE FALLA'!GH36=0,"",'[1]TASA DE FALLA'!GH36)</f>
      </c>
      <c r="S36" s="500">
        <f>IF('[1]TASA DE FALLA'!GI36=0,"",'[1]TASA DE FALLA'!GI36)</f>
      </c>
      <c r="T36" s="504"/>
      <c r="U36" s="502"/>
    </row>
    <row r="37" spans="2:21" ht="15" customHeight="1">
      <c r="B37" s="471"/>
      <c r="C37" s="499"/>
      <c r="D37" s="499"/>
      <c r="E37" s="499"/>
      <c r="F37" s="499"/>
      <c r="G37" s="499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4"/>
      <c r="U37" s="502"/>
    </row>
    <row r="38" spans="2:21" ht="15" customHeight="1" thickBot="1">
      <c r="B38" s="471"/>
      <c r="C38" s="505"/>
      <c r="D38" s="506"/>
      <c r="E38" s="506"/>
      <c r="F38" s="507"/>
      <c r="G38" s="508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4"/>
      <c r="U38" s="502"/>
    </row>
    <row r="39" spans="2:21" ht="15" customHeight="1" thickBot="1" thickTop="1">
      <c r="B39" s="471"/>
      <c r="C39" s="510"/>
      <c r="D39" s="511"/>
      <c r="E39" s="512" t="s">
        <v>107</v>
      </c>
      <c r="F39" s="513">
        <f>SUM(F19:F38)</f>
        <v>622.3</v>
      </c>
      <c r="G39" s="514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04"/>
      <c r="U39" s="502"/>
    </row>
    <row r="40" spans="2:22" ht="15" customHeight="1" thickBot="1" thickTop="1">
      <c r="B40" s="471"/>
      <c r="C40" s="516"/>
      <c r="D40" s="517"/>
      <c r="E40" s="518"/>
      <c r="F40" s="475"/>
      <c r="G40" s="519" t="s">
        <v>108</v>
      </c>
      <c r="H40" s="520">
        <f aca="true" t="shared" si="0" ref="H40:S40">SUM(H19:H38)</f>
        <v>0</v>
      </c>
      <c r="I40" s="520">
        <f t="shared" si="0"/>
        <v>0</v>
      </c>
      <c r="J40" s="520">
        <f t="shared" si="0"/>
        <v>2</v>
      </c>
      <c r="K40" s="520">
        <f t="shared" si="0"/>
        <v>1</v>
      </c>
      <c r="L40" s="520">
        <f t="shared" si="0"/>
        <v>0</v>
      </c>
      <c r="M40" s="520">
        <f t="shared" si="0"/>
        <v>0</v>
      </c>
      <c r="N40" s="520">
        <f t="shared" si="0"/>
        <v>3</v>
      </c>
      <c r="O40" s="520">
        <f t="shared" si="0"/>
        <v>2</v>
      </c>
      <c r="P40" s="520">
        <f t="shared" si="0"/>
        <v>0</v>
      </c>
      <c r="Q40" s="520">
        <f t="shared" si="0"/>
        <v>4</v>
      </c>
      <c r="R40" s="520">
        <f t="shared" si="0"/>
        <v>1</v>
      </c>
      <c r="S40" s="520">
        <f t="shared" si="0"/>
        <v>0</v>
      </c>
      <c r="T40" s="521"/>
      <c r="U40" s="522"/>
      <c r="V40" s="523"/>
    </row>
    <row r="41" spans="2:21" ht="17.25" thickBot="1" thickTop="1">
      <c r="B41" s="471"/>
      <c r="C41" s="516"/>
      <c r="D41" s="516"/>
      <c r="E41" s="516"/>
      <c r="G41" s="524" t="s">
        <v>109</v>
      </c>
      <c r="H41" s="525">
        <f>'[1]TASA DE FALLA'!FX40</f>
        <v>1.45</v>
      </c>
      <c r="I41" s="525">
        <f>'[1]TASA DE FALLA'!FY40</f>
        <v>1.45</v>
      </c>
      <c r="J41" s="525">
        <f>'[1]TASA DE FALLA'!FZ40</f>
        <v>1.45</v>
      </c>
      <c r="K41" s="525">
        <f>'[1]TASA DE FALLA'!GA40</f>
        <v>1.61</v>
      </c>
      <c r="L41" s="525">
        <f>'[1]TASA DE FALLA'!GB40</f>
        <v>1.61</v>
      </c>
      <c r="M41" s="525">
        <f>'[1]TASA DE FALLA'!GC40</f>
        <v>1.61</v>
      </c>
      <c r="N41" s="525">
        <f>'[1]TASA DE FALLA'!GD40</f>
        <v>1.61</v>
      </c>
      <c r="O41" s="525">
        <f>'[1]TASA DE FALLA'!GE40</f>
        <v>1.93</v>
      </c>
      <c r="P41" s="525">
        <f>'[1]TASA DE FALLA'!GF40</f>
        <v>1.93</v>
      </c>
      <c r="Q41" s="525">
        <f>'[1]TASA DE FALLA'!GG40</f>
        <v>1.93</v>
      </c>
      <c r="R41" s="525">
        <f>'[1]TASA DE FALLA'!GH40</f>
        <v>2.25</v>
      </c>
      <c r="S41" s="525">
        <f>'[1]TASA DE FALLA'!GI40</f>
        <v>2.09</v>
      </c>
      <c r="T41" s="525">
        <f>'[1]TASA DE FALLA'!GJ40</f>
        <v>2.09</v>
      </c>
      <c r="U41" s="526"/>
    </row>
    <row r="42" spans="2:22" ht="18.75" customHeight="1" thickBot="1" thickTop="1">
      <c r="B42" s="471"/>
      <c r="C42" s="527"/>
      <c r="D42" s="528" t="s">
        <v>110</v>
      </c>
      <c r="E42" s="529"/>
      <c r="F42" s="530"/>
      <c r="G42" s="531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3"/>
      <c r="V42" s="534"/>
    </row>
    <row r="43" spans="2:23" s="538" customFormat="1" ht="21.75" thickBot="1" thickTop="1">
      <c r="B43" s="535"/>
      <c r="C43" s="536"/>
      <c r="D43" s="536"/>
      <c r="E43" s="537"/>
      <c r="H43" s="539" t="s">
        <v>111</v>
      </c>
      <c r="I43" s="540"/>
      <c r="J43" s="541">
        <f>T41</f>
        <v>2.09</v>
      </c>
      <c r="K43" s="540"/>
      <c r="L43" s="542" t="s">
        <v>112</v>
      </c>
      <c r="M43" s="543"/>
      <c r="T43" s="544"/>
      <c r="U43" s="545"/>
      <c r="V43" s="544"/>
      <c r="W43" s="544"/>
    </row>
    <row r="44" spans="2:21" ht="18.75" customHeight="1" thickBot="1" thickTop="1">
      <c r="B44" s="546"/>
      <c r="C44" s="547"/>
      <c r="D44" s="548"/>
      <c r="E44" s="548"/>
      <c r="F44" s="549"/>
      <c r="G44" s="550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51"/>
    </row>
    <row r="45" spans="2:22" ht="15" customHeight="1" thickTop="1">
      <c r="B45" s="552"/>
      <c r="C45" s="475"/>
      <c r="D45" s="475"/>
      <c r="E45" s="475"/>
      <c r="F45" s="553"/>
      <c r="G45" s="553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</row>
    <row r="46" spans="2:22" ht="22.5" customHeight="1">
      <c r="B46" s="554"/>
      <c r="C46" s="555"/>
      <c r="D46" s="475"/>
      <c r="E46" s="475"/>
      <c r="F46" s="556"/>
      <c r="G46" s="553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</row>
    <row r="47" spans="2:22" ht="22.5" customHeight="1">
      <c r="B47" s="555"/>
      <c r="C47" s="555"/>
      <c r="D47" s="557"/>
      <c r="E47" s="475"/>
      <c r="F47" s="558"/>
      <c r="G47" s="553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</row>
    <row r="48" spans="2:22" ht="22.5" customHeight="1">
      <c r="B48" s="475"/>
      <c r="D48" s="475"/>
      <c r="E48" s="475"/>
      <c r="F48" s="475"/>
      <c r="G48" s="559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</row>
    <row r="49" spans="2:22" ht="22.5" customHeight="1">
      <c r="B49" s="475"/>
      <c r="C49" s="475"/>
      <c r="D49" s="560"/>
      <c r="E49" s="560"/>
      <c r="F49" s="473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</row>
    <row r="50" spans="2:22" ht="22.5" customHeight="1">
      <c r="B50" s="475"/>
      <c r="C50" s="475"/>
      <c r="D50" s="560"/>
      <c r="E50" s="560"/>
      <c r="F50" s="562"/>
      <c r="G50" s="559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</row>
    <row r="51" spans="2:22" ht="22.5" customHeight="1">
      <c r="B51" s="475"/>
      <c r="C51" s="475"/>
      <c r="D51" s="474"/>
      <c r="E51" s="474"/>
      <c r="F51" s="474"/>
      <c r="G51" s="559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</row>
    <row r="52" spans="2:22" ht="22.5" customHeight="1">
      <c r="B52" s="475"/>
      <c r="C52" s="475"/>
      <c r="D52" s="560"/>
      <c r="E52" s="560"/>
      <c r="F52" s="474"/>
      <c r="G52" s="563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</row>
    <row r="53" ht="22.5" customHeight="1">
      <c r="G53" s="564"/>
    </row>
    <row r="54" ht="22.5" customHeight="1">
      <c r="G54" s="564"/>
    </row>
    <row r="55" ht="22.5" customHeight="1">
      <c r="G55" s="565"/>
    </row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ndopico</cp:lastModifiedBy>
  <cp:lastPrinted>2010-09-14T15:03:38Z</cp:lastPrinted>
  <dcterms:created xsi:type="dcterms:W3CDTF">1998-09-02T19:31:06Z</dcterms:created>
  <dcterms:modified xsi:type="dcterms:W3CDTF">2010-09-29T15:26:47Z</dcterms:modified>
  <cp:category/>
  <cp:version/>
  <cp:contentType/>
  <cp:contentStatus/>
</cp:coreProperties>
</file>